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 name="Sheet1" sheetId="64" state="hidden" r:id="rId39"/>
  </sheets>
  <externalReferences>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6" i="62" l="1"/>
  <c r="B15" i="62"/>
  <c r="D16" i="62" l="1"/>
  <c r="G16" i="62" l="1"/>
  <c r="D15" i="62" l="1"/>
  <c r="G15" i="62" l="1"/>
  <c r="I22" i="1" l="1"/>
  <c r="E13" i="1"/>
  <c r="G71" i="43" l="1"/>
  <c r="G72" i="43"/>
  <c r="G73" i="43"/>
  <c r="G74" i="43"/>
  <c r="G75" i="43"/>
  <c r="G76" i="43"/>
  <c r="G77" i="43"/>
  <c r="G78" i="43"/>
  <c r="G70" i="43"/>
  <c r="D29" i="43"/>
  <c r="I47" i="21" l="1"/>
  <c r="E20" i="1" l="1"/>
  <c r="C37" i="21" s="1"/>
  <c r="I37" i="21" s="1"/>
  <c r="I20" i="1"/>
  <c r="E37" i="21" l="1"/>
  <c r="G37" i="21"/>
  <c r="AH5" i="59"/>
  <c r="AG5" i="59"/>
  <c r="AE5" i="59"/>
  <c r="AF5" i="59" s="1"/>
  <c r="AD5" i="59"/>
  <c r="Q5" i="59"/>
  <c r="P5" i="59"/>
  <c r="O5" i="59"/>
  <c r="N5" i="59"/>
  <c r="M49" i="9" l="1"/>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D6" i="61"/>
  <c r="D3" i="61"/>
  <c r="F4" i="61"/>
  <c r="F6" i="61"/>
  <c r="F5" i="61"/>
  <c r="D4" i="61"/>
  <c r="D5"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C102" i="43"/>
  <c r="G103" i="43"/>
  <c r="K104" i="43"/>
  <c r="D103" i="43"/>
  <c r="H106"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3" i="21" l="1"/>
  <c r="W17" i="21"/>
  <c r="AC15" i="21"/>
  <c r="N102" i="43"/>
  <c r="E109" i="43"/>
  <c r="U42" i="21"/>
  <c r="F7" i="15"/>
  <c r="C33" i="21"/>
  <c r="B74" i="43"/>
  <c r="C27" i="39"/>
  <c r="S9" i="21"/>
  <c r="AA9" i="21"/>
  <c r="K145" i="21"/>
  <c r="K141" i="21"/>
  <c r="K144" i="21"/>
  <c r="K143" i="21"/>
  <c r="U14" i="21"/>
  <c r="W25" i="21"/>
  <c r="AB37"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H66" i="43"/>
  <c r="H62" i="43"/>
  <c r="H67"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70" i="43" l="1"/>
  <c r="G26" i="47"/>
  <c r="F81" i="43"/>
  <c r="H82" i="43" s="1"/>
  <c r="K82" i="43" s="1"/>
  <c r="J82" i="43" s="1"/>
  <c r="D82" i="43" s="1"/>
  <c r="G4" i="47"/>
  <c r="F48" i="43"/>
  <c r="H86" i="43"/>
  <c r="K86" i="43" s="1"/>
  <c r="J86" i="43" s="1"/>
  <c r="D86" i="43" s="1"/>
  <c r="H33" i="21"/>
  <c r="J33" i="21"/>
  <c r="F33"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72" i="43" l="1"/>
  <c r="H74" i="43"/>
  <c r="H77" i="43"/>
  <c r="H75" i="43"/>
  <c r="H76" i="43"/>
  <c r="H73" i="43"/>
  <c r="H78" i="43"/>
  <c r="H70" i="43"/>
  <c r="H71" i="43"/>
  <c r="H51" i="43"/>
  <c r="H49" i="43"/>
  <c r="H48" i="43"/>
  <c r="H52" i="43"/>
  <c r="H50" i="43"/>
  <c r="H56" i="43"/>
  <c r="H53" i="43"/>
  <c r="H54" i="43"/>
  <c r="H55" i="43"/>
  <c r="H85" i="43"/>
  <c r="H87" i="43"/>
  <c r="M87" i="43" s="1"/>
  <c r="N87" i="43" s="1"/>
  <c r="H84" i="43"/>
  <c r="H83" i="43"/>
  <c r="M83" i="43" s="1"/>
  <c r="N83" i="43" s="1"/>
  <c r="H88" i="43"/>
  <c r="H81" i="43"/>
  <c r="W33" i="21"/>
  <c r="AC33" i="21"/>
  <c r="AA33" i="21"/>
  <c r="S33" i="21"/>
  <c r="AB33" i="21"/>
  <c r="U33" i="21"/>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3"/>
  <c r="E2" i="21"/>
  <c r="E2" i="36"/>
  <c r="E2" i="34"/>
  <c r="E2" i="37"/>
  <c r="E2" i="11"/>
  <c r="E2" i="35"/>
  <c r="B2" i="36" l="1"/>
  <c r="B3" i="36" s="1"/>
  <c r="B2" i="34"/>
  <c r="B3" i="34" s="1"/>
  <c r="B2" i="35"/>
  <c r="B2" i="37"/>
  <c r="B3" i="37" s="1"/>
  <c r="B2" i="33"/>
  <c r="B3" i="33" s="1"/>
  <c r="B2" i="21"/>
  <c r="B3" i="21" s="1"/>
  <c r="B2" i="11"/>
  <c r="Q65" i="15"/>
  <c r="L58" i="15"/>
  <c r="L61" i="15" s="1"/>
  <c r="L47" i="15" s="1"/>
  <c r="O68" i="39"/>
  <c r="O70" i="39" s="1"/>
  <c r="N70" i="39"/>
  <c r="O63" i="40"/>
  <c r="O65" i="40" s="1"/>
  <c r="N65" i="40"/>
  <c r="D19" i="57"/>
  <c r="C19" i="9"/>
  <c r="C20" i="9"/>
  <c r="C102" i="9" l="1"/>
  <c r="B2" i="15"/>
  <c r="B3" i="15"/>
  <c r="Q64" i="15"/>
  <c r="Q73" i="15" s="1"/>
  <c r="Q55" i="15"/>
  <c r="Q60" i="15" s="1"/>
  <c r="D102" i="57"/>
  <c r="C101" i="9"/>
  <c r="H7" i="40"/>
  <c r="F7" i="40"/>
  <c r="J7" i="40"/>
  <c r="H7" i="39"/>
  <c r="F7" i="39"/>
  <c r="J7" i="39"/>
  <c r="D19" i="9"/>
  <c r="D20" i="9"/>
  <c r="G20" i="9" l="1"/>
  <c r="R27" i="31" s="1"/>
  <c r="D102" i="9"/>
  <c r="D101" i="9"/>
  <c r="G19" i="9"/>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28" i="31"/>
  <c r="T28" i="31" s="1"/>
  <c r="R29" i="31"/>
  <c r="T27" i="31"/>
  <c r="C32" i="57"/>
  <c r="S27" i="31"/>
  <c r="G47" i="40"/>
  <c r="H47" i="40" s="1"/>
  <c r="G46" i="40"/>
  <c r="H46" i="40" s="1"/>
  <c r="I46" i="40"/>
  <c r="J46" i="40" s="1"/>
  <c r="R48" i="39"/>
  <c r="E47" i="39"/>
  <c r="R43" i="40"/>
  <c r="E42" i="40"/>
  <c r="G51" i="39"/>
  <c r="H51" i="39" s="1"/>
  <c r="G52" i="39"/>
  <c r="H52" i="39" s="1"/>
  <c r="S28" i="31" l="1"/>
  <c r="T29" i="31"/>
  <c r="T25" i="31" s="1"/>
  <c r="B23" i="31" s="1"/>
  <c r="B2" i="31" s="1"/>
  <c r="S29" i="31"/>
  <c r="S25" i="31" s="1"/>
  <c r="E46" i="40"/>
  <c r="F46" i="40" s="1"/>
  <c r="E47" i="40"/>
  <c r="F47" i="40" s="1"/>
  <c r="I52" i="39"/>
  <c r="J52" i="39" s="1"/>
  <c r="E51" i="39"/>
  <c r="F51" i="39" s="1"/>
  <c r="E52" i="39"/>
  <c r="F52" i="39" s="1"/>
  <c r="C42" i="40"/>
  <c r="C43" i="40"/>
  <c r="C47" i="39"/>
  <c r="C48" i="39"/>
  <c r="I47" i="40"/>
  <c r="J47" i="40" s="1"/>
  <c r="C19" i="57"/>
  <c r="C102" i="57" l="1"/>
  <c r="G19" i="57"/>
  <c r="D22" i="57"/>
  <c r="C33" i="57"/>
  <c r="H124" i="57" s="1"/>
  <c r="D109" i="57" s="1"/>
  <c r="R25" i="31"/>
  <c r="B24" i="31" s="1"/>
  <c r="B3" i="31" s="1"/>
  <c r="C106" i="57"/>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20" i="57"/>
  <c r="I103" i="57" l="1"/>
  <c r="D46" i="57" s="1"/>
  <c r="D54" i="57" s="1"/>
  <c r="D49" i="57" s="1"/>
  <c r="M53" i="57" s="1"/>
  <c r="H125" i="57"/>
  <c r="D115" i="57"/>
  <c r="D120" i="57"/>
  <c r="I116" i="57" s="1"/>
  <c r="G20" i="57"/>
  <c r="C104" i="57" s="1"/>
  <c r="C103" i="57"/>
  <c r="C34" i="57"/>
  <c r="I124" i="57" s="1"/>
  <c r="C107" i="57" s="1"/>
  <c r="D53" i="57"/>
  <c r="C73" i="57"/>
  <c r="D56" i="57"/>
  <c r="M54" i="57" s="1"/>
  <c r="C86" i="57"/>
  <c r="M50" i="57"/>
  <c r="D130" i="57"/>
  <c r="H14" i="62" s="1"/>
  <c r="B7" i="62" s="1"/>
  <c r="C7" i="62" s="1"/>
  <c r="F61" i="40"/>
  <c r="B2" i="40" s="1"/>
  <c r="B3" i="40" s="1"/>
  <c r="F66" i="39"/>
  <c r="B2" i="39" s="1"/>
  <c r="B3" i="39" s="1"/>
  <c r="C105" i="57" l="1"/>
  <c r="C94" i="57"/>
  <c r="C87" i="57" s="1"/>
  <c r="C79" i="57"/>
  <c r="C74" i="57" s="1"/>
  <c r="C65" i="57"/>
  <c r="C64" i="57" s="1"/>
  <c r="C68" i="57" s="1"/>
  <c r="C69" i="57" s="1"/>
  <c r="D55" i="57" s="1"/>
  <c r="M49" i="57"/>
  <c r="I111" i="57"/>
  <c r="D128" i="57" s="1"/>
  <c r="D110" i="57"/>
  <c r="D116" i="57" s="1"/>
  <c r="I112" i="57" s="1"/>
  <c r="D129" i="57" s="1"/>
  <c r="I104" i="57"/>
  <c r="D7" i="62"/>
  <c r="L68" i="57"/>
  <c r="M68" i="57" s="1"/>
  <c r="L66" i="57"/>
  <c r="M66" i="57" s="1"/>
  <c r="L64" i="57"/>
  <c r="M64" i="57" s="1"/>
  <c r="M70" i="57" s="1"/>
  <c r="N70" i="57" s="1"/>
  <c r="L69" i="57"/>
  <c r="M69" i="57" s="1"/>
  <c r="L67" i="57"/>
  <c r="M67" i="57" s="1"/>
  <c r="L65" i="57"/>
  <c r="M65" i="57" s="1"/>
  <c r="C96" i="57"/>
  <c r="C80" i="57"/>
  <c r="C81" i="57" l="1"/>
  <c r="E81" i="57" s="1"/>
  <c r="E82" i="57" s="1"/>
  <c r="C97" i="57"/>
  <c r="E97" i="57" s="1"/>
  <c r="E98" i="57" s="1"/>
  <c r="M56" i="9"/>
  <c r="D130" i="9"/>
  <c r="D13" i="52" s="1"/>
  <c r="C98" i="57" l="1"/>
  <c r="D59" i="57" s="1"/>
  <c r="D57" i="57" s="1"/>
  <c r="M55" i="57" s="1"/>
  <c r="N58" i="57" s="1"/>
  <c r="C82" i="57"/>
  <c r="D35" i="9"/>
  <c r="C35" i="9" s="1"/>
  <c r="P58" i="57" l="1"/>
  <c r="N59" i="57"/>
  <c r="N60" i="57"/>
  <c r="C34" i="9"/>
  <c r="D34" i="9"/>
  <c r="N62" i="57" l="1"/>
  <c r="N61" i="57"/>
  <c r="I112" i="9"/>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l="1"/>
  <c r="D121" i="9" l="1"/>
  <c r="E4" i="52"/>
  <c r="B38" i="60" s="1"/>
  <c r="D122" i="9" l="1"/>
  <c r="D5" i="52" s="1"/>
  <c r="B39" i="60" s="1"/>
  <c r="D4" i="52"/>
  <c r="B37" i="60" s="1"/>
  <c r="I121" i="9"/>
  <c r="C104" i="9" s="1"/>
  <c r="H121" i="9" l="1"/>
  <c r="I4" i="52"/>
  <c r="I103" i="9"/>
  <c r="D107" i="9"/>
  <c r="H4" i="52" l="1"/>
  <c r="D14" i="62"/>
  <c r="C103" i="9"/>
  <c r="D106" i="9"/>
  <c r="D112" i="9" s="1"/>
  <c r="D30" i="50"/>
  <c r="D9" i="50"/>
  <c r="B21" i="60" s="1"/>
  <c r="H122" i="9"/>
  <c r="H5" i="52" s="1"/>
  <c r="I102" i="9"/>
  <c r="D45" i="9" s="1"/>
  <c r="D113" i="9"/>
  <c r="D117" i="9"/>
  <c r="I110" i="9" l="1"/>
  <c r="D125" i="9" s="1"/>
  <c r="M48" i="9"/>
  <c r="E14" i="62"/>
  <c r="B5" i="62"/>
  <c r="F14" i="62"/>
  <c r="D15" i="50"/>
  <c r="I111" i="9"/>
  <c r="D38" i="50"/>
  <c r="B62" i="60" s="1"/>
  <c r="I115" i="9"/>
  <c r="D23" i="50" s="1"/>
  <c r="B34" i="60" s="1"/>
  <c r="D44" i="50"/>
  <c r="D28" i="50"/>
  <c r="D29" i="50" s="1"/>
  <c r="D7" i="50"/>
  <c r="D55" i="9"/>
  <c r="M53" i="9" s="1"/>
  <c r="C85" i="9"/>
  <c r="C78" i="9"/>
  <c r="C73" i="9" s="1"/>
  <c r="D52" i="9"/>
  <c r="D53" i="9"/>
  <c r="D48" i="9" s="1"/>
  <c r="M52" i="9" s="1"/>
  <c r="C93" i="9"/>
  <c r="C86" i="9" s="1"/>
  <c r="D59" i="9"/>
  <c r="M55" i="9" s="1"/>
  <c r="C72" i="9"/>
  <c r="C64" i="9"/>
  <c r="C63" i="9" s="1"/>
  <c r="C67" i="9" s="1"/>
  <c r="C68" i="9" s="1"/>
  <c r="D54" i="9" s="1"/>
  <c r="D36" i="50" l="1"/>
  <c r="D37" i="50" s="1"/>
  <c r="D8" i="52"/>
  <c r="G14" i="62"/>
  <c r="B6" i="62" s="1"/>
  <c r="C5" i="62"/>
  <c r="D5" i="62"/>
  <c r="D126" i="9"/>
  <c r="D9" i="52" s="1"/>
  <c r="D17" i="50"/>
  <c r="B19" i="60"/>
  <c r="D8" i="50"/>
  <c r="B22" i="60" s="1"/>
  <c r="D16" i="50"/>
  <c r="B30" i="60" s="1"/>
  <c r="B29" i="60"/>
  <c r="C79" i="9"/>
  <c r="C80" i="9" s="1"/>
  <c r="E80" i="9" s="1"/>
  <c r="E81" i="9" s="1"/>
  <c r="C95" i="9"/>
  <c r="C6" i="62" l="1"/>
  <c r="D6" i="62"/>
  <c r="C96" i="9"/>
  <c r="E96" i="9" s="1"/>
  <c r="E97" i="9" s="1"/>
  <c r="C81" i="9"/>
  <c r="C97" i="9" l="1"/>
  <c r="D58" i="9" s="1"/>
  <c r="D56" i="9" s="1"/>
  <c r="M54" i="9" s="1"/>
  <c r="N57" i="9" s="1"/>
  <c r="N59" i="9" l="1"/>
  <c r="P57" i="9"/>
  <c r="N58" i="9"/>
  <c r="N61" i="9" l="1"/>
  <c r="N60" i="9"/>
  <c r="G121" i="9"/>
  <c r="F121" i="9" l="1"/>
  <c r="G4" i="52"/>
  <c r="B41" i="60" s="1"/>
  <c r="F122" i="9" l="1"/>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<sst xmlns="http://schemas.openxmlformats.org/spreadsheetml/2006/main" count="6820" uniqueCount="2870">
  <si>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</si>
  <si>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</si>
  <si>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</si>
  <si>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</si>
  <si>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</si>
  <si>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</si>
  <si>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</si>
  <si>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</si>
  <si>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</si>
  <si>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</si>
  <si>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</si>
  <si>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</si>
  <si>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</si>
  <si>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</si>
  <si>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</si>
  <si>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</si>
  <si>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</si>
  <si>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</si>
  <si>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</si>
  <si>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</si>
  <si>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</si>
  <si>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</si>
  <si>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</si>
  <si>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</si>
  <si>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</si>
  <si>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</si>
  <si>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</si>
  <si>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</si>
  <si>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</si>
  <si>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</si>
  <si>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</si>
  <si>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</si>
  <si>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</si>
  <si>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</si>
  <si>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</si>
  <si>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</si>
  <si>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</si>
  <si>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</si>
  <si>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</si>
  <si>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</si>
  <si>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</si>
  <si>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</si>
  <si>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</si>
  <si>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</si>
  <si>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</si>
  <si>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</si>
  <si>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</si>
  <si>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</si>
  <si>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</si>
  <si>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</si>
  <si>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</si>
  <si>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</si>
  <si>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</si>
  <si>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</si>
  <si>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</si>
  <si>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</si>
  <si>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</si>
  <si>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</si>
  <si>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</si>
  <si>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</si>
  <si>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</si>
  <si>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</si>
  <si>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</si>
  <si>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</si>
  <si>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</si>
  <si>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</si>
  <si>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</si>
  <si>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</si>
  <si>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</si>
  <si>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</si>
  <si>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</si>
  <si>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</si>
  <si>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</si>
  <si>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</si>
  <si>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</si>
  <si>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</si>
  <si>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</si>
  <si>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</si>
  <si>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</si>
  <si>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</si>
  <si>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</si>
  <si>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</si>
  <si>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</si>
  <si>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</si>
  <si>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</si>
  <si>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</si>
  <si>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</si>
  <si>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</si>
  <si>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</si>
  <si>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</si>
  <si>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</si>
  <si>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</si>
  <si>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</si>
  <si>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</si>
  <si>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</si>
  <si>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</si>
  <si>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</si>
  <si>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</si>
  <si>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</si>
  <si>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</si>
  <si>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</si>
  <si>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</si>
  <si>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</si>
  <si>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</si>
  <si>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</si>
  <si>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</si>
  <si>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</si>
  <si>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</si>
  <si>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</si>
  <si>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</si>
  <si>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</si>
  <si>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</si>
  <si>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</si>
  <si>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</si>
  <si>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</si>
  <si>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</si>
  <si>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</si>
  <si>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</si>
  <si>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</si>
  <si>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</si>
  <si>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</si>
  <si>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</si>
  <si>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</si>
  <si>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</si>
  <si>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</si>
  <si>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</si>
  <si>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</si>
  <si>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</si>
  <si>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</si>
  <si>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</si>
  <si>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</si>
  <si>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</si>
  <si>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</si>
  <si>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</si>
  <si>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</si>
  <si>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</si>
  <si>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</si>
  <si>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</si>
  <si>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</si>
  <si>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</si>
  <si>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</si>
  <si>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</si>
  <si>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</si>
  <si>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</si>
  <si>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</si>
  <si>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</si>
  <si>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</si>
  <si>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</si>
  <si>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</si>
  <si>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</si>
  <si>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</si>
  <si>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</si>
  <si>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</si>
  <si>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</si>
  <si>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</si>
  <si>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</si>
  <si>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</si>
  <si>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</si>
  <si>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</si>
  <si>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</si>
  <si>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</si>
  <si>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</si>
  <si>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</si>
  <si>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</si>
  <si>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</si>
  <si>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</si>
  <si>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</si>
  <si>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</si>
  <si>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</si>
  <si>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</si>
  <si>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</si>
  <si>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</si>
  <si>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</si>
  <si>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</si>
  <si>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</si>
  <si>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</si>
  <si>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</si>
  <si>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</si>
  <si>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</si>
  <si>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</si>
  <si>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</si>
  <si>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</si>
  <si>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</si>
  <si>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</si>
  <si>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</si>
  <si>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</si>
  <si>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</si>
  <si>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</si>
  <si>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</si>
  <si>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</si>
  <si>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</si>
  <si>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</si>
  <si>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</si>
  <si>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</si>
  <si>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</si>
  <si>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</si>
  <si>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</si>
  <si>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</si>
  <si>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</si>
  <si>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</si>
  <si>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</si>
  <si>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</si>
  <si>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</si>
  <si>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</si>
  <si>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</si>
  <si>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</si>
  <si>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</si>
  <si>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</si>
  <si>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</si>
  <si>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</si>
  <si>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</si>
  <si>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</si>
  <si>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</si>
  <si>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</si>
  <si>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</si>
  <si>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</si>
  <si>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</si>
  <si>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</si>
  <si>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</si>
  <si>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</si>
  <si>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</si>
  <si>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</si>
  <si>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</si>
  <si>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</si>
  <si>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</si>
  <si>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</si>
  <si>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</si>
  <si>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</si>
  <si>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</si>
  <si>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</si>
  <si>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</si>
  <si>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</si>
  <si>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</si>
  <si>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</si>
  <si>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</si>
  <si>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</si>
  <si>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</si>
  <si>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</si>
  <si>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</si>
  <si>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</si>
  <si>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</si>
  <si>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</si>
  <si>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</si>
  <si>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</si>
  <si>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</si>
  <si>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</si>
  <si>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</si>
  <si>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</si>
  <si>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</si>
  <si>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</si>
  <si>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</si>
  <si>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</si>
  <si>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</si>
  <si>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</si>
  <si>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</si>
  <si>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</si>
  <si>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</si>
  <si>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</si>
  <si>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</si>
  <si>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</si>
  <si>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</si>
  <si>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</si>
  <si>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</si>
  <si>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</si>
  <si>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</si>
  <si>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</si>
  <si>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</si>
  <si>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</si>
  <si>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</si>
  <si>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</si>
  <si>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</si>
  <si>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</si>
  <si>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</si>
  <si>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</si>
  <si>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</si>
  <si>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</si>
  <si>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</si>
  <si>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</si>
  <si>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</si>
  <si>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</si>
  <si>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</si>
  <si>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</si>
  <si>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</si>
  <si>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</si>
  <si>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</si>
  <si>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</si>
  <si>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</si>
  <si>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</si>
  <si>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</si>
  <si>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</si>
  <si>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</si>
  <si>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</si>
  <si>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</si>
  <si>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</si>
  <si>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</si>
  <si>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</si>
  <si>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</si>
  <si>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</si>
  <si>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</si>
  <si>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</si>
  <si>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</si>
  <si>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</si>
  <si>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</si>
  <si>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</si>
  <si>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</si>
  <si>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</si>
  <si>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</si>
  <si>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</si>
  <si>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</si>
  <si>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</si>
  <si>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</si>
  <si>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</si>
  <si>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</si>
  <si>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</si>
  <si>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</si>
  <si>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</si>
  <si>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</si>
  <si>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</si>
  <si>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</si>
  <si>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</si>
  <si>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</si>
  <si>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</si>
  <si>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</si>
  <si>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</si>
  <si>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</si>
  <si>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</si>
  <si>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</si>
  <si>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</si>
  <si>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</si>
  <si>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</si>
  <si>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</si>
  <si>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</si>
  <si>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</si>
  <si>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</si>
  <si>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</si>
  <si>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</si>
  <si>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</si>
  <si>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</si>
  <si>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</si>
  <si>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</si>
  <si>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</si>
  <si>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</si>
  <si>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</si>
  <si>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</si>
  <si>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</si>
  <si>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</si>
  <si>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</si>
  <si>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</si>
  <si>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</si>
  <si>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</si>
  <si>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</si>
  <si>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</si>
  <si>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</si>
  <si>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</si>
  <si>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</si>
  <si>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</si>
  <si>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</si>
  <si>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</si>
  <si>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</si>
  <si>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</si>
  <si>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</si>
  <si>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</si>
  <si>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</si>
  <si>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</si>
  <si>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</si>
  <si>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</si>
  <si>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</si>
  <si>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</si>
  <si>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</si>
  <si>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</si>
  <si>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</si>
  <si>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</si>
  <si>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</si>
  <si>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</si>
  <si>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</si>
  <si>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</si>
  <si>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</si>
  <si>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</si>
  <si>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</si>
  <si>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</si>
  <si>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</si>
  <si>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</si>
  <si>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</si>
  <si>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</si>
  <si>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</si>
  <si>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</si>
  <si>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</si>
  <si>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</si>
  <si>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</si>
  <si>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</si>
  <si>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</si>
  <si>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</si>
  <si>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</si>
  <si>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</si>
  <si>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</si>
  <si>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</si>
  <si>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</si>
  <si>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</si>
  <si>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</si>
  <si>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</si>
  <si>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</si>
  <si>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</si>
  <si>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</si>
  <si>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</si>
  <si>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</si>
  <si>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</si>
  <si>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</si>
  <si>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</si>
  <si>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</si>
  <si>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</si>
  <si>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</si>
  <si>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</si>
  <si>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</si>
  <si>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</si>
  <si>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</si>
  <si>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</si>
  <si>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</si>
  <si>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</si>
  <si>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</si>
  <si>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</si>
  <si>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</si>
  <si>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</si>
  <si>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</si>
  <si>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</si>
  <si>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</si>
  <si>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</si>
  <si>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</si>
  <si>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</si>
  <si>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</si>
  <si>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</si>
  <si>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</si>
  <si>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</si>
  <si>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</si>
  <si>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</si>
  <si>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</si>
  <si>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</si>
  <si>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</si>
  <si>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</si>
  <si>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</si>
  <si>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</si>
  <si>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</si>
  <si>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</si>
  <si>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</si>
  <si>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</si>
  <si>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</si>
  <si>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</si>
  <si>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</si>
  <si>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</si>
  <si>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</si>
  <si>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</si>
  <si>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</si>
  <si>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</si>
  <si>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</si>
  <si>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</si>
  <si>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</si>
  <si>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</si>
  <si>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</si>
  <si>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</si>
  <si>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</si>
  <si>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</si>
  <si>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</si>
  <si>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</si>
  <si>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</si>
  <si>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</si>
  <si>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</si>
  <si>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</si>
  <si>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</si>
  <si>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</si>
  <si>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</si>
  <si>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</si>
  <si>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</si>
  <si>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</si>
  <si>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</si>
  <si>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</si>
  <si>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</si>
  <si>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</si>
  <si>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</si>
  <si>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</si>
  <si>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</si>
  <si>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</si>
  <si>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</si>
  <si>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</si>
  <si>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</si>
  <si>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</si>
  <si>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</si>
  <si>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</si>
  <si>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</si>
  <si>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</si>
  <si>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</si>
  <si>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</si>
  <si>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</si>
  <si>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</si>
  <si>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</si>
  <si>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</si>
  <si>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</si>
  <si>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</si>
  <si>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</si>
  <si>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</si>
  <si>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</si>
  <si>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</si>
  <si>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</si>
  <si>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</si>
  <si>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</si>
  <si>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</si>
  <si>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</si>
  <si>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</si>
  <si>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</si>
  <si>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</si>
  <si>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</si>
  <si>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</si>
  <si>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</si>
  <si>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</si>
  <si>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</si>
  <si>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</si>
  <si>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</si>
  <si>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</si>
  <si>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</si>
  <si>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</si>
  <si>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</si>
  <si>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</si>
  <si>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</si>
  <si>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</si>
  <si>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</si>
  <si>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</si>
  <si>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</si>
  <si>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</si>
  <si>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</si>
  <si>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</si>
  <si>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</si>
  <si>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</si>
  <si>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</si>
  <si>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</si>
  <si>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</si>
  <si>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</si>
  <si>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</si>
  <si>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</si>
  <si>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</si>
  <si>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</si>
  <si>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</si>
  <si>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</si>
  <si>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</si>
  <si>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</si>
  <si>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</si>
  <si>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</si>
  <si>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</si>
  <si>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</si>
  <si>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</si>
  <si>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</si>
  <si>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</si>
  <si>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</si>
  <si>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</si>
  <si>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</si>
  <si>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</si>
  <si>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</si>
  <si>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</si>
  <si>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</si>
  <si>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</si>
  <si>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</si>
  <si>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</si>
  <si>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</si>
  <si>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</si>
  <si>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</si>
  <si>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</si>
  <si>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</si>
  <si>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</si>
  <si>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</si>
  <si>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</si>
  <si>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</si>
  <si>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</si>
  <si>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</si>
  <si>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</si>
  <si>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</si>
  <si>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</si>
  <si>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</si>
  <si>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</si>
  <si>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</si>
  <si>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</si>
  <si>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</si>
  <si>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</si>
  <si>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</si>
  <si>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</si>
  <si>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</si>
  <si>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</si>
  <si>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</si>
  <si>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</si>
  <si>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</si>
  <si>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</si>
  <si>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</si>
  <si>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</si>
  <si>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</si>
  <si>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</si>
  <si>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</si>
  <si>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</si>
  <si>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</si>
  <si>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</si>
  <si>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</si>
  <si>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</si>
  <si>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</si>
  <si>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</si>
  <si>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</si>
  <si>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</si>
  <si>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</si>
  <si>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</si>
  <si>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</si>
  <si>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</si>
  <si>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</si>
  <si>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</si>
  <si>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</si>
  <si>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</si>
  <si>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</si>
  <si>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</si>
  <si>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</si>
  <si>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</si>
  <si>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</si>
  <si>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</si>
  <si>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</si>
  <si>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</si>
  <si>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</si>
  <si>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</si>
  <si>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</si>
  <si>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</si>
  <si>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</si>
  <si>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</si>
  <si>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</si>
  <si>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</si>
  <si>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</si>
  <si>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</si>
  <si>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</si>
  <si>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</si>
  <si>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</si>
  <si>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</si>
  <si>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</si>
  <si>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</si>
  <si>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</si>
  <si>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</si>
  <si>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</si>
  <si>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</si>
  <si>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</si>
  <si>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</si>
  <si>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</si>
  <si>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</si>
  <si>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</si>
  <si>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</si>
  <si>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</si>
  <si>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</si>
  <si>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</si>
  <si>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</si>
  <si>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</si>
  <si>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</si>
  <si>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</si>
  <si>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</si>
  <si>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</si>
  <si>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</si>
  <si>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</si>
  <si>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</si>
  <si>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</si>
  <si>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</si>
  <si>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</si>
  <si>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</si>
  <si>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</si>
  <si>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</si>
  <si>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</si>
  <si>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</si>
  <si>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</si>
  <si>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</si>
  <si>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</si>
  <si>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</si>
  <si>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</si>
  <si>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</si>
  <si>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</si>
  <si>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</si>
  <si>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</si>
  <si>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</si>
  <si>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</si>
  <si>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</si>
  <si>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</si>
  <si>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</si>
  <si>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</si>
  <si>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</si>
  <si>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</si>
  <si>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</si>
  <si>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</si>
  <si>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</si>
  <si>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</si>
  <si>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</si>
  <si>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</si>
  <si>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</si>
  <si>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</si>
  <si>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</si>
  <si>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</si>
  <si>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</si>
  <si>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</si>
  <si>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</si>
  <si>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</si>
  <si>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</si>
  <si>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</si>
  <si>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</si>
  <si>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</si>
  <si>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</si>
  <si>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</si>
  <si>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</si>
  <si>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</si>
  <si>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</si>
  <si>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</si>
  <si>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</si>
  <si>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</si>
  <si>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</si>
  <si>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</si>
  <si>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</si>
  <si>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</si>
  <si>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</si>
  <si>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</si>
  <si>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</si>
  <si>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</si>
  <si>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</si>
  <si>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</si>
  <si>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</si>
  <si>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</si>
  <si>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</si>
  <si>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</si>
  <si>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</si>
  <si>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</si>
  <si>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</si>
  <si>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</si>
  <si>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</si>
  <si>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</si>
  <si>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</si>
  <si>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</si>
  <si>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</si>
  <si>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</si>
  <si>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</si>
  <si>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</si>
  <si>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</si>
  <si>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</si>
  <si>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</si>
  <si>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</si>
  <si>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</si>
  <si>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</si>
  <si>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</si>
  <si>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</si>
  <si>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</si>
  <si>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</si>
  <si>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</si>
  <si>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</si>
  <si>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</si>
  <si>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</si>
  <si>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</si>
  <si>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</si>
  <si>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</si>
  <si>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</si>
  <si>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</si>
  <si>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</si>
  <si>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</si>
  <si>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</si>
  <si>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</si>
  <si>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</si>
  <si>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</si>
  <si>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</si>
  <si>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</si>
  <si>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</si>
  <si>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</si>
  <si>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</si>
  <si>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</si>
  <si>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</si>
  <si>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</si>
  <si>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</si>
  <si>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</si>
  <si>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</si>
  <si>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</si>
  <si>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</si>
  <si>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</si>
  <si>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</si>
  <si>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</si>
  <si>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</si>
  <si>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</si>
  <si>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</si>
  <si>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</si>
  <si>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</si>
  <si>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</si>
  <si>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</si>
  <si>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</si>
  <si>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</si>
  <si>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</si>
  <si>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</si>
  <si>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</si>
  <si>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</si>
  <si>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</si>
  <si>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</si>
  <si>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</si>
  <si>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</si>
  <si>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</si>
  <si>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</si>
  <si>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</si>
  <si>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</si>
  <si>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</si>
  <si>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</si>
  <si>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</si>
  <si>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</si>
  <si>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</si>
  <si>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</si>
  <si>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</si>
  <si>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</si>
  <si>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</si>
  <si>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</si>
  <si>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</si>
  <si>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</si>
  <si>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</si>
  <si>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</si>
  <si>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</si>
  <si>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</si>
  <si>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</si>
  <si>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</si>
  <si>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</si>
  <si>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</si>
  <si>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</si>
  <si>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</si>
  <si>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</si>
  <si>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</si>
  <si>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</si>
  <si>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</si>
  <si>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</si>
  <si>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</si>
  <si>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</si>
  <si>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</si>
  <si>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</si>
  <si>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</si>
  <si>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</si>
  <si>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</si>
  <si>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</si>
  <si>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</si>
  <si>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</si>
  <si>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</si>
  <si>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</si>
  <si>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</si>
  <si>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</si>
  <si>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</si>
  <si>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</si>
  <si>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</si>
  <si>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</si>
  <si>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</si>
  <si>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</si>
  <si>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</si>
  <si>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</si>
  <si>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</si>
  <si>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</si>
  <si>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</si>
  <si>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</si>
  <si>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</si>
  <si>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</si>
  <si>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</si>
  <si>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</si>
  <si>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</si>
  <si>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</si>
  <si>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</si>
  <si>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</si>
  <si>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</si>
  <si>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</si>
  <si>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</si>
  <si>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</si>
  <si>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</si>
  <si>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</si>
  <si>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</si>
  <si>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</si>
  <si>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</si>
  <si>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</si>
  <si>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</si>
  <si>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</si>
  <si>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</si>
  <si>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</si>
  <si>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</si>
  <si>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</si>
  <si>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</si>
  <si>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</si>
  <si>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</si>
  <si>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</si>
  <si>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</si>
  <si>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</si>
  <si>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</si>
  <si>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</si>
  <si>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</si>
  <si>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</si>
  <si>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</si>
  <si>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</si>
  <si>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</si>
  <si>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</si>
  <si>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</si>
  <si>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</si>
  <si>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</si>
  <si>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</si>
  <si>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</si>
  <si>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</si>
  <si>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</si>
  <si>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</si>
  <si>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</si>
  <si>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</si>
  <si>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</si>
  <si>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</si>
  <si>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</si>
  <si>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</si>
  <si>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</si>
  <si>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</si>
  <si>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</si>
  <si>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</si>
  <si>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</si>
  <si>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</si>
  <si>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</si>
  <si>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</si>
  <si>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</si>
  <si>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</si>
  <si>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</si>
  <si>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</si>
  <si>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</si>
  <si>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</si>
  <si>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</si>
  <si>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</si>
  <si>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</si>
  <si>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</si>
  <si>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</si>
  <si>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</si>
  <si>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</si>
  <si>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</si>
  <si>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</si>
  <si>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</si>
  <si>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</si>
  <si>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</si>
  <si>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</si>
  <si>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</si>
  <si>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</si>
  <si>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</si>
  <si>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</si>
  <si>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</si>
  <si>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</si>
  <si>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</si>
  <si>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</si>
  <si>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</si>
  <si>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</si>
  <si>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</si>
  <si>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</si>
  <si>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</si>
  <si>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</si>
  <si>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</si>
  <si>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</si>
  <si>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</si>
  <si>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</si>
  <si>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</si>
  <si>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</si>
  <si>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</si>
  <si>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</si>
  <si>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</si>
  <si>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</si>
  <si>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</si>
  <si>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</si>
  <si>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</si>
  <si>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</si>
  <si>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</si>
  <si>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</si>
  <si>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</si>
  <si>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</si>
  <si>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</si>
  <si>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</si>
  <si>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</si>
  <si>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</si>
  <si>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</si>
  <si>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</si>
  <si>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</si>
  <si>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</si>
  <si>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</si>
  <si>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</si>
  <si>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</si>
  <si>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</si>
  <si>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</si>
  <si>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</si>
  <si>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</si>
  <si>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</si>
  <si>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</si>
  <si>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</si>
  <si>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</si>
  <si>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</si>
  <si>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</si>
  <si>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</si>
  <si>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</si>
  <si>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</si>
  <si>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</si>
  <si>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</si>
  <si>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</si>
  <si>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</si>
  <si>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</si>
  <si>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</si>
  <si>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</si>
  <si>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</si>
  <si>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</si>
  <si>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</si>
  <si>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</si>
  <si>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</si>
  <si>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</si>
  <si>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</si>
  <si>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</si>
  <si>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</si>
  <si>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</si>
  <si>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</si>
  <si>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</si>
  <si>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</si>
  <si>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</si>
  <si>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</si>
  <si>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</si>
  <si>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</si>
  <si>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</si>
  <si>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</si>
  <si>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</si>
  <si>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</si>
  <si>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</si>
  <si>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</si>
  <si>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</si>
  <si>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</si>
  <si>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</si>
  <si>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</si>
  <si>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</si>
  <si>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</si>
  <si>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</si>
  <si>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</si>
  <si>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</si>
  <si>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</si>
  <si>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</si>
  <si>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</si>
  <si>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</si>
  <si>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</si>
  <si>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</si>
  <si>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</si>
  <si>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</si>
  <si>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</si>
  <si>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</si>
  <si>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</si>
  <si>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</si>
  <si>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</si>
  <si>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</si>
  <si>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</si>
  <si>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</si>
  <si>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</si>
  <si>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</si>
  <si>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</si>
  <si>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</si>
  <si>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</si>
  <si>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</si>
  <si>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</si>
  <si>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</si>
  <si>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</si>
  <si>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</si>
  <si>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</si>
  <si>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</si>
  <si>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</si>
  <si>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</si>
  <si>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</si>
  <si>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</si>
  <si>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</si>
  <si>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</si>
  <si>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</si>
  <si>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</si>
  <si>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</si>
  <si>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</si>
  <si>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</si>
  <si>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</si>
  <si>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</si>
  <si>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</si>
  <si>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</si>
  <si>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</si>
  <si>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</si>
  <si>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</si>
  <si>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</si>
  <si>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</si>
  <si>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</si>
  <si>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</si>
  <si>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</si>
  <si>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</si>
  <si>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</si>
  <si>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</si>
  <si>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</si>
  <si>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</si>
  <si>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</si>
  <si>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</si>
  <si>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</si>
  <si>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</si>
  <si>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</si>
  <si>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</si>
  <si>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</si>
  <si>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</si>
  <si>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</si>
  <si>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</si>
  <si>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</si>
  <si>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</si>
  <si>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</si>
  <si>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</si>
  <si>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</si>
  <si>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</si>
  <si>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</si>
  <si>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</si>
  <si>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</si>
  <si>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</si>
  <si>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</si>
  <si>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</si>
  <si>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</si>
  <si>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</si>
  <si>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</si>
  <si>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</si>
  <si>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</si>
  <si>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</si>
  <si>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</si>
  <si>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</si>
  <si>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</si>
  <si>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</si>
  <si>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</si>
  <si>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</si>
  <si>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</si>
  <si>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</si>
  <si>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</si>
  <si>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</si>
  <si>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</si>
  <si>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</si>
  <si>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</si>
  <si>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</si>
  <si>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</si>
  <si>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</si>
  <si>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</si>
  <si>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</si>
  <si>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</si>
  <si>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</si>
  <si>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</si>
  <si>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</si>
  <si>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</si>
  <si>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</si>
  <si>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</si>
  <si>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</si>
  <si>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</si>
  <si>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</si>
  <si>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</si>
  <si>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</si>
  <si>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</si>
  <si>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</si>
  <si>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</si>
  <si>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</si>
  <si>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</si>
  <si>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</si>
  <si>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</si>
  <si>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</si>
  <si>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</si>
  <si>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</si>
  <si>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</si>
  <si>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</si>
  <si>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</si>
  <si>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</si>
  <si>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</si>
  <si>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</si>
  <si>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</si>
  <si>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</si>
  <si>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</si>
  <si>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</si>
  <si>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</si>
  <si>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</si>
  <si>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</si>
  <si>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</si>
  <si>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</si>
  <si>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</si>
  <si>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</si>
  <si>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</si>
  <si>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</si>
  <si>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</si>
  <si>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</si>
  <si>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</si>
  <si>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</si>
  <si>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</si>
  <si>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</si>
  <si>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</si>
  <si>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</si>
  <si>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</si>
  <si>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</si>
  <si>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</si>
  <si>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</si>
  <si>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</si>
  <si>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</si>
  <si>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</si>
  <si>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</si>
  <si>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</si>
  <si>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</si>
  <si>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</si>
  <si>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</si>
  <si>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</si>
  <si>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</si>
  <si>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</si>
  <si>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</si>
  <si>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</si>
  <si>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</si>
  <si>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</si>
  <si>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</si>
  <si>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</si>
  <si>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</si>
  <si>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</si>
  <si>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</si>
  <si>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</si>
  <si>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</si>
  <si>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</si>
  <si>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</si>
  <si>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</si>
  <si>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</si>
  <si>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</si>
  <si>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</si>
  <si>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</si>
  <si>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</si>
  <si>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</si>
  <si>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</si>
  <si>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</si>
  <si>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</si>
  <si>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</si>
  <si>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</si>
  <si>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</si>
  <si>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</si>
  <si>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</si>
  <si>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</si>
  <si>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</si>
  <si>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</si>
  <si>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</si>
  <si>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</si>
  <si>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</si>
  <si>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</si>
  <si>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</si>
  <si>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</si>
  <si>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</si>
  <si>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</si>
  <si>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</si>
  <si>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</si>
  <si>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</si>
  <si>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</si>
  <si>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</si>
  <si>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</si>
  <si>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</si>
  <si>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</si>
  <si>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</si>
  <si>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</si>
  <si>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</si>
  <si>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</si>
  <si>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</si>
  <si>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</si>
  <si>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</si>
  <si>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</si>
  <si>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</si>
  <si>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</si>
  <si>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</si>
  <si>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</si>
  <si>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</si>
  <si>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</si>
  <si>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</si>
  <si>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</si>
  <si>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</si>
  <si>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</si>
  <si>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</si>
  <si>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</si>
  <si>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</si>
  <si>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</si>
  <si>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</si>
  <si>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</si>
  <si>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</si>
  <si>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</si>
  <si>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</si>
  <si>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</si>
  <si>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</si>
  <si>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</si>
  <si>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</si>
  <si>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</si>
  <si>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</si>
  <si>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</si>
  <si>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</si>
  <si>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</si>
  <si>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</si>
  <si>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</si>
  <si>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</si>
  <si>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</si>
  <si>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</si>
  <si>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</si>
  <si>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</si>
  <si>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</si>
  <si>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</si>
  <si>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</si>
  <si>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</si>
  <si>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</si>
  <si>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</si>
  <si>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</si>
  <si>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</si>
  <si>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</si>
  <si>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</si>
  <si>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</si>
  <si>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</si>
  <si>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</si>
  <si>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</si>
  <si>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</si>
  <si>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</si>
  <si>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</si>
  <si>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</si>
  <si>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</si>
  <si>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</si>
  <si>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</si>
  <si>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</si>
  <si>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</si>
  <si>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</si>
  <si>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</si>
  <si>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</si>
  <si>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</si>
  <si>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</si>
  <si>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</si>
  <si>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</si>
  <si>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</si>
  <si>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</si>
  <si>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</si>
  <si>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</si>
  <si>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</si>
  <si>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</si>
  <si>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</si>
  <si>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</si>
  <si>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</si>
  <si>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</si>
  <si>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</si>
  <si>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</si>
  <si>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</si>
  <si>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</si>
  <si>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</si>
  <si>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</si>
  <si>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</si>
  <si>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</si>
  <si>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</si>
  <si>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</si>
  <si>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</si>
  <si>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</si>
  <si>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</si>
  <si>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</si>
  <si>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</si>
  <si>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</si>
  <si>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</si>
  <si>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</si>
  <si>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</si>
  <si>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</si>
  <si>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</si>
  <si>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</si>
  <si>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</si>
  <si>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</si>
  <si>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</si>
  <si>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</si>
  <si>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</si>
  <si>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</si>
  <si>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</si>
  <si>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</si>
  <si>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</si>
  <si>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</si>
  <si>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</si>
  <si>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</si>
  <si>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</si>
  <si>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</si>
  <si>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</si>
  <si>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</si>
  <si>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</si>
  <si>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</si>
  <si>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</si>
  <si>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</si>
  <si>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</si>
  <si>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</si>
  <si>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</si>
  <si>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</si>
  <si>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</si>
  <si>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</si>
  <si>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</si>
  <si>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</si>
  <si>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</si>
  <si>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</si>
  <si>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</si>
  <si>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</si>
  <si>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</si>
  <si>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</si>
  <si>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</si>
  <si>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</si>
  <si>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</si>
  <si>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</si>
  <si>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</si>
  <si>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</si>
  <si>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</si>
  <si>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</si>
  <si>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</si>
  <si>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</si>
  <si>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</si>
  <si>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</si>
  <si>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</si>
  <si>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</si>
  <si>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</si>
  <si>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</si>
  <si>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</si>
  <si>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</si>
  <si>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</si>
  <si>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</si>
  <si>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</si>
  <si>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</si>
  <si>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</si>
  <si>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</si>
  <si>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</si>
  <si>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</si>
  <si>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</si>
  <si>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</si>
  <si>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</si>
  <si>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</si>
  <si>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</si>
  <si>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</si>
  <si>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</si>
  <si>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</si>
  <si>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</si>
  <si>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</si>
  <si>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</si>
  <si>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</si>
  <si>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</si>
  <si>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</si>
  <si>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</si>
  <si>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</si>
  <si>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</si>
  <si>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</si>
  <si>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</si>
  <si>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</si>
  <si>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</si>
  <si>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</si>
  <si>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</si>
  <si>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</si>
  <si>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</si>
  <si>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</si>
  <si>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</si>
  <si>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</si>
  <si>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</si>
  <si>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</si>
  <si>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</si>
  <si>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</si>
  <si>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</si>
  <si>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</si>
  <si>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</si>
  <si>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</si>
  <si>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</si>
  <si>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</si>
  <si>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</si>
  <si>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</si>
  <si>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</si>
  <si>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</si>
  <si>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</si>
  <si>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</si>
  <si>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</si>
  <si>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</si>
  <si>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</si>
  <si>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</si>
  <si>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</si>
  <si>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</si>
  <si>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</si>
  <si>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</si>
  <si>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</si>
  <si>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</si>
  <si>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</si>
  <si>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</si>
  <si>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</si>
  <si>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</si>
  <si>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</si>
  <si>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</si>
  <si>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</si>
  <si>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</si>
  <si>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</si>
  <si>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</si>
  <si>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</si>
  <si>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</si>
  <si>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</si>
  <si>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</si>
  <si>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</si>
  <si>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</si>
  <si>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</si>
  <si>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</si>
  <si>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</si>
  <si>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</si>
  <si>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</si>
  <si>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</si>
  <si>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</si>
  <si>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</si>
  <si>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</si>
  <si>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</si>
  <si>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</si>
  <si>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</si>
  <si>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</si>
  <si>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</si>
  <si>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</si>
  <si>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</si>
  <si>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</si>
  <si>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</si>
  <si>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</si>
  <si>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</si>
  <si>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</si>
  <si>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</si>
  <si>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</si>
  <si>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</si>
  <si>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</si>
  <si>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</si>
  <si>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</si>
  <si>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</si>
  <si>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</si>
  <si>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</si>
  <si>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</si>
  <si>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</si>
  <si>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</si>
  <si>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</si>
  <si>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</si>
  <si>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</si>
  <si>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</si>
  <si>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</si>
  <si>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</si>
  <si>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</si>
  <si>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</si>
  <si>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</si>
  <si>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</si>
  <si>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</si>
  <si>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</si>
  <si>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</si>
  <si>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</si>
  <si>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</si>
  <si>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</si>
  <si>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</si>
  <si>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</si>
  <si>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</si>
  <si>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</si>
  <si>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</si>
  <si>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</si>
  <si>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</si>
  <si>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</si>
  <si>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</si>
  <si>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</si>
  <si>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</si>
  <si>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</si>
  <si>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</si>
  <si>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</si>
  <si>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</si>
  <si>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</si>
  <si>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</si>
  <si>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</si>
  <si>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</si>
  <si>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</si>
  <si>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</si>
  <si>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</si>
  <si>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</si>
  <si>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</si>
  <si>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</si>
  <si>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</si>
  <si>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</si>
  <si>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</si>
  <si>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</si>
  <si>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</si>
  <si>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</si>
  <si>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</si>
  <si>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</si>
  <si>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</si>
  <si>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</si>
  <si>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</si>
  <si>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</si>
  <si>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</si>
  <si>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</si>
  <si>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</si>
  <si>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</si>
  <si>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</si>
  <si>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</si>
  <si>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</si>
  <si>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</si>
  <si>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</si>
  <si>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</si>
  <si>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</si>
  <si>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</si>
  <si>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</si>
  <si>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</si>
  <si>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</si>
  <si>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</si>
  <si>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</si>
  <si>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</si>
  <si>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</si>
  <si>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</si>
  <si>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</si>
  <si>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</si>
  <si>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</si>
  <si>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</si>
  <si>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</si>
  <si>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</si>
  <si>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</si>
  <si>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</si>
  <si>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</si>
  <si>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</si>
  <si>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</si>
  <si>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</si>
  <si>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</si>
  <si>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</si>
  <si>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</si>
  <si>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</si>
  <si>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</si>
  <si>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</si>
  <si>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</si>
  <si>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</si>
  <si>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</si>
  <si>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</si>
  <si>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</si>
  <si>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</si>
  <si>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</si>
  <si>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</si>
  <si>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</si>
  <si>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</si>
  <si>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</si>
  <si>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</si>
  <si>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</si>
  <si>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</si>
  <si>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</si>
  <si>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</si>
  <si>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</si>
  <si>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</si>
  <si>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</si>
  <si>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</si>
  <si>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</si>
  <si>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</si>
  <si>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</si>
  <si>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</si>
  <si>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</si>
  <si>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</si>
  <si>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</si>
  <si>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</si>
  <si>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</si>
  <si>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</si>
  <si>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</si>
  <si>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</si>
  <si>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</si>
  <si>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</si>
  <si>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</si>
  <si>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</si>
  <si>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</si>
  <si>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</si>
  <si>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</si>
  <si>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</si>
  <si>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</si>
  <si>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</si>
  <si>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</si>
  <si>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</si>
  <si>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</si>
  <si>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</si>
  <si>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</si>
  <si>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</si>
  <si>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</si>
  <si>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</si>
  <si>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</si>
  <si>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</si>
  <si>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</si>
  <si>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</si>
  <si>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</si>
  <si>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</si>
  <si>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</si>
  <si>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</si>
  <si>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</si>
  <si>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</si>
  <si>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</si>
  <si>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</si>
  <si>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</si>
  <si>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</si>
  <si>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</si>
  <si>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</si>
  <si>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</si>
  <si>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</si>
  <si>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</si>
  <si>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</si>
  <si>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</si>
  <si>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</si>
  <si>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</si>
  <si>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</si>
  <si>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</si>
  <si>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</si>
  <si>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</si>
  <si>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</si>
  <si>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</si>
  <si>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</si>
  <si>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</si>
  <si>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</si>
  <si>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</si>
  <si>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</si>
  <si>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</si>
  <si>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</si>
  <si>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</si>
  <si>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</si>
  <si>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</si>
  <si>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</si>
  <si>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</si>
  <si>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</si>
  <si>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</si>
  <si>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</si>
  <si>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</si>
  <si>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</si>
  <si>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</si>
  <si>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</si>
  <si>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</si>
  <si>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</si>
  <si>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</si>
  <si>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</si>
  <si>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</si>
  <si>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</si>
  <si>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</si>
  <si>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</si>
  <si>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</si>
  <si>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</si>
  <si>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</si>
  <si>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</si>
  <si>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</si>
  <si>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</si>
  <si>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</si>
  <si>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</si>
  <si>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</si>
  <si>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</si>
  <si>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</si>
  <si>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</si>
  <si>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</si>
  <si>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</si>
  <si>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</si>
  <si>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</si>
  <si>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</si>
  <si>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</si>
  <si>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</si>
  <si>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</si>
  <si>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</si>
  <si>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</si>
  <si>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</si>
  <si>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</si>
  <si>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</si>
  <si>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</si>
  <si>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</si>
  <si>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</si>
  <si>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</si>
  <si>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</si>
  <si>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</si>
  <si>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</si>
  <si>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</si>
  <si>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</si>
  <si>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</si>
  <si>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</si>
  <si>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</si>
  <si>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</si>
  <si>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</si>
  <si>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</si>
  <si>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</si>
  <si>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</si>
  <si>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</si>
  <si>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</si>
  <si>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</si>
  <si>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</si>
  <si>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</si>
  <si>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</si>
  <si>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</si>
  <si>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</si>
  <si>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</si>
  <si>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</si>
  <si>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</si>
  <si>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</si>
  <si>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</si>
  <si>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</si>
  <si>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</si>
  <si>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</si>
  <si>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</si>
  <si>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</si>
  <si>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</si>
  <si>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</si>
  <si>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</si>
  <si>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</si>
  <si>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</si>
  <si>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</si>
  <si>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</si>
  <si>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</si>
  <si>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</si>
  <si>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</si>
  <si>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</si>
  <si>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</si>
  <si>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</si>
  <si>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</si>
  <si>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</si>
  <si>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</si>
  <si>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</si>
  <si>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</si>
  <si>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</si>
  <si>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</si>
  <si>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</si>
  <si>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</si>
  <si>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</si>
  <si>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</si>
  <si>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</si>
  <si>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</si>
  <si>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</si>
  <si>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</si>
  <si>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</si>
  <si>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</si>
  <si>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</si>
  <si>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</si>
  <si>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</si>
  <si>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</si>
  <si>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</si>
  <si>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</si>
  <si>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</si>
  <si>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</si>
  <si>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</si>
  <si>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</si>
  <si>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</si>
  <si>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</si>
  <si>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</si>
  <si>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</si>
  <si>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</si>
  <si>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</si>
  <si>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</si>
  <si>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</si>
  <si>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</si>
  <si>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</si>
  <si>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</si>
  <si>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</si>
  <si>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</si>
  <si>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</si>
  <si>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</si>
  <si>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</si>
  <si>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</si>
  <si>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</si>
  <si>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</si>
  <si>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</si>
  <si>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</si>
  <si>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</si>
  <si>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</si>
  <si>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</si>
  <si>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</si>
  <si>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</si>
  <si>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</si>
  <si>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</si>
  <si>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</si>
  <si>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</si>
  <si>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</si>
  <si>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</si>
  <si>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</si>
  <si>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</si>
  <si>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</si>
  <si>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</si>
  <si>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</si>
  <si>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</si>
  <si>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</si>
  <si>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</si>
  <si>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</si>
  <si>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</si>
  <si>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</si>
  <si>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</si>
  <si>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</si>
  <si>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</si>
  <si>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</si>
  <si>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</si>
  <si>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</si>
  <si>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</si>
  <si>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</si>
  <si>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</si>
  <si>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</si>
  <si>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</si>
  <si>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</si>
  <si>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</si>
  <si>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</si>
  <si>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</si>
  <si>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</si>
  <si>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</si>
  <si>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</si>
  <si>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</si>
  <si>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</si>
  <si>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</si>
  <si>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</si>
  <si>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</si>
  <si>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</si>
  <si>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</si>
  <si>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</si>
  <si>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</si>
  <si>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</si>
  <si>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</si>
  <si>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</si>
  <si>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</si>
  <si>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</si>
  <si>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</si>
  <si>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</si>
  <si>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</si>
  <si>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</si>
  <si>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</si>
  <si>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</si>
  <si>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</si>
  <si>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</si>
  <si>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</si>
  <si>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</si>
  <si>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</si>
  <si>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</si>
  <si>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</si>
  <si>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</si>
  <si>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</si>
  <si>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</si>
  <si>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</si>
  <si>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</si>
  <si>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</si>
  <si>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</si>
  <si>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</si>
  <si>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</si>
  <si>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</si>
  <si>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</si>
  <si>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</si>
  <si>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</si>
  <si>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</si>
  <si>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</si>
  <si>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</si>
  <si>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</si>
  <si>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</si>
  <si>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</si>
  <si>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</si>
  <si>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</si>
  <si>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</si>
  <si>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</si>
  <si>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</si>
  <si>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</si>
  <si>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</si>
  <si>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</si>
  <si>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</si>
  <si>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</si>
  <si>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</si>
  <si>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</si>
  <si>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</si>
  <si>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</si>
  <si>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</si>
  <si>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</si>
  <si>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</si>
  <si>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</si>
  <si>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</si>
  <si>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</si>
  <si>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</si>
  <si>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</si>
  <si>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</si>
  <si>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</si>
  <si>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</si>
  <si>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</si>
  <si>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</si>
  <si>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</si>
  <si>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</si>
  <si>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</si>
  <si>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</si>
  <si>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</si>
  <si>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</si>
  <si>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</si>
  <si>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</si>
  <si>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</si>
  <si>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</si>
  <si>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</si>
  <si>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</si>
  <si>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</si>
  <si>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</si>
  <si>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</si>
  <si>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</si>
  <si>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</si>
  <si>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</si>
  <si>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</si>
  <si>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</si>
  <si>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</si>
  <si>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</si>
  <si>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</si>
  <si>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</si>
  <si>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</si>
  <si>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</si>
  <si>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</si>
  <si>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</si>
  <si>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</si>
  <si>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</si>
  <si>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</si>
  <si>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</si>
  <si>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</si>
  <si>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</si>
  <si>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</si>
  <si>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</si>
  <si>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</si>
  <si>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</si>
  <si>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</si>
  <si>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</si>
  <si>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</si>
  <si>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</si>
  <si>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</si>
  <si>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</si>
  <si>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</si>
  <si>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</si>
  <si>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</si>
  <si>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</si>
  <si>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</si>
  <si>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</si>
  <si>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</si>
  <si>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</si>
  <si>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</si>
  <si>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</si>
  <si>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</si>
  <si>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</si>
  <si>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</si>
  <si>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</si>
  <si>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</si>
  <si>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</si>
  <si>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</si>
  <si>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</si>
  <si>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</si>
  <si>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</si>
  <si>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</si>
  <si>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</si>
  <si>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</si>
  <si>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</si>
  <si>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</si>
  <si>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</si>
  <si>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</si>
  <si>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</si>
  <si>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</si>
  <si>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</si>
  <si>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</si>
  <si>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</si>
  <si>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</si>
  <si>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</si>
  <si>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</si>
  <si>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</si>
  <si>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</si>
  <si>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</si>
  <si>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</si>
  <si>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</si>
  <si>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</si>
  <si>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</si>
  <si>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</si>
  <si>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</si>
  <si>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</si>
  <si>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</si>
  <si>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</si>
  <si>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</si>
  <si>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</si>
  <si>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</si>
  <si>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</si>
  <si>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</si>
  <si>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</si>
  <si>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</si>
  <si>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</si>
  <si>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</si>
  <si>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</si>
  <si>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</si>
  <si>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</si>
  <si>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</si>
  <si>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</si>
  <si>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</si>
  <si>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</si>
  <si>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</si>
  <si>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</si>
  <si>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</si>
  <si>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</si>
  <si>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</si>
  <si>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</si>
  <si>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</si>
  <si>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</si>
  <si>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</si>
  <si>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</si>
  <si>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</si>
  <si>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</si>
  <si>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</si>
  <si>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</si>
  <si>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</si>
  <si>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</si>
  <si>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</si>
  <si>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</si>
  <si>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</si>
  <si>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</si>
  <si>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</si>
  <si>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</si>
  <si>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</si>
  <si>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</si>
  <si>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</si>
  <si>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</si>
  <si>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</si>
  <si>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</si>
  <si>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</si>
  <si>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</si>
  <si>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</si>
  <si>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</si>
  <si>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</si>
  <si>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</si>
  <si>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</si>
  <si>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</si>
  <si>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</si>
  <si>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</si>
  <si>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</si>
  <si>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</si>
  <si>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</si>
  <si>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</si>
  <si>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</si>
  <si>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</si>
  <si>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</si>
  <si>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</si>
  <si>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</si>
  <si>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</si>
  <si>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</si>
  <si>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</si>
  <si>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</si>
  <si>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</si>
  <si>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</si>
  <si>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</si>
  <si>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</si>
  <si>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</si>
  <si>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</si>
  <si>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</si>
  <si>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</si>
  <si>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</si>
  <si>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</si>
  <si>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</si>
  <si>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</si>
  <si>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</si>
  <si>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</si>
  <si>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</si>
  <si>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</si>
  <si>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</si>
  <si>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</si>
  <si>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</si>
  <si>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</si>
  <si>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</si>
  <si>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</si>
  <si>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</si>
  <si>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</si>
  <si>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</si>
  <si>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</si>
  <si>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</si>
  <si>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</si>
  <si>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</si>
  <si>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</si>
  <si>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</si>
  <si>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</si>
  <si>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</si>
  <si>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</si>
  <si>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</si>
  <si>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</si>
  <si>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</si>
  <si>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</si>
  <si>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</si>
  <si>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</si>
  <si>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</si>
  <si>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</si>
  <si>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</si>
  <si>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</si>
  <si>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</si>
  <si>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</si>
  <si>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</si>
  <si>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</si>
  <si>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</si>
  <si>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</si>
  <si>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</si>
  <si>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</si>
  <si>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</si>
  <si>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</si>
  <si>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</si>
  <si>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</si>
  <si>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</si>
  <si>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</si>
  <si>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</si>
  <si>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</si>
  <si>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</si>
  <si>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</si>
  <si>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</si>
  <si>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</si>
  <si>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</si>
  <si>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</si>
  <si>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</si>
  <si>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</si>
  <si>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</si>
  <si>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</si>
  <si>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</si>
  <si>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</si>
  <si>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</si>
  <si>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</si>
  <si>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</si>
  <si>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</si>
  <si>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</si>
  <si>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</si>
  <si>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</si>
  <si>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</si>
  <si>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</si>
  <si>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</si>
  <si>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</si>
  <si>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</si>
  <si>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</si>
  <si>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</si>
  <si>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</si>
  <si>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</si>
  <si>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</si>
  <si>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</si>
  <si>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</si>
  <si>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</si>
  <si>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</si>
  <si>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</si>
  <si>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</si>
  <si>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</si>
  <si>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</si>
  <si>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</si>
  <si>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</si>
  <si>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</si>
  <si>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</si>
  <si>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</si>
  <si>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</si>
  <si>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</si>
  <si>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</si>
  <si>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</si>
  <si>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</si>
  <si>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</si>
  <si>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</si>
  <si>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</si>
  <si>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</si>
  <si>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</si>
  <si>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</si>
  <si>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</si>
  <si>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</si>
  <si>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</si>
  <si>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</si>
  <si>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</si>
  <si>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</si>
  <si>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</si>
  <si>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</si>
  <si>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</si>
  <si>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</si>
  <si>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</si>
  <si>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</si>
  <si>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</si>
  <si>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</si>
  <si>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</si>
  <si>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</si>
  <si>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</si>
  <si>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</si>
  <si>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</si>
  <si>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</si>
  <si>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</si>
  <si>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</si>
  <si>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</si>
  <si>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</si>
  <si>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</si>
  <si>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</si>
  <si>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</si>
  <si>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</si>
  <si>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</si>
  <si>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</si>
  <si>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</si>
  <si>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</si>
  <si>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</si>
  <si>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</si>
  <si>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</si>
  <si>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</si>
  <si>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</si>
  <si>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</si>
  <si>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</si>
  <si>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</si>
  <si>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</si>
  <si>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</si>
  <si>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</si>
  <si>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</si>
  <si>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</si>
  <si>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</si>
  <si>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</si>
  <si>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</si>
  <si>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</si>
  <si>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</si>
  <si>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</si>
  <si>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</si>
  <si>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</si>
  <si>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</si>
  <si>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</si>
  <si>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</si>
  <si>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</si>
  <si>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</si>
  <si>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</si>
  <si>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</si>
  <si>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</si>
  <si>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</si>
  <si>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</si>
  <si>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</si>
  <si>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</si>
  <si>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</si>
  <si>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</si>
  <si>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</si>
  <si>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</si>
  <si>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</si>
  <si>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</si>
  <si>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</si>
  <si>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</si>
  <si>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</si>
  <si>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</si>
  <si>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</si>
  <si>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</si>
  <si>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</si>
  <si>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</si>
  <si>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</si>
  <si>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</si>
  <si>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</si>
  <si>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</si>
  <si>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</si>
  <si>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</si>
  <si>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</si>
  <si>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</si>
  <si>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</si>
  <si>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</si>
  <si>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</si>
  <si>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</si>
  <si>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</si>
  <si>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</si>
  <si>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</si>
  <si>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</si>
  <si>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</si>
  <si>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</si>
  <si>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</si>
  <si>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</si>
  <si>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</si>
  <si>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</si>
  <si>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</si>
  <si>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</si>
  <si>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</si>
  <si>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</si>
  <si>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</si>
  <si>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</si>
  <si>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</si>
  <si>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</si>
  <si>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</si>
  <si>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</si>
  <si>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</si>
  <si>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</si>
  <si>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</si>
  <si>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</si>
  <si>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</si>
  <si>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</si>
  <si>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</si>
  <si>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</si>
  <si>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</si>
  <si>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</si>
  <si>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</si>
  <si>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</si>
  <si>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</si>
  <si>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</si>
  <si>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</si>
  <si>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</si>
  <si>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</si>
  <si>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</si>
  <si>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</si>
  <si>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</si>
  <si>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</si>
  <si>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</si>
  <si>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</si>
  <si>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</si>
  <si>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</si>
  <si>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</si>
  <si>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</si>
  <si>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</si>
  <si>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</si>
  <si>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</si>
  <si>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</si>
  <si>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</si>
  <si>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</si>
  <si>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</si>
  <si>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</si>
  <si>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</si>
  <si>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</si>
  <si>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</si>
  <si>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</si>
  <si>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</si>
  <si>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</si>
  <si>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</si>
  <si>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</si>
  <si>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</si>
  <si>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</si>
  <si>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</si>
  <si>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</si>
  <si>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</si>
  <si>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</si>
  <si>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</si>
  <si>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</si>
  <si>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</si>
  <si>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</si>
  <si>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</si>
  <si>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</si>
  <si>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</si>
  <si>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</si>
  <si>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</si>
  <si>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</si>
  <si>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</si>
  <si>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</si>
  <si>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</si>
  <si>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</si>
  <si>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</si>
  <si>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</si>
  <si>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</si>
  <si>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</si>
  <si>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</si>
  <si>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</si>
  <si>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</si>
  <si>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</si>
  <si>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</si>
  <si>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</si>
  <si>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</si>
  <si>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</si>
  <si>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</si>
  <si>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</si>
  <si>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</si>
  <si>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</si>
  <si>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</si>
  <si>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</si>
  <si>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</si>
  <si>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</si>
  <si>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</si>
  <si>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</si>
  <si>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</si>
  <si>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</si>
  <si>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</si>
  <si>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</si>
  <si>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</si>
  <si>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</si>
  <si>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</si>
  <si>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</si>
  <si>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</si>
  <si>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</si>
  <si>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</si>
  <si>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</si>
  <si>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</si>
  <si>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</si>
  <si>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</si>
  <si>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</si>
  <si>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</si>
  <si>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</si>
  <si>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</si>
  <si>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</si>
  <si>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</si>
  <si>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</si>
  <si>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</si>
  <si>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</si>
  <si>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</si>
  <si>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</si>
  <si>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</si>
  <si>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</si>
  <si>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</si>
  <si>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</si>
  <si>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</si>
  <si>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</si>
  <si>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</si>
  <si>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</si>
  <si>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</si>
  <si>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</si>
  <si>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</si>
  <si>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</si>
  <si>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</si>
  <si>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</si>
  <si>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</si>
  <si>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</si>
  <si>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</si>
  <si>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</si>
  <si>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</si>
  <si>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</si>
  <si>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</si>
  <si>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</si>
  <si>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</si>
  <si>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</si>
  <si>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</si>
  <si>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</si>
  <si>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</si>
  <si>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</si>
  <si>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</si>
  <si>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</si>
  <si>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</si>
  <si>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</si>
  <si>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</si>
  <si>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</si>
  <si>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</si>
  <si>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</si>
  <si>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</si>
  <si>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</si>
  <si>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</si>
  <si>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</si>
  <si>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</si>
  <si>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</si>
  <si>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</si>
  <si>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</si>
  <si>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</si>
  <si>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</si>
  <si>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</si>
  <si>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</si>
  <si>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</si>
  <si>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</si>
  <si>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</si>
  <si>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</si>
  <si>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</si>
  <si>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</si>
  <si>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</si>
  <si>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</si>
  <si>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</si>
  <si>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</si>
  <si>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</si>
  <si>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</si>
  <si>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</si>
  <si>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</si>
  <si>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</si>
  <si>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</si>
  <si>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</si>
  <si>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</si>
  <si>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</si>
  <si>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</si>
  <si>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</si>
  <si>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</si>
  <si>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</si>
  <si>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</si>
  <si>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</si>
  <si>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</si>
  <si>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</si>
  <si>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</si>
  <si>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</si>
  <si>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</si>
  <si>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</si>
  <si>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</si>
  <si>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</si>
  <si>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</si>
  <si>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</si>
  <si>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</si>
  <si>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</si>
  <si>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</si>
  <si>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</si>
  <si>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</si>
  <si>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</si>
  <si>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</si>
  <si>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</si>
  <si>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</si>
  <si>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</si>
  <si>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</si>
  <si>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</si>
  <si>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</si>
  <si>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</si>
  <si>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</si>
  <si>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</si>
  <si>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</si>
  <si>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</si>
  <si>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</si>
  <si>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</si>
  <si>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</si>
  <si>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</si>
  <si>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</si>
  <si>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</si>
  <si>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</si>
  <si>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</si>
  <si>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</si>
  <si>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</si>
  <si>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</si>
  <si>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</si>
  <si>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</si>
  <si>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</si>
  <si>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</si>
  <si>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</si>
  <si>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</si>
  <si>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</si>
  <si>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</si>
  <si>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</si>
  <si>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</si>
  <si>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</si>
  <si>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</si>
  <si>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</si>
  <si>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</si>
  <si>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</si>
  <si>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</si>
  <si>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</si>
  <si>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</si>
  <si>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</si>
  <si>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</si>
  <si>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</si>
  <si>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</si>
  <si>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</si>
  <si>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</si>
  <si>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</si>
  <si>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</si>
  <si>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</si>
  <si>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</si>
  <si>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</si>
  <si>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</si>
  <si>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</si>
  <si>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</si>
  <si>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</si>
  <si>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</si>
  <si>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</si>
  <si>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</si>
  <si>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</si>
  <si>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</si>
  <si>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</si>
  <si>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</si>
  <si>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</si>
  <si>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</si>
  <si>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</si>
  <si>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</si>
  <si>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</si>
  <si>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</si>
  <si>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</si>
  <si>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</si>
  <si>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</si>
  <si>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</si>
  <si>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</si>
  <si>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</si>
  <si>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</si>
  <si>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</si>
  <si>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</si>
  <si>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</si>
  <si>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</si>
  <si>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</si>
  <si>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</si>
  <si>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</si>
  <si>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</si>
  <si>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</si>
  <si>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</si>
  <si>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</si>
  <si>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</si>
  <si>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</si>
  <si>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</si>
  <si>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</si>
  <si>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</si>
  <si>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</si>
  <si>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</si>
  <si>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</si>
  <si>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</si>
  <si>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</si>
  <si>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</si>
  <si>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</si>
  <si>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</si>
  <si>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</si>
  <si>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</si>
  <si>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</si>
  <si>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</si>
  <si>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</si>
  <si>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</si>
  <si>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</si>
  <si>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</si>
  <si>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</si>
  <si>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</si>
  <si>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</si>
  <si>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</si>
  <si>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</si>
  <si>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</si>
  <si>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</si>
  <si>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</si>
  <si>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</si>
  <si>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</si>
  <si>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</si>
  <si>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</si>
  <si>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</si>
  <si>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</si>
  <si>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</si>
  <si>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</si>
  <si>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</si>
  <si>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</si>
  <si>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</si>
  <si>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</si>
  <si>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</si>
  <si>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</si>
  <si>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</si>
  <si>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</si>
  <si>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</si>
  <si>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</si>
  <si>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</si>
  <si>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</si>
  <si>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</si>
  <si>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</si>
  <si>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</si>
  <si>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</si>
  <si>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</si>
  <si>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</si>
  <si>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</si>
  <si>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</si>
  <si>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</si>
  <si>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</si>
  <si>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</si>
  <si>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</si>
  <si>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</si>
  <si>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</si>
  <si>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</si>
  <si>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</si>
  <si>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</si>
  <si>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</si>
  <si>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</si>
  <si>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</si>
  <si>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</si>
  <si>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</si>
  <si>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</si>
  <si>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</si>
  <si>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</si>
  <si>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</si>
  <si>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</si>
  <si>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</si>
  <si>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</si>
  <si>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</si>
  <si>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</si>
  <si>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</si>
  <si>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</si>
  <si>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</si>
  <si>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</si>
  <si>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</si>
  <si>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</si>
  <si>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</si>
  <si>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</si>
  <si>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</si>
  <si>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</si>
  <si>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</si>
  <si>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</si>
  <si>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</si>
  <si>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</si>
  <si>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</si>
  <si>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</si>
  <si>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</si>
  <si>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</si>
  <si>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</si>
  <si>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</si>
  <si>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</si>
  <si>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</si>
  <si>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</si>
  <si>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</si>
  <si>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</si>
  <si>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</si>
  <si>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</si>
  <si>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</si>
  <si>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</si>
  <si>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</si>
  <si>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</si>
  <si>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</si>
  <si>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</si>
  <si>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</si>
  <si>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</si>
  <si>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</si>
  <si>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</si>
  <si>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</si>
  <si>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</si>
  <si>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</si>
  <si>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</si>
  <si>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</si>
  <si>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</si>
  <si>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</si>
  <si>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</si>
  <si>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</si>
  <si>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</si>
  <si>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</si>
  <si>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</si>
  <si>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</si>
  <si>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</si>
  <si>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</si>
  <si>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</si>
  <si>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</si>
  <si>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</si>
  <si>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</si>
  <si>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</si>
  <si>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</si>
  <si>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</si>
  <si>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</si>
  <si>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</si>
  <si>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</si>
  <si>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</si>
  <si>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</si>
  <si>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</si>
  <si>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</si>
  <si>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</si>
  <si>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</si>
  <si>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</si>
  <si>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</si>
  <si>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</si>
  <si>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</si>
  <si>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</si>
  <si>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</si>
  <si>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</si>
  <si>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</si>
  <si>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</si>
  <si>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</si>
  <si>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</si>
  <si>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</si>
  <si>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</si>
  <si>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</si>
  <si>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</si>
  <si>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</si>
  <si>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</si>
  <si>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</si>
  <si>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</si>
  <si>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</si>
  <si>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</si>
  <si>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</si>
  <si>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</si>
  <si>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</si>
  <si>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</si>
  <si>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</si>
  <si>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</si>
  <si>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</si>
  <si>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</si>
  <si>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</si>
  <si>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</si>
  <si>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</si>
  <si>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</si>
  <si>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</si>
  <si>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</si>
  <si>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</si>
  <si>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</si>
  <si>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</si>
  <si>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</si>
  <si>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</si>
  <si>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</si>
  <si>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</si>
  <si>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</si>
  <si>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</si>
  <si>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</si>
  <si>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</si>
  <si>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</si>
  <si>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</si>
  <si>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</si>
  <si>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</si>
  <si>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</si>
  <si>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</si>
  <si>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</si>
  <si>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</si>
  <si>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</si>
  <si>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</si>
  <si>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</si>
  <si>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</si>
  <si>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浦发银行</t>
    <phoneticPr fontId="7" type="noConversion"/>
  </si>
  <si>
    <t>北京市</t>
  </si>
  <si>
    <t>自然人</t>
  </si>
  <si>
    <t>赵敏丽</t>
    <phoneticPr fontId="7" type="noConversion"/>
  </si>
  <si>
    <t>与房产证证载一致</t>
  </si>
  <si>
    <t>住宅</t>
  </si>
  <si>
    <t>住宅</t>
    <phoneticPr fontId="7" type="noConversion"/>
  </si>
  <si>
    <t>房屋所有权证</t>
  </si>
  <si>
    <r>
      <rPr>
        <sz val="10"/>
        <color indexed="8"/>
        <rFont val="宋体"/>
        <family val="3"/>
        <charset val="134"/>
      </rPr>
      <t>京房权证海私字第</t>
    </r>
    <r>
      <rPr>
        <sz val="10"/>
        <color indexed="8"/>
        <rFont val="Arial"/>
        <family val="2"/>
      </rPr>
      <t>0002302</t>
    </r>
    <r>
      <rPr>
        <sz val="10"/>
        <color indexed="8"/>
        <rFont val="宋体"/>
        <family val="3"/>
        <charset val="134"/>
      </rPr>
      <t>号</t>
    </r>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</si>
  <si>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</si>
  <si>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t>私产</t>
    <phoneticPr fontId="7" type="noConversion"/>
  </si>
  <si>
    <t>万元</t>
  </si>
  <si>
    <t>无租约</t>
  </si>
  <si>
    <t>实际成新</t>
    <phoneticPr fontId="4" type="noConversion"/>
  </si>
  <si>
    <t>观察成新</t>
    <phoneticPr fontId="4" type="noConversion"/>
  </si>
  <si>
    <t>仅计算典型户型</t>
  </si>
  <si>
    <t>钢混</t>
  </si>
  <si>
    <t>非生产用房</t>
  </si>
  <si>
    <t>设定收益年期(n)</t>
  </si>
  <si>
    <t>售价</t>
  </si>
  <si>
    <t>住宅</t>
    <phoneticPr fontId="20" type="noConversion"/>
  </si>
  <si>
    <t>远洋风景</t>
    <phoneticPr fontId="4" type="noConversion"/>
  </si>
  <si>
    <t>海淀区德胜门西大街15号一号楼</t>
    <phoneticPr fontId="4" type="noConversion"/>
  </si>
  <si>
    <t>比较法-住宅</t>
  </si>
  <si>
    <t>典型户型修正</t>
  </si>
  <si>
    <t>估价对象周边居住用地比例大、居住小区规模较大和社区发展完善程度好，综合评价居住社区成熟度好。</t>
    <phoneticPr fontId="35" type="noConversion"/>
  </si>
  <si>
    <t>城市快速路——北二环路</t>
    <phoneticPr fontId="20" type="noConversion"/>
  </si>
  <si>
    <t>东西</t>
    <phoneticPr fontId="146" type="noConversion"/>
  </si>
  <si>
    <r>
      <t>2</t>
    </r>
    <r>
      <rPr>
        <sz val="11"/>
        <color theme="1"/>
        <rFont val="宋体"/>
        <family val="3"/>
        <charset val="134"/>
        <scheme val="minor"/>
      </rPr>
      <t>.3.6最好</t>
    </r>
    <phoneticPr fontId="146" type="noConversion"/>
  </si>
  <si>
    <t>按租金收入计税</t>
  </si>
  <si>
    <t>南北</t>
  </si>
  <si>
    <t>南北</t>
    <phoneticPr fontId="20" type="noConversion"/>
  </si>
  <si>
    <t>东南</t>
    <phoneticPr fontId="20" type="noConversion"/>
  </si>
  <si>
    <t>西南</t>
    <phoneticPr fontId="20" type="noConversion"/>
  </si>
  <si>
    <t>南</t>
    <phoneticPr fontId="20" type="noConversion"/>
  </si>
  <si>
    <t>东西</t>
  </si>
  <si>
    <t>东西</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</si>
  <si>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</si>
  <si>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</si>
  <si>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</si>
  <si>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</si>
  <si>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</si>
  <si>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钢混</t>
    <phoneticPr fontId="20" type="noConversion"/>
  </si>
  <si>
    <t>居住用地（指二类居住用地）</t>
  </si>
  <si>
    <t>无</t>
  </si>
  <si>
    <t>成本法</t>
  </si>
  <si>
    <t>七通一平</t>
  </si>
  <si>
    <t>一致</t>
  </si>
  <si>
    <t>地价指数</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</si>
  <si>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</si>
  <si>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</si>
  <si>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</si>
  <si>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</si>
  <si>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已包含在土地取得成本中</t>
  </si>
  <si>
    <t>未包含在土地购买价格中</t>
  </si>
  <si>
    <t>楼面单价</t>
  </si>
  <si>
    <t>否</t>
  </si>
  <si>
    <t>估价对象1（结果表）</t>
  </si>
  <si>
    <t>海淀区德胜门西大街15号</t>
    <phoneticPr fontId="4" type="noConversion"/>
  </si>
  <si>
    <t>估价对象</t>
  </si>
  <si>
    <t>七通</t>
  </si>
  <si>
    <t>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</si>
</sst>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636222</xdr:colOff>
      <xdr:row>21</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08422"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9525</xdr:rowOff>
    </xdr:from>
    <xdr:to>
      <xdr:col>9</xdr:col>
      <xdr:colOff>609600</xdr:colOff>
      <xdr:row>43</xdr:row>
      <xdr:rowOff>95472</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1425"/>
          <a:ext cx="6781800" cy="3686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43</xdr:row>
      <xdr:rowOff>28575</xdr:rowOff>
    </xdr:from>
    <xdr:to>
      <xdr:col>9</xdr:col>
      <xdr:colOff>600075</xdr:colOff>
      <xdr:row>65</xdr:row>
      <xdr:rowOff>16514</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400925"/>
          <a:ext cx="6772274" cy="3759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28;&#27915;&#39118;&#26223;7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178.24</v>
          </cell>
          <cell r="D14">
            <v>1711</v>
          </cell>
          <cell r="G14">
            <v>1711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例 (2)"/>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193.63</v>
          </cell>
          <cell r="D14">
            <v>1909</v>
          </cell>
          <cell r="G14">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北京市海淀区德胜门西大街15号1号楼预评估</v>
      </c>
    </row>
    <row r="3" spans="1:2" s="1700" customFormat="1">
      <c r="A3" s="1701" t="s">
        <v>1109</v>
      </c>
      <c r="B3" s="1686">
        <f>'预评函-封皮'!B12</f>
        <v>0</v>
      </c>
    </row>
    <row r="4" spans="1:2" s="1700" customFormat="1">
      <c r="A4" s="1701" t="s">
        <v>1110</v>
      </c>
      <c r="B4" s="1686" t="str">
        <f ca="1">'预评函-封皮'!B18</f>
        <v>刘梅（注册号:1120140022）、吴薇（注册号:1419970001)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受您的委托，我公司对北京市海淀区德胜门西大街15号1号楼房地产进行了预评估。</v>
      </c>
    </row>
    <row r="7" spans="1:2">
      <c r="A7" s="1701" t="s">
        <v>1113</v>
      </c>
      <c r="B7" s="1688" t="str">
        <f>'预评函-1'!A6</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2018年6月5日（评估专业人员实地查勘之日）</v>
      </c>
    </row>
    <row r="10" spans="1:2">
      <c r="A10" s="1701" t="s">
        <v>1116</v>
      </c>
      <c r="B10" s="1688" t="str">
        <f>'预评函-1'!A13</f>
        <v>本次估价的“房地产价值”是指在正常市场情况下，在价值时点2018年6月5日，估价对象规划用途为，假定未设立法定优先受偿款下的房地产市场价值。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本次评估采用的主估价方法为比较法和成本法。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北京市海淀区德胜门西大街15号1号楼房地产</v>
      </c>
    </row>
    <row r="18" spans="1:2">
      <c r="A18" s="1701" t="s">
        <v>1124</v>
      </c>
      <c r="B18" s="1688">
        <f>'预评函-2（1）'!C6</f>
        <v>178.24</v>
      </c>
    </row>
    <row r="19" spans="1:2">
      <c r="A19" s="1701" t="s">
        <v>1125</v>
      </c>
      <c r="B19" s="1688">
        <f ca="1">'预评函-2（1）'!D7</f>
        <v>1696</v>
      </c>
    </row>
    <row r="20" spans="1:2">
      <c r="A20" s="1701" t="s">
        <v>1163</v>
      </c>
      <c r="B20" s="1688" t="str">
        <f>'预评函-2（1）'!C7</f>
        <v>总价（万元）</v>
      </c>
    </row>
    <row r="21" spans="1:2">
      <c r="A21" s="1701" t="s">
        <v>1126</v>
      </c>
      <c r="B21" s="1688">
        <f ca="1">'预评函-2（1）'!D9</f>
        <v>95154</v>
      </c>
    </row>
    <row r="22" spans="1:2">
      <c r="A22" s="1701" t="s">
        <v>1127</v>
      </c>
      <c r="B22" s="1688" t="str">
        <f ca="1">'预评函-2（1）'!D8</f>
        <v>壹仟陆佰玖拾陆万元整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1696</v>
      </c>
    </row>
    <row r="30" spans="1:2">
      <c r="A30" s="1701" t="s">
        <v>1133</v>
      </c>
      <c r="B30" s="1688" t="str">
        <f ca="1">'预评函-2（1）'!D16</f>
        <v>壹仟陆佰玖拾陆万元整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1593</v>
      </c>
    </row>
    <row r="38" spans="1:2">
      <c r="A38" s="1701" t="s">
        <v>1141</v>
      </c>
      <c r="B38" s="1688">
        <f ca="1">'预评函-2（2）'!E4</f>
        <v>89350</v>
      </c>
    </row>
    <row r="39" spans="1:2">
      <c r="A39" s="1701" t="s">
        <v>1142</v>
      </c>
      <c r="B39" s="1688" t="str">
        <f ca="1">'预评函-2（2）'!D5</f>
        <v>壹仟伍佰玖拾叁万元整</v>
      </c>
    </row>
    <row r="40" spans="1:2">
      <c r="A40" s="1701" t="s">
        <v>1143</v>
      </c>
      <c r="B40" s="1688">
        <f ca="1">'预评函-2（2）'!F4</f>
        <v>103</v>
      </c>
    </row>
    <row r="41" spans="1:2">
      <c r="A41" s="1701" t="s">
        <v>1144</v>
      </c>
      <c r="B41" s="1688">
        <f ca="1">'预评函-2（2）'!G4</f>
        <v>5804</v>
      </c>
    </row>
    <row r="42" spans="1:2" s="1698" customFormat="1" ht="15.75" thickBot="1">
      <c r="A42" s="1702" t="s">
        <v>1145</v>
      </c>
      <c r="B42" s="1690" t="str">
        <f ca="1">'预评函-2（2）'!F5</f>
        <v>壹佰零叁万元整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刘梅</v>
      </c>
    </row>
    <row r="53" spans="1:2">
      <c r="A53" s="1701" t="s">
        <v>1155</v>
      </c>
      <c r="B53" s="1688">
        <f ca="1">'预评函-3'!B4</f>
        <v>1120140022</v>
      </c>
    </row>
    <row r="54" spans="1:2">
      <c r="A54" s="1701" t="s">
        <v>1156</v>
      </c>
      <c r="B54" s="1692" t="str">
        <f>'预评函-3'!A5</f>
        <v>吴薇</v>
      </c>
    </row>
    <row r="55" spans="1:2" s="1698" customFormat="1" ht="15.75" thickBot="1">
      <c r="A55" s="1702" t="s">
        <v>1157</v>
      </c>
      <c r="B55" s="1690">
        <f ca="1">'预评函-3'!B5</f>
        <v>1419970001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1256</v>
      </c>
      <c r="B62" s="1688">
        <f ca="1">'预评函-2（1）'!D38</f>
        <v>95154</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0" sqref="K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北京市海淀区德胜门西大街15号1号楼预评估</v>
      </c>
      <c r="C1" s="1062"/>
      <c r="D1" s="1995"/>
      <c r="E1" s="1062"/>
      <c r="F1" s="1996" t="s">
        <v>1544</v>
      </c>
      <c r="G1" s="1681"/>
      <c r="I1" s="1019" t="str">
        <f>IF(B6="北京市","北京市",C6)&amp;IF(E12="房屋所有权证",B28,E28)&amp;"房地产"</f>
        <v>北京市海淀区德胜门西大街15号1号楼房地产</v>
      </c>
    </row>
    <row r="2" spans="1:10" ht="13.5" thickTop="1">
      <c r="A2" s="1997" t="s">
        <v>1545</v>
      </c>
      <c r="B2" s="1087">
        <v>43256</v>
      </c>
      <c r="C2" s="1998" t="s">
        <v>1546</v>
      </c>
      <c r="D2" s="1087">
        <v>43256</v>
      </c>
      <c r="E2" s="1063"/>
      <c r="F2" s="1063"/>
      <c r="G2" s="1682"/>
      <c r="H2" s="1019"/>
    </row>
    <row r="3" spans="1:10" ht="13.5" thickBot="1">
      <c r="A3" s="1999" t="s">
        <v>1547</v>
      </c>
      <c r="B3" s="2000" t="s">
        <v>2806</v>
      </c>
      <c r="C3" s="1064">
        <f ca="1">SUMIF(注册房地产估价师,B3,估价师及机构信息!B3:B24)</f>
        <v>1120140022</v>
      </c>
      <c r="D3" s="2000" t="s">
        <v>2807</v>
      </c>
      <c r="E3" s="1065">
        <f ca="1">SUMIF(注册房地产估价师,D3,估价师及机构信息!B3:B24)</f>
        <v>1419970001</v>
      </c>
      <c r="F3" s="1066"/>
      <c r="G3" s="1683"/>
      <c r="H3" s="1019"/>
    </row>
    <row r="4" spans="1:10" ht="13.5" customHeight="1" thickTop="1">
      <c r="A4" s="2001" t="s">
        <v>1548</v>
      </c>
      <c r="B4" s="2002"/>
      <c r="C4" s="2003" t="s">
        <v>1549</v>
      </c>
      <c r="D4" s="2004"/>
      <c r="E4" s="1063"/>
      <c r="F4" s="1063"/>
      <c r="G4" s="1682"/>
    </row>
    <row r="5" spans="1:10">
      <c r="A5" s="2005" t="s">
        <v>1550</v>
      </c>
      <c r="B5" s="2730" t="s">
        <v>2808</v>
      </c>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2809</v>
      </c>
      <c r="C6" s="2013"/>
      <c r="D6" s="2014" t="s">
        <v>1554</v>
      </c>
      <c r="E6" s="1021"/>
      <c r="F6" s="1020"/>
      <c r="G6" s="1073"/>
      <c r="I6" s="1069" t="str">
        <f>IF(COUNTIF(B5,"*上海银行*"),"上海银行","")</f>
        <v/>
      </c>
    </row>
    <row r="7" spans="1:10" ht="13.5" thickBot="1">
      <c r="A7" s="1999" t="s">
        <v>1555</v>
      </c>
      <c r="B7" s="2015" t="s">
        <v>2810</v>
      </c>
      <c r="C7" s="2016" t="str">
        <f>IF(B7="自然人","姓名","名称")</f>
        <v>姓名</v>
      </c>
      <c r="D7" s="2731" t="s">
        <v>2811</v>
      </c>
      <c r="E7" s="1067"/>
      <c r="F7" s="1066"/>
      <c r="G7" s="1683"/>
    </row>
    <row r="8" spans="1:10" ht="13.5" thickTop="1">
      <c r="A8" s="2795" t="s">
        <v>1556</v>
      </c>
      <c r="B8" s="2017" t="s">
        <v>1557</v>
      </c>
      <c r="C8" s="2808"/>
      <c r="D8" s="2809"/>
      <c r="E8" s="2018" t="s">
        <v>1558</v>
      </c>
      <c r="F8" s="2019" t="s">
        <v>1559</v>
      </c>
      <c r="G8" s="690">
        <f>C6</f>
        <v>0</v>
      </c>
    </row>
    <row r="9" spans="1:10" ht="25.5">
      <c r="A9" s="2795"/>
      <c r="B9" s="344" t="s">
        <v>1560</v>
      </c>
      <c r="C9" s="2730" t="s">
        <v>2814</v>
      </c>
      <c r="D9" s="2020" t="s">
        <v>2812</v>
      </c>
      <c r="E9" s="1009" t="s">
        <v>1561</v>
      </c>
      <c r="F9" s="995" t="s">
        <v>221</v>
      </c>
      <c r="G9" s="1011"/>
    </row>
    <row r="10" spans="1:10" ht="13.5" thickBot="1">
      <c r="A10" s="2795"/>
      <c r="B10" s="344" t="s">
        <v>1562</v>
      </c>
      <c r="C10" s="2810"/>
      <c r="D10" s="2811"/>
      <c r="E10" s="2021" t="s">
        <v>1563</v>
      </c>
      <c r="F10" s="1012" t="s">
        <v>137</v>
      </c>
      <c r="G10" s="1013"/>
    </row>
    <row r="11" spans="1:10" ht="13.5" thickBot="1">
      <c r="A11" s="2795"/>
      <c r="B11" s="2022" t="s">
        <v>1564</v>
      </c>
      <c r="C11" s="2812"/>
      <c r="D11" s="2813"/>
      <c r="E11" s="1021"/>
      <c r="F11" s="1020"/>
      <c r="G11" s="1073"/>
    </row>
    <row r="12" spans="1:10" ht="13.5" thickBot="1">
      <c r="A12" s="2799" t="s">
        <v>1565</v>
      </c>
      <c r="B12" s="2023" t="s">
        <v>1566</v>
      </c>
      <c r="C12" s="1015">
        <v>178.24</v>
      </c>
      <c r="D12" s="2023" t="s">
        <v>1567</v>
      </c>
      <c r="E12" s="2024" t="s">
        <v>2815</v>
      </c>
      <c r="F12" s="2025" t="s">
        <v>1253</v>
      </c>
      <c r="G12" s="1073"/>
    </row>
    <row r="13" spans="1:10" ht="21" customHeight="1" thickBot="1">
      <c r="A13" s="2800"/>
      <c r="B13" s="2026" t="s">
        <v>1568</v>
      </c>
      <c r="C13" s="1016"/>
      <c r="D13" s="2026" t="s">
        <v>1569</v>
      </c>
      <c r="E13" s="2027"/>
      <c r="F13" s="1020"/>
      <c r="G13" s="1073"/>
      <c r="I13" s="2818" t="s">
        <v>1570</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1571</v>
      </c>
      <c r="C14" s="2031"/>
      <c r="D14" s="1020"/>
      <c r="E14" s="1020"/>
      <c r="F14" s="1020"/>
      <c r="G14" s="1073"/>
      <c r="I14" s="281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8">
        <v>3.84</v>
      </c>
      <c r="D15" s="1066"/>
      <c r="E15" s="1066"/>
      <c r="F15" s="1066"/>
      <c r="G15" s="1683"/>
      <c r="I15" s="281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0"/>
      <c r="J16" s="1019"/>
    </row>
    <row r="17" spans="1:15" ht="13.5" customHeight="1">
      <c r="A17" s="2039" t="s">
        <v>1576</v>
      </c>
      <c r="B17" s="2814" t="s">
        <v>1577</v>
      </c>
      <c r="C17" s="2815"/>
      <c r="D17" s="2816" t="s">
        <v>1578</v>
      </c>
      <c r="E17" s="2817"/>
      <c r="F17" s="2040" t="s">
        <v>1579</v>
      </c>
      <c r="G17" s="2041"/>
      <c r="J17" s="1019"/>
    </row>
    <row r="18" spans="1:15">
      <c r="A18" s="2039"/>
      <c r="B18" s="2042"/>
      <c r="C18" s="2010"/>
      <c r="D18" s="2043"/>
      <c r="E18" s="2044"/>
      <c r="F18" s="2045"/>
      <c r="G18" s="1867"/>
      <c r="H18" s="1019"/>
      <c r="J18" s="1019"/>
    </row>
    <row r="19" spans="1:15" ht="21.75" customHeight="1" thickBot="1">
      <c r="A19" s="2039"/>
      <c r="B19" s="2046"/>
      <c r="C19" s="2027"/>
      <c r="D19" s="2047"/>
      <c r="E19" s="1020"/>
      <c r="F19" s="1020"/>
      <c r="G19" s="1867"/>
    </row>
    <row r="20" spans="1:15">
      <c r="A20" s="2048" t="s">
        <v>1580</v>
      </c>
      <c r="B20" s="2049" t="s">
        <v>1581</v>
      </c>
      <c r="C20" s="2050"/>
      <c r="D20" s="2051" t="s">
        <v>1581</v>
      </c>
      <c r="E20" s="2050"/>
      <c r="F20" s="1020"/>
      <c r="G20" s="1867"/>
    </row>
    <row r="21" spans="1:15">
      <c r="A21" s="2052"/>
      <c r="B21" s="2053" t="s">
        <v>1582</v>
      </c>
      <c r="C21" s="2054"/>
      <c r="D21" s="2039" t="s">
        <v>1582</v>
      </c>
      <c r="E21" s="2055"/>
      <c r="F21" s="1020"/>
      <c r="G21" s="1867"/>
    </row>
    <row r="22" spans="1:15">
      <c r="A22" s="2052"/>
      <c r="B22" s="2056" t="s">
        <v>1583</v>
      </c>
      <c r="C22" s="2057"/>
      <c r="D22" s="2056" t="s">
        <v>1583</v>
      </c>
      <c r="E22" s="2055"/>
      <c r="F22" s="1020"/>
      <c r="G22" s="1867"/>
    </row>
    <row r="23" spans="1:15" s="1865" customFormat="1" ht="21" thickBot="1">
      <c r="A23" s="2058"/>
      <c r="B23" s="2059" t="s">
        <v>1584</v>
      </c>
      <c r="C23" s="2060"/>
      <c r="D23" s="2059" t="s">
        <v>1585</v>
      </c>
      <c r="E23" s="2061"/>
      <c r="F23" s="1020"/>
      <c r="G23" s="1867"/>
      <c r="H23" s="2062"/>
      <c r="I23" s="1866"/>
      <c r="K23" s="1864"/>
      <c r="L23" s="1864"/>
      <c r="M23" s="1864"/>
      <c r="O23" s="1866"/>
    </row>
    <row r="24" spans="1:15" ht="13.5" thickBot="1">
      <c r="A24" s="1071" t="s">
        <v>1586</v>
      </c>
      <c r="B24" s="1020"/>
      <c r="C24" s="1020"/>
      <c r="D24" s="1020"/>
      <c r="E24" s="1020"/>
      <c r="F24" s="1020"/>
      <c r="G24" s="1868"/>
      <c r="I24" s="1070"/>
      <c r="K24" s="1070"/>
    </row>
    <row r="25" spans="1:15" s="1080" customFormat="1" ht="13.5" thickBot="1">
      <c r="A25" s="994"/>
      <c r="B25" s="2063" t="s">
        <v>1587</v>
      </c>
      <c r="C25" s="994"/>
      <c r="D25" s="1014"/>
      <c r="E25" s="1017" t="s">
        <v>1588</v>
      </c>
      <c r="F25" s="994"/>
      <c r="G25" s="2064" t="s">
        <v>1589</v>
      </c>
      <c r="L25" s="1081"/>
      <c r="M25" s="1081"/>
      <c r="O25" s="1082"/>
    </row>
    <row r="26" spans="1:15" s="1080" customFormat="1" ht="13.5" thickBot="1">
      <c r="A26" s="994"/>
      <c r="B26" s="1088"/>
      <c r="C26" s="994"/>
      <c r="D26" s="1014"/>
      <c r="E26" s="1088"/>
      <c r="F26" s="994"/>
      <c r="G26" s="1684"/>
      <c r="L26" s="1081"/>
      <c r="M26" s="1081"/>
      <c r="O26" s="1082"/>
    </row>
    <row r="27" spans="1:15" ht="24.75">
      <c r="A27" s="1006" t="s">
        <v>1590</v>
      </c>
      <c r="B27" s="1003" t="s">
        <v>2816</v>
      </c>
      <c r="C27" s="2802" t="s">
        <v>1590</v>
      </c>
      <c r="D27" s="2803"/>
      <c r="E27" s="1003"/>
      <c r="F27" s="1010" t="s">
        <v>1590</v>
      </c>
      <c r="G27" s="1003"/>
      <c r="I27" s="1070"/>
      <c r="K27" s="1070"/>
    </row>
    <row r="28" spans="1:15" ht="24.75">
      <c r="A28" s="1007" t="s">
        <v>1591</v>
      </c>
      <c r="B28" s="978" t="s">
        <v>2817</v>
      </c>
      <c r="C28" s="2804" t="s">
        <v>1592</v>
      </c>
      <c r="D28" s="2805"/>
      <c r="E28" s="978"/>
      <c r="F28" s="1893" t="s">
        <v>1592</v>
      </c>
      <c r="G28" s="978"/>
      <c r="I28" s="1070"/>
      <c r="K28" s="1070"/>
    </row>
    <row r="29" spans="1:15">
      <c r="A29" s="1007" t="s">
        <v>1593</v>
      </c>
      <c r="B29" s="978"/>
      <c r="C29" s="2804" t="s">
        <v>1593</v>
      </c>
      <c r="D29" s="2805"/>
      <c r="E29" s="978"/>
      <c r="F29" s="1893" t="s">
        <v>1594</v>
      </c>
      <c r="G29" s="978"/>
      <c r="I29" s="1070"/>
      <c r="K29" s="1070"/>
    </row>
    <row r="30" spans="1:15">
      <c r="A30" s="1007" t="s">
        <v>1595</v>
      </c>
      <c r="B30" s="2732" t="s">
        <v>2818</v>
      </c>
      <c r="C30" s="2824" t="s">
        <v>1596</v>
      </c>
      <c r="D30" s="2065"/>
      <c r="E30" s="1022" t="str">
        <f>E31&amp;" "&amp;E32&amp;" "&amp;E33&amp;" "&amp;E34</f>
        <v xml:space="preserve">   </v>
      </c>
      <c r="F30" s="1893" t="s">
        <v>1597</v>
      </c>
      <c r="G30" s="978"/>
    </row>
    <row r="31" spans="1:15">
      <c r="A31" s="1007" t="s">
        <v>1598</v>
      </c>
      <c r="B31" s="978"/>
      <c r="C31" s="2825"/>
      <c r="D31" s="1892" t="s">
        <v>1599</v>
      </c>
      <c r="E31" s="978"/>
      <c r="F31" s="1893" t="s">
        <v>1600</v>
      </c>
      <c r="G31" s="978"/>
    </row>
    <row r="32" spans="1:15" ht="24.75" thickBot="1">
      <c r="A32" s="1008" t="s">
        <v>1601</v>
      </c>
      <c r="B32" s="1004"/>
      <c r="C32" s="2825"/>
      <c r="D32" s="1892" t="s">
        <v>1602</v>
      </c>
      <c r="E32" s="978"/>
      <c r="F32" s="1893" t="s">
        <v>1603</v>
      </c>
      <c r="G32" s="978"/>
    </row>
    <row r="33" spans="1:7">
      <c r="A33" s="1006" t="s">
        <v>1604</v>
      </c>
      <c r="B33" s="1003"/>
      <c r="C33" s="2825"/>
      <c r="D33" s="1892" t="s">
        <v>1605</v>
      </c>
      <c r="E33" s="978"/>
      <c r="F33" s="1893" t="s">
        <v>1606</v>
      </c>
      <c r="G33" s="978"/>
    </row>
    <row r="34" spans="1:7" ht="13.5" thickBot="1">
      <c r="A34" s="1007" t="s">
        <v>1607</v>
      </c>
      <c r="B34" s="978"/>
      <c r="C34" s="2826"/>
      <c r="D34" s="1892" t="s">
        <v>1608</v>
      </c>
      <c r="E34" s="978"/>
      <c r="F34" s="1894" t="s">
        <v>1609</v>
      </c>
      <c r="G34" s="1005"/>
    </row>
    <row r="35" spans="1:7">
      <c r="A35" s="1007" t="s">
        <v>1566</v>
      </c>
      <c r="B35" s="978">
        <v>178.24</v>
      </c>
      <c r="C35" s="2804" t="s">
        <v>1610</v>
      </c>
      <c r="D35" s="2805"/>
      <c r="E35" s="978"/>
      <c r="F35" s="1018" t="s">
        <v>1611</v>
      </c>
      <c r="G35" s="1003"/>
    </row>
    <row r="36" spans="1:7" ht="13.5" thickBot="1">
      <c r="A36" s="1007" t="s">
        <v>1612</v>
      </c>
      <c r="B36" s="978"/>
      <c r="C36" s="2806" t="s">
        <v>1613</v>
      </c>
      <c r="D36" s="2807"/>
      <c r="E36" s="1004"/>
      <c r="F36" s="1890" t="s">
        <v>1614</v>
      </c>
      <c r="G36" s="978"/>
    </row>
    <row r="37" spans="1:7" ht="13.5" thickBot="1">
      <c r="A37" s="1007" t="s">
        <v>1615</v>
      </c>
      <c r="B37" s="978"/>
      <c r="C37" s="2796" t="s">
        <v>1616</v>
      </c>
      <c r="D37" s="2066" t="s">
        <v>1600</v>
      </c>
      <c r="E37" s="1003"/>
      <c r="F37" s="1894" t="s">
        <v>1617</v>
      </c>
      <c r="G37" s="1004"/>
    </row>
    <row r="38" spans="1:7">
      <c r="A38" s="1007" t="s">
        <v>1618</v>
      </c>
      <c r="B38" s="978"/>
      <c r="C38" s="2797"/>
      <c r="D38" s="1892" t="s">
        <v>1607</v>
      </c>
      <c r="E38" s="978"/>
      <c r="F38" s="1010" t="s">
        <v>1619</v>
      </c>
      <c r="G38" s="1003"/>
    </row>
    <row r="39" spans="1:7">
      <c r="A39" s="1007" t="s">
        <v>1620</v>
      </c>
      <c r="B39" s="978"/>
      <c r="C39" s="2797" t="s">
        <v>1621</v>
      </c>
      <c r="D39" s="1892" t="s">
        <v>1566</v>
      </c>
      <c r="E39" s="978"/>
      <c r="F39" s="1893" t="s">
        <v>1622</v>
      </c>
      <c r="G39" s="978"/>
    </row>
    <row r="40" spans="1:7" ht="24.75" customHeight="1" thickBot="1">
      <c r="A40" s="1008" t="s">
        <v>1623</v>
      </c>
      <c r="B40" s="1004"/>
      <c r="C40" s="2798"/>
      <c r="D40" s="1895" t="s">
        <v>1568</v>
      </c>
      <c r="E40" s="1004"/>
      <c r="F40" s="1894" t="s">
        <v>1624</v>
      </c>
      <c r="G40" s="1004"/>
    </row>
    <row r="41" spans="1:7">
      <c r="A41" s="1009" t="s">
        <v>1625</v>
      </c>
      <c r="B41" s="1059"/>
      <c r="C41" s="2819" t="s">
        <v>1625</v>
      </c>
      <c r="D41" s="2820"/>
      <c r="E41" s="1059"/>
      <c r="F41" s="1010" t="s">
        <v>1626</v>
      </c>
      <c r="G41" s="1059"/>
    </row>
    <row r="42" spans="1:7">
      <c r="A42" s="1056" t="s">
        <v>1627</v>
      </c>
      <c r="B42" s="1060"/>
      <c r="C42" s="2067"/>
      <c r="D42" s="2068"/>
      <c r="E42" s="1060"/>
      <c r="F42" s="1058"/>
      <c r="G42" s="1060"/>
    </row>
    <row r="43" spans="1:7">
      <c r="A43" s="94" t="s">
        <v>1581</v>
      </c>
      <c r="B43" s="1057"/>
      <c r="C43" s="2067"/>
      <c r="D43" s="2069" t="s">
        <v>1581</v>
      </c>
      <c r="E43" s="1057"/>
      <c r="F43" s="94" t="s">
        <v>1581</v>
      </c>
      <c r="G43" s="1057"/>
    </row>
    <row r="44" spans="1:7">
      <c r="A44" s="94" t="s">
        <v>1582</v>
      </c>
      <c r="B44" s="1057"/>
      <c r="C44" s="2067"/>
      <c r="D44" s="2053" t="s">
        <v>1582</v>
      </c>
      <c r="E44" s="1057"/>
      <c r="F44" s="94" t="s">
        <v>1582</v>
      </c>
      <c r="G44" s="1057"/>
    </row>
    <row r="45" spans="1:7">
      <c r="A45" s="94" t="s">
        <v>1583</v>
      </c>
      <c r="B45" s="1057"/>
      <c r="C45" s="2067"/>
      <c r="D45" s="2053" t="s">
        <v>1583</v>
      </c>
      <c r="E45" s="1057"/>
      <c r="F45" s="94" t="s">
        <v>1583</v>
      </c>
      <c r="G45" s="1057"/>
    </row>
    <row r="46" spans="1:7">
      <c r="A46" s="94" t="s">
        <v>1584</v>
      </c>
      <c r="B46" s="1057"/>
      <c r="C46" s="2067"/>
      <c r="D46" s="2053" t="s">
        <v>1584</v>
      </c>
      <c r="E46" s="1057"/>
      <c r="F46" s="94" t="s">
        <v>1584</v>
      </c>
      <c r="G46" s="1057"/>
    </row>
    <row r="47" spans="1:7">
      <c r="A47" s="1056"/>
      <c r="B47" s="1057"/>
      <c r="C47" s="2067"/>
      <c r="D47" s="2068"/>
      <c r="E47" s="1057"/>
      <c r="F47" s="1058"/>
      <c r="G47" s="1057"/>
    </row>
    <row r="48" spans="1:7" ht="13.5" thickBot="1">
      <c r="A48" s="1008" t="s">
        <v>1628</v>
      </c>
      <c r="B48" s="1004"/>
      <c r="C48" s="2821" t="s">
        <v>1628</v>
      </c>
      <c r="D48" s="2822"/>
      <c r="E48" s="1054"/>
      <c r="F48" s="1894" t="s">
        <v>1629</v>
      </c>
      <c r="G48" s="1004"/>
    </row>
    <row r="49" spans="1:15">
      <c r="A49" s="1007" t="s">
        <v>1630</v>
      </c>
      <c r="B49" s="1053"/>
      <c r="C49" s="2796" t="s">
        <v>1631</v>
      </c>
      <c r="D49" s="2823"/>
      <c r="E49" s="1055"/>
      <c r="F49" s="1083"/>
      <c r="G49" s="1084"/>
    </row>
    <row r="50" spans="1:15" ht="13.5" thickBot="1">
      <c r="A50" s="1007" t="s">
        <v>1632</v>
      </c>
      <c r="B50" s="1053"/>
      <c r="C50" s="2798" t="s">
        <v>1633</v>
      </c>
      <c r="D50" s="2801"/>
      <c r="E50" s="1004"/>
      <c r="F50" s="1020"/>
      <c r="G50" s="1073"/>
    </row>
    <row r="51" spans="1:15">
      <c r="A51" s="1007" t="s">
        <v>1611</v>
      </c>
      <c r="B51" s="978"/>
      <c r="C51" s="1020"/>
      <c r="D51" s="1020"/>
      <c r="E51" s="1020"/>
      <c r="F51" s="1020"/>
      <c r="G51" s="1073"/>
    </row>
    <row r="52" spans="1:15" ht="24.75" thickBot="1">
      <c r="A52" s="1008" t="s">
        <v>1634</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1635</v>
      </c>
      <c r="B1" s="1236"/>
      <c r="C1" s="1236"/>
      <c r="D1" s="1852"/>
      <c r="E1" s="1852"/>
      <c r="AE1" s="1236"/>
      <c r="AF1" s="1236"/>
      <c r="AG1" s="1236"/>
      <c r="AH1" s="1236"/>
      <c r="AI1" s="1236"/>
      <c r="AJ1" s="1236"/>
      <c r="AK1" s="1236"/>
      <c r="AL1" s="1236"/>
      <c r="AM1" s="1236"/>
      <c r="AN1" s="1236"/>
      <c r="AO1" s="1236"/>
    </row>
    <row r="2" spans="1:41" s="2075" customFormat="1" ht="15.75" thickBot="1">
      <c r="A2" s="2072" t="s">
        <v>1636</v>
      </c>
      <c r="B2" s="1208">
        <f>项目基本情况!D2</f>
        <v>43256</v>
      </c>
      <c r="C2" s="1854"/>
      <c r="D2" s="2829" t="s">
        <v>1637</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1638</v>
      </c>
      <c r="B3" s="2076" t="s">
        <v>2819</v>
      </c>
      <c r="C3" s="1854"/>
      <c r="D3" s="2830"/>
      <c r="E3" s="1187" t="s">
        <v>2864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1639</v>
      </c>
      <c r="B4" s="2076" t="s">
        <v>2863</v>
      </c>
      <c r="C4" s="1854"/>
      <c r="D4" s="2830"/>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1640</v>
      </c>
      <c r="B5" s="1317">
        <f>项目基本情况!C12</f>
        <v>178.24</v>
      </c>
      <c r="C5" s="1854"/>
      <c r="D5" s="2078" t="s">
        <v>1641</v>
      </c>
      <c r="E5" s="393">
        <v>178.24</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1642</v>
      </c>
      <c r="B6" s="1318">
        <f>项目基本情况!C13</f>
        <v>0</v>
      </c>
      <c r="C6" s="1854"/>
      <c r="D6" s="2078" t="s">
        <v>1643</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1644</v>
      </c>
      <c r="B10" s="2083" t="s">
        <v>2813</v>
      </c>
      <c r="C10" s="1854"/>
      <c r="D10" s="2072" t="s">
        <v>1645</v>
      </c>
      <c r="E10" s="2084" t="s">
        <v>1646</v>
      </c>
      <c r="F10" s="1144" t="s">
        <v>1647</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1648</v>
      </c>
      <c r="B11" s="989">
        <v>70</v>
      </c>
      <c r="C11" s="1854"/>
      <c r="D11" s="2086" t="s">
        <v>1649</v>
      </c>
      <c r="E11" s="34">
        <v>160</v>
      </c>
      <c r="F11" s="1853" t="s">
        <v>1650</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1651</v>
      </c>
      <c r="B12" s="2090">
        <v>62460</v>
      </c>
      <c r="C12" s="1854"/>
      <c r="D12" s="2091" t="s">
        <v>1652</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1653</v>
      </c>
      <c r="B13" s="990">
        <f>IF(B12="",B11-(YEAR($B$2)-B26+B23),ROUNDDOWN(MIN((B12-$B$2)/365,B11),2))</f>
        <v>52.61</v>
      </c>
      <c r="C13" s="2093"/>
      <c r="D13" s="2094" t="s">
        <v>1654</v>
      </c>
      <c r="E13" s="39">
        <f>成本法!C9</f>
        <v>28518</v>
      </c>
      <c r="F13" s="1848" t="s">
        <v>1655</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1656</v>
      </c>
      <c r="B14" s="991">
        <f>IF(ISERROR(ROUND(POWER(1+B15,B11-B13)*(POWER(1+B15,B13)-1)/(POWER(1+B15,B11)-1),3)),0,ROUND(POWER(1+B15,B11-B13)*(POWER(1+B15,B13)-1)/(POWER(1+B15,B11)-1),3))</f>
        <v>0.93300000000000005</v>
      </c>
      <c r="C14" s="1854"/>
      <c r="D14" s="2095" t="s">
        <v>1657</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1658</v>
      </c>
      <c r="B15" s="30">
        <v>0.04</v>
      </c>
      <c r="C15" s="1854"/>
      <c r="D15" s="2091" t="s">
        <v>1659</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1660</v>
      </c>
      <c r="B16" s="30">
        <v>4.4999999999999998E-2</v>
      </c>
      <c r="C16" s="1854"/>
      <c r="D16" s="2096" t="s">
        <v>1661</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1662</v>
      </c>
      <c r="B17" s="996">
        <v>8.5000000000000006E-2</v>
      </c>
      <c r="C17" s="1854"/>
      <c r="D17" s="2082" t="s">
        <v>1663</v>
      </c>
      <c r="E17" s="985">
        <v>2600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463424</v>
      </c>
      <c r="F18" s="1319">
        <f>ROUND(E5*E17*IF(B25=0,1,E20),0)</f>
        <v>463424</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1664</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1665</v>
      </c>
      <c r="B20" s="31">
        <v>0</v>
      </c>
      <c r="C20" s="1854"/>
      <c r="D20" s="2100" t="str">
        <f>IF(B25=0,"成新率","工程进度")</f>
        <v>成新率</v>
      </c>
      <c r="E20" s="2736">
        <f>I22</f>
        <v>0.81699999999999995</v>
      </c>
      <c r="F20" s="1236"/>
      <c r="G20" s="1854"/>
      <c r="H20" s="2733" t="s">
        <v>2821</v>
      </c>
      <c r="I20" s="2735">
        <f>ROUND((60-(2018-2002))/60,3)</f>
        <v>0.73299999999999998</v>
      </c>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1666</v>
      </c>
      <c r="B21" s="32">
        <v>1.5</v>
      </c>
      <c r="C21" s="1854"/>
      <c r="D21" s="2091" t="s">
        <v>1667</v>
      </c>
      <c r="E21" s="711">
        <v>0.03</v>
      </c>
      <c r="F21" s="1851" t="s">
        <v>1668</v>
      </c>
      <c r="G21" s="1854"/>
      <c r="H21" s="2733" t="s">
        <v>2822</v>
      </c>
      <c r="I21" s="2734">
        <v>0.9</v>
      </c>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1669</v>
      </c>
      <c r="B22" s="1453">
        <v>1.5</v>
      </c>
      <c r="C22" s="1854"/>
      <c r="D22" s="2091" t="s">
        <v>1670</v>
      </c>
      <c r="E22" s="40">
        <v>0.05</v>
      </c>
      <c r="F22" s="1851" t="s">
        <v>1671</v>
      </c>
      <c r="G22" s="1854"/>
      <c r="H22" s="1854"/>
      <c r="I22" s="2735">
        <f>ROUND((I20+I21)/2,3)</f>
        <v>0.81699999999999995</v>
      </c>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1672</v>
      </c>
      <c r="B23" s="33">
        <f>B20+B21</f>
        <v>1.5</v>
      </c>
      <c r="C23" s="1854"/>
      <c r="D23" s="2091" t="s">
        <v>1673</v>
      </c>
      <c r="E23" s="37">
        <v>200</v>
      </c>
      <c r="F23" s="1851" t="s">
        <v>1674</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1675</v>
      </c>
      <c r="B24" s="1741">
        <f>B20+B22</f>
        <v>1.5</v>
      </c>
      <c r="C24" s="1854"/>
      <c r="D24" s="2096" t="s">
        <v>1676</v>
      </c>
      <c r="E24" s="1817">
        <v>1.4999999999999999E-2</v>
      </c>
      <c r="F24" s="1851" t="s">
        <v>1677</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1678</v>
      </c>
      <c r="B25" s="1452">
        <f>B21-B22</f>
        <v>0</v>
      </c>
      <c r="C25" s="1236"/>
      <c r="D25" s="2086" t="s">
        <v>1679</v>
      </c>
      <c r="E25" s="711">
        <v>0.02</v>
      </c>
      <c r="F25" s="1851" t="s">
        <v>1680</v>
      </c>
      <c r="I25" s="1852"/>
      <c r="AE25" s="1236"/>
      <c r="AF25" s="1236"/>
      <c r="AG25" s="1236"/>
      <c r="AH25" s="1236"/>
      <c r="AI25" s="1236"/>
      <c r="AJ25" s="1236"/>
      <c r="AK25" s="1236"/>
      <c r="AL25" s="1236"/>
      <c r="AM25" s="1236"/>
      <c r="AN25" s="1236"/>
      <c r="AO25" s="1236"/>
    </row>
    <row r="26" spans="1:41" ht="15.75" thickBot="1">
      <c r="A26" s="2105" t="s">
        <v>1681</v>
      </c>
      <c r="B26" s="1093">
        <v>2002</v>
      </c>
      <c r="C26" s="1854"/>
      <c r="D26" s="2091" t="s">
        <v>1682</v>
      </c>
      <c r="E26" s="40">
        <v>0.02</v>
      </c>
      <c r="F26" s="1851" t="s">
        <v>1680</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1683</v>
      </c>
      <c r="E27" s="352">
        <f ca="1">存贷款利率!G1</f>
        <v>4.7500000000000001E-2</v>
      </c>
      <c r="F27" s="1851" t="s">
        <v>1684</v>
      </c>
      <c r="G27" s="2074"/>
      <c r="H27" s="2074"/>
      <c r="K27" s="1854"/>
      <c r="N27" s="1854"/>
      <c r="AE27" s="1236"/>
      <c r="AF27" s="1236"/>
      <c r="AG27" s="1236"/>
      <c r="AH27" s="1236"/>
      <c r="AI27" s="1236"/>
      <c r="AJ27" s="1236"/>
      <c r="AK27" s="1236"/>
      <c r="AL27" s="1236"/>
      <c r="AM27" s="1236"/>
      <c r="AN27" s="1236"/>
      <c r="AO27" s="1236"/>
    </row>
    <row r="28" spans="1:41" ht="15" thickBot="1">
      <c r="A28" s="2106" t="s">
        <v>1685</v>
      </c>
      <c r="B28" s="2107" t="s">
        <v>2820</v>
      </c>
      <c r="C28" s="1236"/>
      <c r="D28" s="2108" t="s">
        <v>1686</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5</v>
      </c>
      <c r="C29" s="1236"/>
      <c r="D29" s="2095" t="s">
        <v>1687</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1688</v>
      </c>
      <c r="B30" s="1418">
        <f ca="1">存贷款利率!I1</f>
        <v>1.4999999999999999E-2</v>
      </c>
      <c r="C30" s="1236"/>
      <c r="D30" s="2109" t="s">
        <v>1689</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1690</v>
      </c>
      <c r="B31" s="30">
        <v>0.03</v>
      </c>
      <c r="C31" s="1236"/>
      <c r="D31" s="2109" t="s">
        <v>1691</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1692</v>
      </c>
      <c r="B32" s="30">
        <v>0.05</v>
      </c>
      <c r="C32" s="1236"/>
      <c r="D32" s="2110" t="s">
        <v>1693</v>
      </c>
      <c r="E32" s="43">
        <v>7.0000000000000007E-2</v>
      </c>
      <c r="F32" s="1846" t="s">
        <v>1694</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1695</v>
      </c>
      <c r="B33" s="1379">
        <f>收益法!J54</f>
        <v>44</v>
      </c>
      <c r="C33" s="1236"/>
      <c r="D33" s="2110" t="s">
        <v>1696</v>
      </c>
      <c r="E33" s="41">
        <v>0.03</v>
      </c>
      <c r="F33" s="1845" t="s">
        <v>1697</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1698</v>
      </c>
      <c r="E34" s="41">
        <v>0.02</v>
      </c>
      <c r="F34" s="1845" t="s">
        <v>1699</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1700</v>
      </c>
      <c r="B35" s="993"/>
      <c r="C35" s="1236"/>
      <c r="D35" s="2114" t="s">
        <v>1701</v>
      </c>
      <c r="E35" s="44"/>
      <c r="F35" s="1853" t="s">
        <v>1702</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1703</v>
      </c>
      <c r="E36" s="45">
        <v>0.03</v>
      </c>
      <c r="F36" s="1849" t="s">
        <v>1704</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1705</v>
      </c>
      <c r="E37" s="41">
        <v>5.0000000000000001E-4</v>
      </c>
      <c r="F37" s="1849" t="s">
        <v>1706</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1707</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1708</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1709</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1710</v>
      </c>
      <c r="B41" s="999"/>
      <c r="C41" s="1236"/>
      <c r="D41" s="2091" t="s">
        <v>1711</v>
      </c>
      <c r="E41" s="2119"/>
      <c r="F41" s="1847" t="s">
        <v>1712</v>
      </c>
      <c r="G41" s="2120" t="s">
        <v>1713</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1714</v>
      </c>
      <c r="B42" s="992">
        <v>365</v>
      </c>
      <c r="C42" s="1236"/>
      <c r="D42" s="2121" t="s">
        <v>1715</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1716</v>
      </c>
      <c r="B43" s="29"/>
      <c r="C43" s="1236"/>
      <c r="D43" s="2121" t="s">
        <v>1717</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1718</v>
      </c>
      <c r="B44" s="1000">
        <v>1.4999999999999999E-2</v>
      </c>
      <c r="C44" s="1236" t="s">
        <v>969</v>
      </c>
      <c r="D44" s="2121" t="s">
        <v>1719</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1720</v>
      </c>
      <c r="B45" s="1001">
        <v>1.5E-3</v>
      </c>
      <c r="C45" s="1236" t="s">
        <v>970</v>
      </c>
      <c r="D45" s="2121" t="s">
        <v>1721</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1722</v>
      </c>
      <c r="B46" s="1002">
        <v>0.01</v>
      </c>
      <c r="C46" s="1236" t="s">
        <v>971</v>
      </c>
      <c r="D46" s="2121"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1723</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1724</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1725</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1726</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1727</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1" t="s">
        <v>1728</v>
      </c>
      <c r="B1" s="2832"/>
      <c r="C1" s="2832"/>
      <c r="D1" s="2832"/>
      <c r="E1" s="2832"/>
      <c r="F1" s="2832"/>
      <c r="G1" s="2832"/>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1729</v>
      </c>
      <c r="D2" s="2136"/>
      <c r="E2" s="2137"/>
      <c r="F2" s="2138"/>
      <c r="G2" s="2135" t="s">
        <v>1730</v>
      </c>
      <c r="H2" s="2139"/>
      <c r="I2" s="2139"/>
      <c r="J2" s="2139"/>
      <c r="K2" s="2139"/>
      <c r="L2" s="2139"/>
      <c r="M2" s="2139"/>
      <c r="N2" s="2139"/>
      <c r="O2" s="2139"/>
      <c r="P2" s="2139"/>
      <c r="Q2" s="2139"/>
      <c r="R2" s="2139"/>
    </row>
    <row r="3" spans="1:29" ht="54">
      <c r="A3" s="395" t="s">
        <v>1731</v>
      </c>
      <c r="B3" s="2141" t="s">
        <v>1732</v>
      </c>
      <c r="C3" s="2738" t="s">
        <v>2833</v>
      </c>
      <c r="D3" s="2142"/>
      <c r="E3" s="411" t="s">
        <v>1731</v>
      </c>
      <c r="F3" s="2143" t="s">
        <v>1733</v>
      </c>
      <c r="G3" s="2144" t="s">
        <v>1734</v>
      </c>
      <c r="H3" s="2139"/>
      <c r="I3" s="2139"/>
      <c r="J3" s="2139"/>
      <c r="K3" s="2139"/>
      <c r="L3" s="2139"/>
      <c r="M3" s="2139"/>
      <c r="N3" s="2139"/>
      <c r="O3" s="2139"/>
      <c r="P3" s="2139"/>
      <c r="Q3" s="2139"/>
      <c r="R3" s="2139"/>
    </row>
    <row r="4" spans="1:29" ht="40.5">
      <c r="A4" s="411"/>
      <c r="B4" s="1886" t="s">
        <v>1735</v>
      </c>
      <c r="C4" s="2145"/>
      <c r="D4" s="2142"/>
      <c r="E4" s="2146"/>
      <c r="F4" s="2147" t="s">
        <v>1736</v>
      </c>
      <c r="G4" s="2148" t="s">
        <v>1737</v>
      </c>
      <c r="H4" s="2139"/>
      <c r="I4" s="2139"/>
      <c r="J4" s="2139"/>
      <c r="K4" s="2139"/>
      <c r="L4" s="2139"/>
      <c r="M4" s="2139"/>
      <c r="N4" s="2139"/>
      <c r="O4" s="2139"/>
      <c r="P4" s="2139"/>
      <c r="Q4" s="2139"/>
      <c r="R4" s="2139"/>
    </row>
    <row r="5" spans="1:29" ht="27">
      <c r="A5" s="411"/>
      <c r="B5" s="1886" t="s">
        <v>1738</v>
      </c>
      <c r="C5" s="2145"/>
      <c r="D5" s="2142"/>
      <c r="E5" s="2146"/>
      <c r="F5" s="1886" t="s">
        <v>1739</v>
      </c>
      <c r="G5" s="2148" t="s">
        <v>1740</v>
      </c>
      <c r="H5" s="2139"/>
      <c r="I5" s="2139"/>
      <c r="J5" s="2139"/>
      <c r="K5" s="2139"/>
      <c r="L5" s="2139"/>
      <c r="M5" s="2139"/>
      <c r="N5" s="2139"/>
      <c r="O5" s="2139"/>
      <c r="P5" s="2139"/>
      <c r="Q5" s="2139"/>
      <c r="R5" s="2139"/>
    </row>
    <row r="6" spans="1:29" ht="67.5">
      <c r="A6" s="411"/>
      <c r="B6" s="1886" t="s">
        <v>1741</v>
      </c>
      <c r="C6" s="2739" t="s">
        <v>2857</v>
      </c>
      <c r="D6" s="2142"/>
      <c r="E6" s="2146"/>
      <c r="F6" s="1886" t="s">
        <v>1742</v>
      </c>
      <c r="G6" s="2148" t="s">
        <v>1743</v>
      </c>
      <c r="H6" s="2139"/>
      <c r="I6" s="2139"/>
      <c r="J6" s="2139"/>
      <c r="K6" s="2139"/>
      <c r="L6" s="2139"/>
      <c r="M6" s="2139"/>
      <c r="N6" s="2139"/>
      <c r="O6" s="2139"/>
      <c r="P6" s="2139"/>
      <c r="Q6" s="2139"/>
      <c r="R6" s="2139"/>
    </row>
    <row r="7" spans="1:29" ht="122.25" thickBot="1">
      <c r="A7" s="411"/>
      <c r="B7" s="1886" t="s">
        <v>1739</v>
      </c>
      <c r="C7" s="2739" t="s">
        <v>2858</v>
      </c>
      <c r="D7" s="2149"/>
      <c r="E7" s="2150"/>
      <c r="F7" s="2151" t="s">
        <v>1744</v>
      </c>
      <c r="G7" s="2152" t="s">
        <v>1745</v>
      </c>
      <c r="H7" s="2139"/>
      <c r="I7" s="2139"/>
      <c r="J7" s="2139"/>
      <c r="K7" s="2139"/>
      <c r="L7" s="2139"/>
      <c r="M7" s="2139"/>
      <c r="N7" s="2139"/>
      <c r="O7" s="2139"/>
      <c r="P7" s="2139"/>
      <c r="Q7" s="2139"/>
      <c r="R7" s="2139"/>
    </row>
    <row r="8" spans="1:29" ht="27">
      <c r="A8" s="411"/>
      <c r="B8" s="1886" t="s">
        <v>1742</v>
      </c>
      <c r="C8" s="2739" t="s">
        <v>2859</v>
      </c>
      <c r="D8" s="2149"/>
      <c r="E8" s="2149"/>
      <c r="F8" s="1245"/>
      <c r="G8" s="1245"/>
      <c r="H8" s="2139"/>
      <c r="I8" s="2139"/>
      <c r="J8" s="2139"/>
      <c r="K8" s="2139"/>
      <c r="L8" s="2139"/>
      <c r="M8" s="2139"/>
      <c r="N8" s="2139"/>
      <c r="O8" s="2139"/>
      <c r="P8" s="2139"/>
      <c r="Q8" s="2139"/>
      <c r="R8" s="2139"/>
    </row>
    <row r="9" spans="1:29" ht="54">
      <c r="A9" s="411"/>
      <c r="B9" s="1886" t="s">
        <v>1746</v>
      </c>
      <c r="C9" s="2740" t="s">
        <v>2860</v>
      </c>
      <c r="D9" s="2142"/>
      <c r="E9" s="2149"/>
      <c r="F9" s="1245"/>
      <c r="G9" s="1245"/>
      <c r="H9" s="2139"/>
      <c r="I9" s="2139"/>
      <c r="J9" s="2139"/>
      <c r="K9" s="2139"/>
      <c r="L9" s="2139"/>
      <c r="M9" s="2139"/>
      <c r="N9" s="2139"/>
      <c r="O9" s="2139"/>
      <c r="P9" s="2139"/>
      <c r="Q9" s="2139"/>
      <c r="R9" s="2139"/>
    </row>
    <row r="10" spans="1:29" s="35" customFormat="1" ht="15.75" thickBot="1">
      <c r="A10" s="2153"/>
      <c r="B10" s="2154" t="s">
        <v>1747</v>
      </c>
      <c r="C10" s="2741" t="s">
        <v>2834</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1748</v>
      </c>
      <c r="B13" s="2159"/>
      <c r="C13" s="2159"/>
      <c r="D13" s="2136"/>
      <c r="E13" s="2159"/>
      <c r="F13" s="2159"/>
      <c r="G13" s="2159"/>
    </row>
    <row r="14" spans="1:29" ht="15.75" thickBot="1">
      <c r="A14" s="2169"/>
      <c r="B14" s="2170"/>
      <c r="C14" s="2171" t="s">
        <v>1749</v>
      </c>
      <c r="D14" s="2142"/>
      <c r="E14" s="2172"/>
      <c r="F14" s="2172"/>
      <c r="G14" s="2135" t="s">
        <v>1750</v>
      </c>
    </row>
    <row r="15" spans="1:29" ht="57">
      <c r="A15" s="25" t="s">
        <v>1751</v>
      </c>
      <c r="B15" s="2173" t="s">
        <v>1732</v>
      </c>
      <c r="C15" s="2174" t="str">
        <f>C3</f>
        <v>估价对象周边居住用地比例大、居住小区规模较大和社区发展完善程度好，综合评价居住社区成熟度好。</v>
      </c>
      <c r="D15" s="2142"/>
      <c r="E15" s="2175" t="s">
        <v>1752</v>
      </c>
      <c r="F15" s="2173" t="s">
        <v>1753</v>
      </c>
      <c r="G15" s="51" t="str">
        <f>G3</f>
        <v>估价对象位于XX开发区，园区建设成熟度XX，产业集聚程度XX</v>
      </c>
    </row>
    <row r="16" spans="1:29" ht="42.75">
      <c r="A16" s="629"/>
      <c r="B16" s="1492" t="s">
        <v>1735</v>
      </c>
      <c r="C16" s="2176">
        <f>C4</f>
        <v>0</v>
      </c>
      <c r="D16" s="2142"/>
      <c r="E16" s="2177"/>
      <c r="F16" s="2178" t="s">
        <v>1736</v>
      </c>
      <c r="G16" s="52" t="str">
        <f>G4</f>
        <v>估价对象周边道路状况、公共交通通达情况、停车便捷程度，综合评价交通便捷度较好</v>
      </c>
    </row>
    <row r="17" spans="1:18" ht="15">
      <c r="A17" s="629"/>
      <c r="B17" s="1492" t="s">
        <v>1738</v>
      </c>
      <c r="C17" s="2176">
        <f>C5</f>
        <v>0</v>
      </c>
      <c r="D17" s="2149"/>
      <c r="E17" s="2177"/>
      <c r="F17" s="2178" t="s">
        <v>1754</v>
      </c>
      <c r="G17" s="2179"/>
    </row>
    <row r="18" spans="1:18" ht="71.25">
      <c r="A18" s="629"/>
      <c r="B18" s="2178" t="s">
        <v>1741</v>
      </c>
      <c r="C18" s="52" t="str">
        <f>C6</f>
        <v>估价对象紧邻城市快速——北二环路，公共交通通达情况较好，有停车便捷程度一般，综合评价交通便捷度较好。</v>
      </c>
      <c r="D18" s="2149"/>
      <c r="E18" s="2177"/>
      <c r="F18" s="2178" t="s">
        <v>1744</v>
      </c>
      <c r="G18" s="52" t="str">
        <f>G7</f>
        <v>该园区内是否有污染型企业，绿化情况，卫生条件，整体环境状况判断</v>
      </c>
    </row>
    <row r="19" spans="1:18" ht="28.5">
      <c r="A19" s="629"/>
      <c r="B19" s="2178" t="s">
        <v>1755</v>
      </c>
      <c r="C19" s="2179"/>
      <c r="D19" s="2142"/>
      <c r="E19" s="2177"/>
      <c r="F19" s="1886" t="s">
        <v>1739</v>
      </c>
      <c r="G19" s="52" t="str">
        <f>G5</f>
        <v>估价对象所在区域公共配套设施齐备情况</v>
      </c>
    </row>
    <row r="20" spans="1:18" ht="57">
      <c r="A20" s="629"/>
      <c r="B20" s="2178" t="s">
        <v>1756</v>
      </c>
      <c r="C20" s="2176" t="str">
        <f>C9</f>
        <v>区域自然环境：怡心园；人文环境：西城经济科学大学；综合评价环境状况较好。</v>
      </c>
      <c r="D20" s="2149"/>
      <c r="E20" s="2177"/>
      <c r="F20" s="1886" t="s">
        <v>1757</v>
      </c>
      <c r="G20" s="52" t="str">
        <f>G6</f>
        <v>估价对象所在区域基础设施水平</v>
      </c>
    </row>
    <row r="21" spans="1:18" ht="128.25">
      <c r="A21" s="629"/>
      <c r="B21" s="1886" t="s">
        <v>1739</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42"/>
      <c r="E21" s="2177"/>
      <c r="F21" s="2178" t="s">
        <v>1758</v>
      </c>
      <c r="G21" s="2180"/>
    </row>
    <row r="22" spans="1:18" ht="28.5">
      <c r="A22" s="629"/>
      <c r="B22" s="1886" t="s">
        <v>1742</v>
      </c>
      <c r="C22" s="52" t="str">
        <f>C8</f>
        <v>估价对象所在区域基础设施水平达到“七通”。</v>
      </c>
      <c r="D22" s="2142"/>
      <c r="E22" s="2177"/>
      <c r="F22" s="2178" t="s">
        <v>1747</v>
      </c>
      <c r="G22" s="2181"/>
    </row>
    <row r="23" spans="1:18" s="2139" customFormat="1" ht="15.75" thickBot="1">
      <c r="A23" s="629"/>
      <c r="B23" s="2178" t="s">
        <v>1758</v>
      </c>
      <c r="C23" s="2180"/>
      <c r="D23" s="2166"/>
      <c r="E23" s="2182"/>
      <c r="F23" s="2183" t="s">
        <v>1759</v>
      </c>
      <c r="G23" s="2184"/>
      <c r="H23" s="2166"/>
      <c r="I23" s="2167"/>
      <c r="J23" s="2166"/>
      <c r="K23" s="2166"/>
      <c r="L23" s="2167"/>
      <c r="M23" s="2166"/>
      <c r="N23" s="2166"/>
      <c r="O23" s="2167"/>
      <c r="P23" s="2166"/>
      <c r="Q23" s="2166"/>
      <c r="R23" s="2168"/>
    </row>
    <row r="24" spans="1:18" s="2139" customFormat="1" ht="15.75" thickBot="1">
      <c r="A24" s="2185"/>
      <c r="B24" s="2183" t="s">
        <v>1760</v>
      </c>
      <c r="C24" s="53" t="str">
        <f>C10</f>
        <v>城市快速路——北二环路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7" sqref="G17"/>
    </sheetView>
  </sheetViews>
  <sheetFormatPr defaultColWidth="14.625" defaultRowHeight="13.5"/>
  <cols>
    <col min="1" max="1" width="24.375" customWidth="1"/>
  </cols>
  <sheetData>
    <row r="1" spans="1:9" ht="16.5">
      <c r="A1" s="1829" t="s">
        <v>1225</v>
      </c>
      <c r="B1" s="1829">
        <f>SUM(B14:B23)</f>
        <v>550.11</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5316</v>
      </c>
      <c r="C5" s="1829">
        <f ca="1">ROUND(B5*10000/$B$1,0)</f>
        <v>96635</v>
      </c>
      <c r="D5" s="1829" t="e">
        <f ca="1">ROUND(B5*10000/$B$2,0)</f>
        <v>#DIV/0!</v>
      </c>
      <c r="E5" s="1830"/>
      <c r="F5" s="1834"/>
      <c r="G5" s="1834"/>
    </row>
    <row r="6" spans="1:9" ht="16.5">
      <c r="A6" s="1829" t="s">
        <v>1233</v>
      </c>
      <c r="B6" s="1829">
        <f ca="1">SUM(G14:G23)</f>
        <v>5316</v>
      </c>
      <c r="C6" s="1829">
        <f ca="1">ROUND(B6*10000/$B$1,0)</f>
        <v>96635</v>
      </c>
      <c r="D6" s="1829" t="e">
        <f ca="1">ROUND(B6*10000/$B$2,0)</f>
        <v>#DIV/0!</v>
      </c>
      <c r="E6" s="1830"/>
      <c r="F6" s="1834"/>
      <c r="G6" s="1834"/>
    </row>
    <row r="7" spans="1:9" ht="16.5">
      <c r="A7" s="1829" t="s">
        <v>1234</v>
      </c>
      <c r="B7" s="1829">
        <f>SUM(H14:H23)</f>
        <v>0</v>
      </c>
      <c r="C7" s="1829">
        <f>ROUND(B7*10000/$B$1,0)</f>
        <v>0</v>
      </c>
      <c r="D7" s="1829" t="e">
        <f>ROUND(B7*10000/$B$2,0)</f>
        <v>#DIV/0!</v>
      </c>
      <c r="E7" s="1830"/>
      <c r="F7" s="1834"/>
      <c r="G7" s="1834"/>
    </row>
    <row r="8" spans="1:9" ht="16.5">
      <c r="A8" s="1829" t="s">
        <v>1235</v>
      </c>
      <c r="B8" s="1829">
        <f>SUM(I14:I23)</f>
        <v>0</v>
      </c>
      <c r="C8" s="1829">
        <f>ROUND(B8*10000/$B$1,0)</f>
        <v>0</v>
      </c>
      <c r="D8" s="1829" t="e">
        <f>ROUND(B8*10000/$B$2,0)</f>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2865</v>
      </c>
      <c r="B14" s="1833">
        <f>项目基本情况!C12</f>
        <v>178.24</v>
      </c>
      <c r="C14" s="1833">
        <f>项目基本情况!C13</f>
        <v>0</v>
      </c>
      <c r="D14" s="1833">
        <f ca="1">IF('数据-取费表'!B3="万元",IF(A14="估价对象1（结果表）",结果表!H121,'结果表 (1修多)'!H124),IF(A14="估价对象1（结果表）",结果表!H121,'结果表 (1修多)'!H124)/10000)</f>
        <v>1696</v>
      </c>
      <c r="E14" s="1833">
        <f ca="1">ROUND(D14*10000/B14,0)</f>
        <v>95153</v>
      </c>
      <c r="F14" s="1833" t="e">
        <f ca="1">ROUND(D14*10000/C14,0)</f>
        <v>#DIV/0!</v>
      </c>
      <c r="G14" s="1833">
        <f ca="1">IF('数据-取费表'!B3="万元",IF(A14="估价对象1（结果表）",结果表!D125,'结果表 (1修多)'!D128),IF(A14="估价对象1（结果表）",结果表!D125,'结果表 (1修多)'!D128)/10000)</f>
        <v>1696</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f>[1]系统读取表!$B$14</f>
        <v>178.24</v>
      </c>
      <c r="C15" s="1837"/>
      <c r="D15" s="1837">
        <f ca="1">[1]系统读取表!$D$14</f>
        <v>1711</v>
      </c>
      <c r="E15" s="1833">
        <f t="shared" ref="E15:E23" ca="1" si="0">ROUND(D15*10000/B15,0)</f>
        <v>95994</v>
      </c>
      <c r="F15" s="1833" t="e">
        <f t="shared" ref="F15:F23" ca="1" si="1">ROUND(D15*10000/C15,0)</f>
        <v>#DIV/0!</v>
      </c>
      <c r="G15" s="1838">
        <f ca="1">[1]系统读取表!$G$14</f>
        <v>1711</v>
      </c>
      <c r="H15" s="1838"/>
      <c r="I15" s="1837"/>
    </row>
    <row r="16" spans="1:9" ht="16.5">
      <c r="A16" s="1831" t="s">
        <v>1243</v>
      </c>
      <c r="B16" s="1837">
        <f>[2]系统读取表!$B$14</f>
        <v>193.63</v>
      </c>
      <c r="C16" s="1837"/>
      <c r="D16" s="1837">
        <f ca="1">[2]系统读取表!$D$14</f>
        <v>1909</v>
      </c>
      <c r="E16" s="1833">
        <f t="shared" ca="1" si="0"/>
        <v>98590</v>
      </c>
      <c r="F16" s="1833" t="e">
        <f t="shared" ca="1" si="1"/>
        <v>#DIV/0!</v>
      </c>
      <c r="G16" s="1838">
        <f ca="1">[2]系统读取表!$G$14</f>
        <v>1909</v>
      </c>
      <c r="H16" s="1838"/>
      <c r="I16" s="1837"/>
    </row>
    <row r="17" spans="1:9" ht="16.5">
      <c r="A17" s="1831" t="s">
        <v>1244</v>
      </c>
      <c r="B17" s="1837"/>
      <c r="C17" s="1837"/>
      <c r="D17" s="1837"/>
      <c r="E17" s="1833" t="e">
        <f t="shared" si="0"/>
        <v>#DIV/0!</v>
      </c>
      <c r="F17" s="1833" t="e">
        <f t="shared" si="1"/>
        <v>#DIV/0!</v>
      </c>
      <c r="G17" s="1838"/>
      <c r="H17" s="1838"/>
      <c r="I17" s="1837"/>
    </row>
    <row r="18" spans="1:9" ht="16.5">
      <c r="A18" s="1831" t="s">
        <v>1245</v>
      </c>
      <c r="B18" s="1837"/>
      <c r="C18" s="1837"/>
      <c r="D18" s="1837"/>
      <c r="E18" s="1833" t="e">
        <f t="shared" si="0"/>
        <v>#DIV/0!</v>
      </c>
      <c r="F18" s="1833" t="e">
        <f t="shared" si="1"/>
        <v>#DIV/0!</v>
      </c>
      <c r="G18" s="1837"/>
      <c r="H18" s="1837"/>
      <c r="I18" s="1837"/>
    </row>
    <row r="19" spans="1:9" ht="16.5">
      <c r="A19" s="1831" t="s">
        <v>1246</v>
      </c>
      <c r="B19" s="1837"/>
      <c r="C19" s="1837"/>
      <c r="D19" s="1837"/>
      <c r="E19" s="1833" t="e">
        <f t="shared" si="0"/>
        <v>#DIV/0!</v>
      </c>
      <c r="F19" s="1833" t="e">
        <f t="shared" si="1"/>
        <v>#DIV/0!</v>
      </c>
      <c r="G19" s="1837"/>
      <c r="H19" s="1837"/>
      <c r="I19" s="1837"/>
    </row>
    <row r="20" spans="1:9" ht="16.5">
      <c r="A20" s="1831" t="s">
        <v>1247</v>
      </c>
      <c r="B20" s="1837"/>
      <c r="C20" s="1837"/>
      <c r="D20" s="1837"/>
      <c r="E20" s="1833" t="e">
        <f t="shared" si="0"/>
        <v>#DIV/0!</v>
      </c>
      <c r="F20" s="1833" t="e">
        <f t="shared" si="1"/>
        <v>#DIV/0!</v>
      </c>
      <c r="G20" s="1837"/>
      <c r="H20" s="1837"/>
      <c r="I20" s="1837"/>
    </row>
    <row r="21" spans="1:9" ht="16.5">
      <c r="A21" s="1831" t="s">
        <v>1248</v>
      </c>
      <c r="B21" s="1837"/>
      <c r="C21" s="1837"/>
      <c r="D21" s="1837"/>
      <c r="E21" s="1833" t="e">
        <f t="shared" si="0"/>
        <v>#DIV/0!</v>
      </c>
      <c r="F21" s="1833" t="e">
        <f t="shared" si="1"/>
        <v>#DIV/0!</v>
      </c>
      <c r="G21" s="1837"/>
      <c r="H21" s="1837"/>
      <c r="I21" s="1837"/>
    </row>
    <row r="22" spans="1:9" ht="16.5">
      <c r="A22" s="1831" t="s">
        <v>1249</v>
      </c>
      <c r="B22" s="1837"/>
      <c r="C22" s="1837"/>
      <c r="D22" s="1837"/>
      <c r="E22" s="1833" t="e">
        <f t="shared" si="0"/>
        <v>#DIV/0!</v>
      </c>
      <c r="F22" s="1833" t="e">
        <f t="shared" si="1"/>
        <v>#DIV/0!</v>
      </c>
      <c r="G22" s="1837"/>
      <c r="H22" s="1837"/>
      <c r="I22" s="1837"/>
    </row>
    <row r="23" spans="1:9" ht="16.5">
      <c r="A23" s="1831" t="s">
        <v>1250</v>
      </c>
      <c r="B23" s="1837"/>
      <c r="C23" s="1837"/>
      <c r="D23" s="1837"/>
      <c r="E23" s="1829" t="e">
        <f t="shared" si="0"/>
        <v>#DIV/0!</v>
      </c>
      <c r="F23" s="1829" t="e">
        <f t="shared" si="1"/>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4" sqref="J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1761</v>
      </c>
      <c r="B1" s="2192"/>
      <c r="C1" s="2192"/>
      <c r="D1" s="2192"/>
      <c r="E1" s="2192"/>
      <c r="F1" s="2192"/>
      <c r="G1" s="2192"/>
      <c r="H1" s="2192"/>
      <c r="I1" s="2192"/>
    </row>
    <row r="2" spans="1:12" ht="21.75" customHeight="1">
      <c r="A2" s="2909" t="str">
        <f>项目基本情况!B1</f>
        <v>北京市海淀区德胜门西大街15号1号楼预评估</v>
      </c>
      <c r="B2" s="2909"/>
      <c r="C2" s="2909"/>
      <c r="D2" s="2909"/>
      <c r="E2" s="2909"/>
      <c r="F2" s="2909"/>
      <c r="G2" s="2909"/>
      <c r="H2" s="2909"/>
      <c r="I2" s="2909"/>
    </row>
    <row r="3" spans="1:12" ht="12.75">
      <c r="A3" s="2915" t="s">
        <v>1762</v>
      </c>
      <c r="B3" s="2916"/>
      <c r="C3" s="2916"/>
      <c r="D3" s="2916"/>
      <c r="E3" s="2916"/>
      <c r="F3" s="2916"/>
      <c r="G3" s="2916"/>
      <c r="H3" s="2916"/>
      <c r="I3" s="2916"/>
    </row>
    <row r="4" spans="1:12" ht="14.25">
      <c r="A4" s="2194" t="s">
        <v>1763</v>
      </c>
      <c r="B4" s="2195" t="s">
        <v>1764</v>
      </c>
      <c r="C4" s="2196" t="s">
        <v>2831</v>
      </c>
      <c r="D4" s="2196" t="s">
        <v>2853</v>
      </c>
      <c r="E4" s="2920" t="s">
        <v>1765</v>
      </c>
      <c r="F4" s="2921"/>
      <c r="G4" s="2921"/>
      <c r="H4" s="2921"/>
      <c r="I4" s="292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910" t="s">
        <v>1766</v>
      </c>
      <c r="B5" s="2855">
        <v>25</v>
      </c>
      <c r="C5" s="2917"/>
      <c r="D5" s="2914"/>
      <c r="E5" s="56" t="s">
        <v>1767</v>
      </c>
      <c r="F5" s="2197"/>
      <c r="G5" s="2197"/>
      <c r="H5" s="2197"/>
      <c r="I5" s="2198"/>
    </row>
    <row r="6" spans="1:12" ht="12.75">
      <c r="A6" s="2910"/>
      <c r="B6" s="2855"/>
      <c r="C6" s="2918"/>
      <c r="D6" s="2914"/>
      <c r="E6" s="56" t="s">
        <v>1768</v>
      </c>
      <c r="F6" s="2197"/>
      <c r="G6" s="2197"/>
      <c r="H6" s="2197"/>
      <c r="I6" s="2198"/>
    </row>
    <row r="7" spans="1:12" ht="12.75">
      <c r="A7" s="2910"/>
      <c r="B7" s="2855"/>
      <c r="C7" s="2919"/>
      <c r="D7" s="2914"/>
      <c r="E7" s="56" t="s">
        <v>1769</v>
      </c>
      <c r="F7" s="2197"/>
      <c r="G7" s="2197"/>
      <c r="H7" s="2197"/>
      <c r="I7" s="2198"/>
    </row>
    <row r="8" spans="1:12" ht="12.75">
      <c r="A8" s="2910" t="s">
        <v>1770</v>
      </c>
      <c r="B8" s="2855">
        <v>15</v>
      </c>
      <c r="C8" s="2917"/>
      <c r="D8" s="2914"/>
      <c r="E8" s="56" t="s">
        <v>1771</v>
      </c>
      <c r="F8" s="2197"/>
      <c r="G8" s="2197"/>
      <c r="H8" s="2197"/>
      <c r="I8" s="2198"/>
    </row>
    <row r="9" spans="1:12" ht="12.75">
      <c r="A9" s="2910"/>
      <c r="B9" s="2855"/>
      <c r="C9" s="2919"/>
      <c r="D9" s="2914"/>
      <c r="E9" s="56" t="s">
        <v>1772</v>
      </c>
      <c r="F9" s="2197"/>
      <c r="G9" s="2197"/>
      <c r="H9" s="2197"/>
      <c r="I9" s="2198"/>
    </row>
    <row r="10" spans="1:12" ht="12.75">
      <c r="A10" s="2910" t="s">
        <v>1773</v>
      </c>
      <c r="B10" s="2855">
        <v>15</v>
      </c>
      <c r="C10" s="2917"/>
      <c r="D10" s="2914"/>
      <c r="E10" s="56" t="s">
        <v>1774</v>
      </c>
      <c r="F10" s="2197"/>
      <c r="G10" s="2197"/>
      <c r="H10" s="2197"/>
      <c r="I10" s="2198"/>
    </row>
    <row r="11" spans="1:12" ht="12.75">
      <c r="A11" s="2910"/>
      <c r="B11" s="2855"/>
      <c r="C11" s="2919"/>
      <c r="D11" s="2914"/>
      <c r="E11" s="56" t="s">
        <v>1775</v>
      </c>
      <c r="F11" s="2197"/>
      <c r="G11" s="2197"/>
      <c r="H11" s="2197"/>
      <c r="I11" s="2198"/>
    </row>
    <row r="12" spans="1:12" ht="12.75">
      <c r="A12" s="2910" t="s">
        <v>1776</v>
      </c>
      <c r="B12" s="2855">
        <v>15</v>
      </c>
      <c r="C12" s="2917"/>
      <c r="D12" s="2914"/>
      <c r="E12" s="56" t="s">
        <v>1777</v>
      </c>
      <c r="F12" s="2197"/>
      <c r="G12" s="2197"/>
      <c r="H12" s="2197"/>
      <c r="I12" s="2198"/>
    </row>
    <row r="13" spans="1:12" ht="12.75">
      <c r="A13" s="2910"/>
      <c r="B13" s="2855"/>
      <c r="C13" s="2919"/>
      <c r="D13" s="2914"/>
      <c r="E13" s="56" t="s">
        <v>1778</v>
      </c>
      <c r="F13" s="2197"/>
      <c r="G13" s="2197"/>
      <c r="H13" s="2197"/>
      <c r="I13" s="2198"/>
    </row>
    <row r="14" spans="1:12" ht="12.75">
      <c r="A14" s="2910" t="s">
        <v>1779</v>
      </c>
      <c r="B14" s="2855">
        <v>30</v>
      </c>
      <c r="C14" s="2917">
        <v>8</v>
      </c>
      <c r="D14" s="2914">
        <v>2</v>
      </c>
      <c r="E14" s="56" t="s">
        <v>1780</v>
      </c>
      <c r="F14" s="2197"/>
      <c r="G14" s="2197"/>
      <c r="H14" s="2197"/>
      <c r="I14" s="2198"/>
    </row>
    <row r="15" spans="1:12" ht="12.75">
      <c r="A15" s="2910"/>
      <c r="B15" s="2855"/>
      <c r="C15" s="2918"/>
      <c r="D15" s="2914"/>
      <c r="E15" s="56" t="s">
        <v>1781</v>
      </c>
      <c r="F15" s="2197"/>
      <c r="G15" s="2197"/>
      <c r="H15" s="2197"/>
      <c r="I15" s="2198"/>
    </row>
    <row r="16" spans="1:12" ht="12.75">
      <c r="A16" s="2910"/>
      <c r="B16" s="2855"/>
      <c r="C16" s="2919"/>
      <c r="D16" s="2914"/>
      <c r="E16" s="56" t="s">
        <v>1782</v>
      </c>
      <c r="F16" s="2197"/>
      <c r="G16" s="2197"/>
      <c r="H16" s="2197"/>
      <c r="I16" s="2198"/>
    </row>
    <row r="17" spans="1:35" ht="15">
      <c r="A17" s="2199" t="s">
        <v>1783</v>
      </c>
      <c r="B17" s="2200"/>
      <c r="C17" s="57">
        <f>SUM(C5:C16)</f>
        <v>8</v>
      </c>
      <c r="D17" s="57">
        <f>SUM(D5:D16)</f>
        <v>2</v>
      </c>
      <c r="E17" s="2192"/>
      <c r="F17" s="2192"/>
      <c r="G17" s="2192"/>
      <c r="H17" s="2192"/>
      <c r="I17" s="2192"/>
    </row>
    <row r="18" spans="1:35" ht="15.75" thickBot="1">
      <c r="A18" s="2201" t="s">
        <v>1784</v>
      </c>
      <c r="B18" s="2202"/>
      <c r="C18" s="58">
        <f>ROUND(C17/SUM(C17:D17),2)</f>
        <v>0.8</v>
      </c>
      <c r="D18" s="58">
        <f>1-C18</f>
        <v>0.19999999999999996</v>
      </c>
      <c r="E18" s="2192"/>
      <c r="F18" s="2192"/>
      <c r="G18" s="2192"/>
      <c r="H18" s="2192"/>
      <c r="I18" s="2192"/>
    </row>
    <row r="19" spans="1:35" ht="15">
      <c r="A19" s="2203" t="s">
        <v>1785</v>
      </c>
      <c r="B19" s="2204" t="s">
        <v>1786</v>
      </c>
      <c r="C19" s="59">
        <f ca="1">SUMIF(INDIRECT("'"&amp;C4&amp;"'"&amp;"!A:A"),结果表!B19,INDIRECT("'"&amp;C4&amp;"'"&amp;"!B:B"))</f>
        <v>1847</v>
      </c>
      <c r="D19" s="60">
        <f ca="1">SUMIF(INDIRECT("'"&amp;D4&amp;"'"&amp;"!A:A"),结果表!B19,INDIRECT("'"&amp;D4&amp;"'"&amp;"!B:B"))</f>
        <v>1093</v>
      </c>
      <c r="E19" s="2203" t="s">
        <v>1787</v>
      </c>
      <c r="F19" s="2204" t="s">
        <v>1786</v>
      </c>
      <c r="G19" s="61">
        <f ca="1">ROUND(C19*$C$18+D19*$D$18,0)</f>
        <v>1696</v>
      </c>
      <c r="H19" s="2205" t="str">
        <f>'数据-取费表'!B3</f>
        <v>万元</v>
      </c>
      <c r="I19" s="2192"/>
    </row>
    <row r="20" spans="1:35" ht="15">
      <c r="A20" s="2206"/>
      <c r="B20" s="2207" t="s">
        <v>1788</v>
      </c>
      <c r="C20" s="62">
        <f ca="1">SUMIF(INDIRECT("'"&amp;C4&amp;"'"&amp;"!A:A"),结果表!B20,INDIRECT("'"&amp;C4&amp;"'"&amp;"!B:B"))</f>
        <v>103615</v>
      </c>
      <c r="D20" s="63">
        <f ca="1">SUMIF(INDIRECT("'"&amp;D4&amp;"'"&amp;"!A:A"),结果表!B20,INDIRECT("'"&amp;D4&amp;"'"&amp;"!B:B"))</f>
        <v>61311</v>
      </c>
      <c r="E20" s="2206"/>
      <c r="F20" s="2207" t="s">
        <v>1788</v>
      </c>
      <c r="G20" s="64">
        <f ca="1">ROUND(C20*$C$18+D20*$D$18,0)</f>
        <v>95154</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f ca="1">IF(C19&lt;D19,D19/C19-1,C19/D19-1)</f>
        <v>0.68984446477584638</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1791</v>
      </c>
      <c r="B24" s="2204" t="s">
        <v>1786</v>
      </c>
      <c r="C24" s="61">
        <f>D30</f>
        <v>0</v>
      </c>
      <c r="D24" s="993"/>
      <c r="E24" s="2192"/>
      <c r="F24" s="2192"/>
      <c r="G24" s="2192"/>
      <c r="H24" s="2192"/>
      <c r="I24" s="2192"/>
    </row>
    <row r="25" spans="1:35" ht="21.75" customHeight="1">
      <c r="A25" s="2924"/>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4.25">
      <c r="A30" s="67" t="s">
        <v>1796</v>
      </c>
      <c r="B30" s="67"/>
      <c r="C30" s="67"/>
      <c r="D30" s="67"/>
      <c r="E30" s="2712" t="s">
        <v>2796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1797</v>
      </c>
      <c r="B32" s="2221" t="str">
        <f>'数据-取费表'!B4</f>
        <v>楼面单价</v>
      </c>
      <c r="C32" s="1144">
        <f ca="1">IF(B32="总价",G19-C24,G20-C25)</f>
        <v>95154</v>
      </c>
      <c r="D32" s="2192" t="str">
        <f>IF(B32="楼面单价","元/平方米",H19)</f>
        <v>元/平方米</v>
      </c>
      <c r="E32" s="2192"/>
      <c r="F32" s="2192"/>
      <c r="G32" s="2192"/>
      <c r="H32" s="2192"/>
      <c r="I32" s="2192"/>
    </row>
    <row r="33" spans="1:16" ht="15">
      <c r="A33" s="2222" t="s">
        <v>1798</v>
      </c>
      <c r="B33" s="2223"/>
      <c r="C33" s="2224"/>
      <c r="D33" s="2225"/>
      <c r="E33" s="2226" t="s">
        <v>1799</v>
      </c>
      <c r="F33" s="2227" t="str">
        <f>IF(B32="楼面单价","取值（单价）","取值（总价）")</f>
        <v>取值（单价）</v>
      </c>
      <c r="G33" s="2192"/>
      <c r="H33" s="2192"/>
      <c r="I33" s="2192"/>
    </row>
    <row r="34" spans="1:16" ht="15">
      <c r="A34" s="2228"/>
      <c r="B34" s="2229" t="s">
        <v>1800</v>
      </c>
      <c r="C34" s="72">
        <f ca="1">IF(D33="自定义",F34,C32-C35)</f>
        <v>89350</v>
      </c>
      <c r="D34" s="1090">
        <f ca="1">IF(D33="自定义",ROUND(C34/C32,3),1-D35)</f>
        <v>0.93900000000000006</v>
      </c>
      <c r="E34" s="2230" t="s">
        <v>1801</v>
      </c>
      <c r="F34" s="1827">
        <v>2000</v>
      </c>
      <c r="G34" s="2192"/>
      <c r="H34" s="2192"/>
      <c r="I34" s="2192"/>
    </row>
    <row r="35" spans="1:16" ht="15.75" thickBot="1">
      <c r="A35" s="2231"/>
      <c r="B35" s="2232" t="s">
        <v>1802</v>
      </c>
      <c r="C35" s="73">
        <f ca="1">IF(D33="自定义",F35,ROUND(C32*D35,0))</f>
        <v>5804</v>
      </c>
      <c r="D35" s="1089">
        <f ca="1">IF(D33="自定义",ROUND(C35/C32,3),IF(D33="成本法成本比率",成本法!C56,IF(D33="收益法收益比率",收益法!J38,收益法!J41)))</f>
        <v>6.0999999999999999E-2</v>
      </c>
      <c r="E35" s="2233" t="s">
        <v>1803</v>
      </c>
      <c r="F35" s="79">
        <v>4460</v>
      </c>
      <c r="G35" s="2192"/>
      <c r="H35" s="2192"/>
      <c r="I35" s="2192"/>
    </row>
    <row r="36" spans="1:16" ht="15.75" thickBot="1">
      <c r="A36" s="2928" t="s">
        <v>1804</v>
      </c>
      <c r="B36" s="2234" t="s">
        <v>1805</v>
      </c>
      <c r="C36" s="69">
        <v>0</v>
      </c>
      <c r="D36" s="2235"/>
      <c r="E36" s="2236"/>
      <c r="F36" s="2236"/>
      <c r="G36" s="2192"/>
      <c r="H36" s="2192"/>
      <c r="I36" s="2192"/>
    </row>
    <row r="37" spans="1:16" ht="15.75" thickBot="1">
      <c r="A37" s="2929"/>
      <c r="B37" s="2237" t="s">
        <v>1806</v>
      </c>
      <c r="C37" s="71">
        <v>0</v>
      </c>
      <c r="D37" s="2202"/>
      <c r="E37" s="2202"/>
      <c r="F37" s="2236"/>
      <c r="G37" s="2202"/>
      <c r="H37" s="2202"/>
      <c r="I37" s="2202"/>
    </row>
    <row r="38" spans="1:16" ht="15.75" thickBot="1">
      <c r="A38" s="2930"/>
      <c r="B38" s="2238" t="s">
        <v>1807</v>
      </c>
      <c r="C38" s="712">
        <v>0</v>
      </c>
      <c r="D38" s="2239" t="s">
        <v>1808</v>
      </c>
      <c r="E38" s="2202"/>
      <c r="F38" s="2236"/>
      <c r="G38" s="2202"/>
      <c r="H38" s="2202"/>
      <c r="I38" s="2202"/>
    </row>
    <row r="39" spans="1:16" ht="15">
      <c r="A39" s="2206" t="s">
        <v>1809</v>
      </c>
      <c r="B39" s="2240" t="s">
        <v>1793</v>
      </c>
      <c r="C39" s="2241" t="s">
        <v>1794</v>
      </c>
      <c r="D39" s="2241" t="s">
        <v>1810</v>
      </c>
      <c r="E39" s="2242" t="s">
        <v>1795</v>
      </c>
      <c r="F39" s="2236"/>
      <c r="G39" s="2202"/>
      <c r="H39" s="2202"/>
      <c r="I39" s="2202"/>
    </row>
    <row r="40" spans="1:16" ht="14.25">
      <c r="A40" s="2243" t="s">
        <v>1811</v>
      </c>
      <c r="B40" s="74"/>
      <c r="C40" s="75"/>
      <c r="D40" s="75"/>
      <c r="E40" s="76"/>
      <c r="F40" s="2236"/>
      <c r="G40" s="2202"/>
      <c r="H40" s="2202"/>
      <c r="I40" s="2202"/>
    </row>
    <row r="41" spans="1:16" ht="14.25">
      <c r="A41" s="2243" t="s">
        <v>1812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1813</v>
      </c>
      <c r="B44" s="2249"/>
      <c r="C44" s="2249"/>
      <c r="D44" s="2250"/>
      <c r="E44" s="2250"/>
      <c r="F44" s="2251"/>
      <c r="G44" s="2251"/>
      <c r="H44" s="2251"/>
      <c r="I44" s="2251"/>
      <c r="J44" s="2252" t="s">
        <v>1814</v>
      </c>
      <c r="K44" s="2253"/>
      <c r="L44" s="2253"/>
      <c r="M44" s="2253"/>
      <c r="N44" s="2253"/>
      <c r="O44" s="2253"/>
      <c r="P44" s="1844"/>
    </row>
    <row r="45" spans="1:16" ht="14.25" customHeight="1" thickBot="1">
      <c r="A45" s="2933" t="s">
        <v>1815</v>
      </c>
      <c r="B45" s="2934"/>
      <c r="C45" s="2935"/>
      <c r="D45" s="80">
        <f ca="1">ROUND(I102*F45,0)</f>
        <v>1696</v>
      </c>
      <c r="E45" s="81" t="s">
        <v>1816</v>
      </c>
      <c r="F45" s="82">
        <v>1</v>
      </c>
      <c r="G45" s="83" t="s">
        <v>1817</v>
      </c>
      <c r="H45" s="2192"/>
      <c r="I45" s="2192"/>
      <c r="J45" s="2845" t="s">
        <v>1818</v>
      </c>
      <c r="K45" s="2845"/>
      <c r="L45" s="2845"/>
      <c r="M45" s="2845"/>
      <c r="N45" s="2845"/>
      <c r="O45" s="2845"/>
      <c r="P45" s="1844"/>
    </row>
    <row r="46" spans="1:16" ht="14.25" customHeight="1">
      <c r="A46" s="2925" t="s">
        <v>1819</v>
      </c>
      <c r="B46" s="2926"/>
      <c r="C46" s="2926"/>
      <c r="D46" s="2926"/>
      <c r="E46" s="2926"/>
      <c r="F46" s="2926"/>
      <c r="G46" s="2927"/>
      <c r="H46" s="2254"/>
      <c r="I46" s="1143"/>
      <c r="J46" s="1882">
        <v>1</v>
      </c>
      <c r="K46" s="2845" t="s">
        <v>1820</v>
      </c>
      <c r="L46" s="2845"/>
      <c r="M46" s="2846" t="str">
        <f>项目基本情况!B1</f>
        <v>北京市海淀区德胜门西大街15号1号楼预评估</v>
      </c>
      <c r="N46" s="2846"/>
      <c r="O46" s="2846"/>
      <c r="P46" s="1844"/>
    </row>
    <row r="47" spans="1:16" ht="12" customHeight="1">
      <c r="A47" s="85" t="s">
        <v>1821</v>
      </c>
      <c r="B47" s="86"/>
      <c r="C47" s="87"/>
      <c r="D47" s="88" t="s">
        <v>1822</v>
      </c>
      <c r="E47" s="14" t="s">
        <v>1823</v>
      </c>
      <c r="F47" s="89" t="s">
        <v>1824</v>
      </c>
      <c r="G47" s="90" t="s">
        <v>1825</v>
      </c>
      <c r="H47" s="2254"/>
      <c r="I47" s="1143"/>
      <c r="J47" s="1882">
        <v>2</v>
      </c>
      <c r="K47" s="2845" t="s">
        <v>1826</v>
      </c>
      <c r="L47" s="2845"/>
      <c r="M47" s="2847">
        <f>'数据-取费表'!B2</f>
        <v>43256</v>
      </c>
      <c r="N47" s="2847"/>
      <c r="O47" s="2847"/>
      <c r="P47" s="1844"/>
    </row>
    <row r="48" spans="1:16" ht="25.5">
      <c r="A48" s="2931" t="s">
        <v>1827</v>
      </c>
      <c r="B48" s="2932"/>
      <c r="C48" s="2932"/>
      <c r="D48" s="56">
        <f ca="1">IF(H48="情况1",0,IF(H48="情况2",D52,IF(H48="情况3",D53,IF(H48="情况4",D54))))</f>
        <v>90</v>
      </c>
      <c r="E48" s="1892" t="str">
        <f>IF(H48="情况4","(销售额-原购置价)×税（费）率","销售额×税（费）率")</f>
        <v>销售额×税（费）率</v>
      </c>
      <c r="F48" s="91">
        <f>IF(H48="情况1","免征",'数据-取费表'!E29)</f>
        <v>5.6000000000000001E-2</v>
      </c>
      <c r="G48" s="2255" t="s">
        <v>1828</v>
      </c>
      <c r="H48" s="2256" t="s">
        <v>1829</v>
      </c>
      <c r="I48" s="2254"/>
      <c r="J48" s="1882">
        <v>3</v>
      </c>
      <c r="K48" s="2845" t="s">
        <v>1830</v>
      </c>
      <c r="L48" s="2845"/>
      <c r="M48" s="2846">
        <f ca="1">I102</f>
        <v>1696</v>
      </c>
      <c r="N48" s="2846"/>
      <c r="O48" s="2846"/>
      <c r="P48" s="1844"/>
    </row>
    <row r="49" spans="1:16" ht="25.5" customHeight="1">
      <c r="A49" s="92" t="s">
        <v>1831</v>
      </c>
      <c r="B49" s="2912" t="s">
        <v>1832</v>
      </c>
      <c r="C49" s="2912"/>
      <c r="D49" s="93">
        <v>0</v>
      </c>
      <c r="E49" s="13" t="s">
        <v>1833</v>
      </c>
      <c r="F49" s="18" t="s">
        <v>48</v>
      </c>
      <c r="G49" s="2836"/>
      <c r="H49" s="2192"/>
      <c r="I49" s="2257"/>
      <c r="J49" s="1882">
        <v>4</v>
      </c>
      <c r="K49" s="2845" t="str">
        <f>IF(项目基本情况!F5="房地产抵押价值","房地产抵押价值","抵押担保权已注销时的房地产抵押价值")</f>
        <v>抵押担保权已注销时的房地产抵押价值</v>
      </c>
      <c r="L49" s="2845"/>
      <c r="M49" s="2846" t="str">
        <f>IF(项目基本情况!F5="房地产抵押价值",I110,I112)</f>
        <v>——</v>
      </c>
      <c r="N49" s="2846"/>
      <c r="O49" s="2846"/>
      <c r="P49" s="1844"/>
    </row>
    <row r="50" spans="1:16" ht="25.5" customHeight="1">
      <c r="A50" s="94"/>
      <c r="B50" s="2912" t="s">
        <v>1834</v>
      </c>
      <c r="C50" s="2912"/>
      <c r="D50" s="95"/>
      <c r="E50" s="21"/>
      <c r="F50" s="96"/>
      <c r="G50" s="2837"/>
      <c r="H50" s="2192"/>
      <c r="I50" s="2257"/>
      <c r="J50" s="2845" t="s">
        <v>1835</v>
      </c>
      <c r="K50" s="2845"/>
      <c r="L50" s="2845"/>
      <c r="M50" s="2845"/>
      <c r="N50" s="2845"/>
      <c r="O50" s="2845"/>
      <c r="P50" s="1844"/>
    </row>
    <row r="51" spans="1:16" ht="12" customHeight="1">
      <c r="A51" s="97"/>
      <c r="B51" s="2912" t="s">
        <v>1836</v>
      </c>
      <c r="C51" s="2912"/>
      <c r="D51" s="98"/>
      <c r="E51" s="20"/>
      <c r="F51" s="96"/>
      <c r="G51" s="2838"/>
      <c r="H51" s="2192"/>
      <c r="I51" s="2257"/>
      <c r="J51" s="2258" t="s">
        <v>1837</v>
      </c>
      <c r="K51" s="2845" t="s">
        <v>1838</v>
      </c>
      <c r="L51" s="2845"/>
      <c r="M51" s="2258" t="s">
        <v>1839</v>
      </c>
      <c r="N51" s="2258" t="s">
        <v>1840</v>
      </c>
      <c r="O51" s="2258" t="s">
        <v>1841</v>
      </c>
      <c r="P51" s="1844"/>
    </row>
    <row r="52" spans="1:16" ht="24" customHeight="1">
      <c r="A52" s="99" t="s">
        <v>1842</v>
      </c>
      <c r="B52" s="2912" t="s">
        <v>1843</v>
      </c>
      <c r="C52" s="2912"/>
      <c r="D52" s="98">
        <f ca="1">ROUND(D45*'数据-取费表'!E29/(1+'数据-取费表'!F30),0)</f>
        <v>90</v>
      </c>
      <c r="E52" s="10" t="s">
        <v>1844</v>
      </c>
      <c r="F52" s="100">
        <f>'数据-取费表'!E29</f>
        <v>5.6000000000000001E-2</v>
      </c>
      <c r="G52" s="2259"/>
      <c r="H52" s="2192"/>
      <c r="I52" s="2257"/>
      <c r="J52" s="1882">
        <v>1</v>
      </c>
      <c r="K52" s="2835" t="s">
        <v>1845</v>
      </c>
      <c r="L52" s="2835"/>
      <c r="M52" s="778">
        <f ca="1">D48</f>
        <v>90</v>
      </c>
      <c r="N52" s="1882" t="str">
        <f>E48</f>
        <v>销售额×税（费）率</v>
      </c>
      <c r="O52" s="779">
        <f>F48</f>
        <v>5.6000000000000001E-2</v>
      </c>
      <c r="P52" s="1844"/>
    </row>
    <row r="53" spans="1:16" ht="12" customHeight="1">
      <c r="A53" s="99" t="s">
        <v>1846</v>
      </c>
      <c r="B53" s="2911" t="s">
        <v>1847</v>
      </c>
      <c r="C53" s="2805"/>
      <c r="D53" s="98">
        <f ca="1">ROUND(D45*'数据-取费表'!E29/(1+'数据-取费表'!F30),0)</f>
        <v>90</v>
      </c>
      <c r="E53" s="10" t="s">
        <v>1844</v>
      </c>
      <c r="F53" s="100">
        <f>'数据-取费表'!E29</f>
        <v>5.6000000000000001E-2</v>
      </c>
      <c r="G53" s="2259"/>
      <c r="H53" s="2192"/>
      <c r="I53" s="2257"/>
      <c r="J53" s="1882">
        <v>2</v>
      </c>
      <c r="K53" s="2835" t="s">
        <v>1848</v>
      </c>
      <c r="L53" s="2835"/>
      <c r="M53" s="778">
        <f t="shared" ref="M53:O54" ca="1" si="0">D55</f>
        <v>1</v>
      </c>
      <c r="N53" s="1882" t="str">
        <f t="shared" si="0"/>
        <v>销售额×税（费）率</v>
      </c>
      <c r="O53" s="779">
        <f t="shared" si="0"/>
        <v>5.0000000000000001E-4</v>
      </c>
      <c r="P53" s="1844"/>
    </row>
    <row r="54" spans="1:16" ht="12" customHeight="1">
      <c r="A54" s="99" t="s">
        <v>1849</v>
      </c>
      <c r="B54" s="2911" t="s">
        <v>1850</v>
      </c>
      <c r="C54" s="2805"/>
      <c r="D54" s="98">
        <f ca="1">C68</f>
        <v>90</v>
      </c>
      <c r="E54" s="20" t="s">
        <v>1851</v>
      </c>
      <c r="F54" s="100">
        <f>'数据-取费表'!E29</f>
        <v>5.6000000000000001E-2</v>
      </c>
      <c r="G54" s="2259"/>
      <c r="H54" s="2260"/>
      <c r="I54" s="2257"/>
      <c r="J54" s="1882">
        <v>3</v>
      </c>
      <c r="K54" s="2835" t="s">
        <v>1852</v>
      </c>
      <c r="L54" s="2835"/>
      <c r="M54" s="778">
        <f t="shared" ca="1" si="0"/>
        <v>960</v>
      </c>
      <c r="N54" s="1882" t="str">
        <f t="shared" si="0"/>
        <v>增值额×税（费）率</v>
      </c>
      <c r="O54" s="780" t="str">
        <f t="shared" si="0"/>
        <v>——</v>
      </c>
      <c r="P54" s="1844"/>
    </row>
    <row r="55" spans="1:16" ht="24" customHeight="1">
      <c r="A55" s="2797" t="s">
        <v>1853</v>
      </c>
      <c r="B55" s="2932"/>
      <c r="C55" s="2932"/>
      <c r="D55" s="101">
        <f ca="1">IF(H55="个人住宅",0,ROUND(D45*I55,0))</f>
        <v>1</v>
      </c>
      <c r="E55" s="10" t="s">
        <v>1854</v>
      </c>
      <c r="F55" s="100">
        <f>IF(H55="正常",I55,"免征")</f>
        <v>5.0000000000000001E-4</v>
      </c>
      <c r="G55" s="2259"/>
      <c r="H55" s="2256" t="s">
        <v>1855</v>
      </c>
      <c r="I55" s="102">
        <f>'数据-取费表'!E37</f>
        <v>5.0000000000000001E-4</v>
      </c>
      <c r="J55" s="1882">
        <f>IF(H59="非个人房产","",4)</f>
        <v>4</v>
      </c>
      <c r="K55" s="2835" t="str">
        <f>IF(H59="非个人房产","——","个人所得税")</f>
        <v>个人所得税</v>
      </c>
      <c r="L55" s="2835"/>
      <c r="M55" s="781">
        <f ca="1">D59</f>
        <v>17</v>
      </c>
      <c r="N55" s="1885" t="str">
        <f>E59</f>
        <v>销售额×税（费）率</v>
      </c>
      <c r="O55" s="782">
        <f>F59</f>
        <v>0.01</v>
      </c>
      <c r="P55" s="1844"/>
    </row>
    <row r="56" spans="1:16" ht="24.75">
      <c r="A56" s="2797" t="s">
        <v>1856</v>
      </c>
      <c r="B56" s="2932"/>
      <c r="C56" s="2932"/>
      <c r="D56" s="101">
        <f ca="1">IF(H56="个人住宅",D57,D58)</f>
        <v>960</v>
      </c>
      <c r="E56" s="10" t="s">
        <v>1857</v>
      </c>
      <c r="F56" s="100" t="str">
        <f>IF(H56="正常",F58,"免征")</f>
        <v>——</v>
      </c>
      <c r="G56" s="2261" t="s">
        <v>1858</v>
      </c>
      <c r="H56" s="2262" t="s">
        <v>1855</v>
      </c>
      <c r="I56" s="1021"/>
      <c r="J56" s="1882"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4"/>
    </row>
    <row r="57" spans="1:16" ht="12.75">
      <c r="A57" s="99" t="s">
        <v>1831</v>
      </c>
      <c r="B57" s="2920" t="s">
        <v>1859</v>
      </c>
      <c r="C57" s="2922"/>
      <c r="D57" s="103">
        <v>0</v>
      </c>
      <c r="E57" s="13" t="s">
        <v>1833</v>
      </c>
      <c r="F57" s="70"/>
      <c r="G57" s="2259"/>
      <c r="H57" s="1021"/>
      <c r="I57" s="1021"/>
      <c r="J57" s="2835">
        <f>IF(AND(J55="",J56=""),4,IF(项目基本情况!I6="上海银行",J56+1,J55+1))</f>
        <v>5</v>
      </c>
      <c r="K57" s="2835" t="s">
        <v>1860</v>
      </c>
      <c r="L57" s="2263" t="s">
        <v>1861</v>
      </c>
      <c r="M57" s="783"/>
      <c r="N57" s="784">
        <f ca="1">SUMIF(M52:M56,"&lt;9e307")</f>
        <v>1068</v>
      </c>
      <c r="O57" s="2264"/>
      <c r="P57" s="1840" t="e">
        <f ca="1">N57/M49</f>
        <v>#VALUE!</v>
      </c>
    </row>
    <row r="58" spans="1:16" ht="24.75">
      <c r="A58" s="99" t="s">
        <v>1842</v>
      </c>
      <c r="B58" s="2920" t="s">
        <v>1862</v>
      </c>
      <c r="C58" s="2921"/>
      <c r="D58" s="101">
        <f ca="1">IF(H58="转让取得",C81,C97)</f>
        <v>960</v>
      </c>
      <c r="E58" s="10" t="s">
        <v>1857</v>
      </c>
      <c r="F58" s="14" t="s">
        <v>48</v>
      </c>
      <c r="G58" s="2259"/>
      <c r="H58" s="2262" t="s">
        <v>1863</v>
      </c>
      <c r="I58" s="1021"/>
      <c r="J58" s="2835"/>
      <c r="K58" s="2835"/>
      <c r="L58" s="2263" t="s">
        <v>1864</v>
      </c>
      <c r="M58" s="785"/>
      <c r="N58" s="2265" t="str">
        <f ca="1">IF(H19="元",NUMBERSTRING(INT(N57),2)&amp;"元整",NUMBERSTRING(INT(N57*10000),2)&amp;"元整")</f>
        <v>壹仟零陆拾捌万元整</v>
      </c>
      <c r="O58" s="2266"/>
      <c r="P58" s="1844"/>
    </row>
    <row r="59" spans="1:16" ht="26.25" thickBot="1">
      <c r="A59" s="2798" t="s">
        <v>1865</v>
      </c>
      <c r="B59" s="2801"/>
      <c r="C59" s="2801"/>
      <c r="D59" s="104">
        <f ca="1">IF(H59="非个人房产","——",IF(H59="个人住宅",0,ROUND(D45*I59,0)))</f>
        <v>17</v>
      </c>
      <c r="E59" s="105" t="str">
        <f>IF(H59="非个人房产","——","销售额×税（费）率")</f>
        <v>销售额×税（费）率</v>
      </c>
      <c r="F59" s="106">
        <f>IF(H59="非个人房产","——",IF(H59="个人住宅","免征",I59))</f>
        <v>0.01</v>
      </c>
      <c r="G59" s="2267" t="s">
        <v>1858</v>
      </c>
      <c r="H59" s="2262" t="s">
        <v>1866</v>
      </c>
      <c r="I59" s="107">
        <v>0.01</v>
      </c>
      <c r="J59" s="2889">
        <f>J57+1</f>
        <v>6</v>
      </c>
      <c r="K59" s="2835" t="s">
        <v>1867</v>
      </c>
      <c r="L59" s="1882" t="s">
        <v>1861</v>
      </c>
      <c r="M59" s="786"/>
      <c r="N59" s="787" t="e">
        <f ca="1">M49-N57</f>
        <v>#VALUE!</v>
      </c>
      <c r="O59" s="2268"/>
      <c r="P59" s="1844"/>
    </row>
    <row r="60" spans="1:16" ht="12" customHeight="1">
      <c r="A60" s="2065"/>
      <c r="B60" s="2192"/>
      <c r="C60" s="2192"/>
      <c r="D60" s="2192"/>
      <c r="E60" s="1021"/>
      <c r="F60" s="1021"/>
      <c r="G60" s="1021"/>
      <c r="H60" s="2245"/>
      <c r="I60" s="2192"/>
      <c r="J60" s="2890"/>
      <c r="K60" s="2835"/>
      <c r="L60" s="2263" t="s">
        <v>1864</v>
      </c>
      <c r="M60" s="785"/>
      <c r="N60" s="2265" t="e">
        <f ca="1">IF(H19="元",NUMBERSTRING(INT(N59),2)&amp;"元整",NUMBERSTRING(INT(N59*10000),2)&amp;"元整")</f>
        <v>#VALUE!</v>
      </c>
      <c r="O60" s="2266"/>
      <c r="P60" s="1844"/>
    </row>
    <row r="61" spans="1:16" ht="13.5" thickBot="1">
      <c r="A61" s="2936" t="s">
        <v>1868</v>
      </c>
      <c r="B61" s="2936"/>
      <c r="C61" s="2936"/>
      <c r="D61" s="2936"/>
      <c r="E61" s="2936"/>
      <c r="F61" s="1021"/>
      <c r="G61" s="1021"/>
      <c r="H61" s="2245"/>
      <c r="I61" s="2192"/>
      <c r="J61" s="1882">
        <f>J59+1</f>
        <v>7</v>
      </c>
      <c r="K61" s="2835" t="s">
        <v>1869</v>
      </c>
      <c r="L61" s="2835"/>
      <c r="M61" s="788"/>
      <c r="N61" s="789" t="e">
        <f ca="1">IF(H19="元",ROUND(N59/项目基本情况!C12,0),ROUND(N59*10000/项目基本情况!C12,0))</f>
        <v>#VALUE!</v>
      </c>
      <c r="O61" s="2269"/>
      <c r="P61" s="1844"/>
    </row>
    <row r="62" spans="1:16" ht="12.75">
      <c r="A62" s="2873" t="s">
        <v>1870</v>
      </c>
      <c r="B62" s="2874"/>
      <c r="C62" s="1884"/>
      <c r="D62" s="1884" t="s">
        <v>1871</v>
      </c>
      <c r="E62" s="108" t="s">
        <v>1872</v>
      </c>
      <c r="F62" s="1021"/>
      <c r="G62" s="1021"/>
      <c r="H62" s="2245"/>
      <c r="I62" s="2192"/>
      <c r="J62" s="1844"/>
      <c r="K62" s="1844"/>
      <c r="L62" s="1844"/>
      <c r="M62" s="1844"/>
      <c r="N62" s="1844"/>
      <c r="O62" s="1844"/>
      <c r="P62" s="1844"/>
    </row>
    <row r="63" spans="1:16" ht="12.75">
      <c r="A63" s="109">
        <v>1</v>
      </c>
      <c r="B63" s="110" t="s">
        <v>1873</v>
      </c>
      <c r="C63" s="111">
        <f ca="1">ROUND((C64+C65)/(1+'数据-取费表'!F30),0)</f>
        <v>1615</v>
      </c>
      <c r="D63" s="112"/>
      <c r="E63" s="113"/>
      <c r="F63" s="1021"/>
      <c r="G63" s="1021"/>
      <c r="H63" s="2245"/>
      <c r="I63" s="2192"/>
      <c r="J63" s="2854" t="s">
        <v>1874</v>
      </c>
      <c r="K63" s="2270" t="s">
        <v>1875</v>
      </c>
      <c r="L63" s="1843" t="e">
        <f>IF(M49&gt;10000,M49*0.5%,IF(AND(M49&gt;1000,M49&lt;=10000),M49*1%,IF(AND(M49&gt;100,M49&lt;=1000),M49*3%,IF(AND(M49&gt;10,M49&lt;=100),M49*5%,M49*8%))))</f>
        <v>#VALUE!</v>
      </c>
      <c r="M63" s="14" t="e">
        <f>ROUND(L63,1)</f>
        <v>#VALUE!</v>
      </c>
      <c r="N63" s="1844"/>
      <c r="O63" s="1844"/>
      <c r="P63" s="1844"/>
    </row>
    <row r="64" spans="1:16" ht="12.75">
      <c r="A64" s="114" t="s">
        <v>71</v>
      </c>
      <c r="B64" s="115" t="s">
        <v>1876</v>
      </c>
      <c r="C64" s="116">
        <f ca="1">D45</f>
        <v>1696</v>
      </c>
      <c r="D64" s="117" t="s">
        <v>41</v>
      </c>
      <c r="E64" s="118"/>
      <c r="F64" s="1021"/>
      <c r="G64" s="1021"/>
      <c r="H64" s="2245"/>
      <c r="I64" s="2192"/>
      <c r="J64" s="2854"/>
      <c r="K64" s="2270" t="s">
        <v>1877</v>
      </c>
      <c r="L64" s="1843"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4" t="s">
        <v>1878</v>
      </c>
      <c r="O64" s="1844"/>
      <c r="P64" s="1844"/>
    </row>
    <row r="65" spans="1:35" ht="12.75">
      <c r="A65" s="114" t="s">
        <v>72</v>
      </c>
      <c r="B65" s="115" t="s">
        <v>1879</v>
      </c>
      <c r="C65" s="119"/>
      <c r="D65" s="117"/>
      <c r="E65" s="118"/>
      <c r="F65" s="1021"/>
      <c r="G65" s="1021"/>
      <c r="H65" s="2245"/>
      <c r="I65" s="2192"/>
      <c r="J65" s="2854"/>
      <c r="K65" s="2270" t="s">
        <v>1880</v>
      </c>
      <c r="L65" s="1843" t="e">
        <f>IF(M49&gt;1000,M49*0.1%,IF(AND(M49&gt;500,M49&lt;=1000),M49*0.5%,IF(AND(M49&gt;50,M49&lt;=500),M49*1%,IF(AND(M49&gt;1,M49&lt;=50),M49*1.5%))))</f>
        <v>#VALUE!</v>
      </c>
      <c r="M65" s="14" t="e">
        <f>ROUND(L65,1)</f>
        <v>#VALUE!</v>
      </c>
      <c r="N65" s="1844" t="s">
        <v>1878</v>
      </c>
      <c r="O65" s="1844"/>
      <c r="P65" s="1844"/>
    </row>
    <row r="66" spans="1:35" ht="12.75">
      <c r="A66" s="120" t="s">
        <v>47</v>
      </c>
      <c r="B66" s="121" t="s">
        <v>1881</v>
      </c>
      <c r="C66" s="122"/>
      <c r="D66" s="123" t="s">
        <v>41</v>
      </c>
      <c r="E66" s="1860" t="s">
        <v>1882</v>
      </c>
      <c r="F66" s="1021"/>
      <c r="G66" s="1021"/>
      <c r="H66" s="2245"/>
      <c r="I66" s="2192"/>
      <c r="J66" s="2854"/>
      <c r="K66" s="2270" t="s">
        <v>1883</v>
      </c>
      <c r="L66" s="1843" t="e">
        <f>M49*0.5%</f>
        <v>#VALUE!</v>
      </c>
      <c r="M66" s="14" t="e">
        <f>IF(L66&gt;0.5,0.5,ROUND(L66,0))</f>
        <v>#VALUE!</v>
      </c>
      <c r="N66" s="1844" t="s">
        <v>1884</v>
      </c>
      <c r="O66" s="1844"/>
      <c r="P66" s="1844"/>
    </row>
    <row r="67" spans="1:35" ht="12.75">
      <c r="A67" s="120" t="s">
        <v>42</v>
      </c>
      <c r="B67" s="121" t="s">
        <v>1885</v>
      </c>
      <c r="C67" s="124">
        <f ca="1">C63-C66</f>
        <v>1615</v>
      </c>
      <c r="D67" s="117" t="s">
        <v>41</v>
      </c>
      <c r="E67" s="118"/>
      <c r="F67" s="1021"/>
      <c r="G67" s="1021"/>
      <c r="H67" s="2245"/>
      <c r="I67" s="2192"/>
      <c r="J67" s="2854"/>
      <c r="K67" s="2270" t="s">
        <v>1886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1887</v>
      </c>
      <c r="C68" s="127">
        <f ca="1">IF(C67&lt;=0,0,ROUND(C67*D68,0))</f>
        <v>90</v>
      </c>
      <c r="D68" s="128">
        <f>'数据-取费表'!E29</f>
        <v>5.6000000000000001E-2</v>
      </c>
      <c r="E68" s="129"/>
      <c r="F68" s="1021"/>
      <c r="G68" s="1021"/>
      <c r="H68" s="2245"/>
      <c r="I68" s="2192"/>
      <c r="J68" s="2854"/>
      <c r="K68" s="2270" t="s">
        <v>1888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854"/>
      <c r="K69" s="2270" t="s">
        <v>1889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75" t="s">
        <v>1890</v>
      </c>
      <c r="B70" s="2876"/>
      <c r="C70" s="2876"/>
      <c r="D70" s="2876"/>
      <c r="E70" s="2876"/>
      <c r="F70" s="2876"/>
      <c r="G70" s="2876"/>
      <c r="H70" s="2876"/>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73" t="s">
        <v>1870</v>
      </c>
      <c r="B71" s="2874"/>
      <c r="C71" s="1884"/>
      <c r="D71" s="1884" t="s">
        <v>1871</v>
      </c>
      <c r="E71" s="130" t="s">
        <v>1872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1891</v>
      </c>
      <c r="C72" s="124">
        <f ca="1">ROUND(D45/(1+'数据-取费表'!F30),0)</f>
        <v>1615</v>
      </c>
      <c r="D72" s="117" t="s">
        <v>41</v>
      </c>
      <c r="E72" s="12" t="s">
        <v>1892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1893</v>
      </c>
      <c r="C73" s="124">
        <f ca="1">C74+C78</f>
        <v>10</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1895</v>
      </c>
      <c r="C75" s="137"/>
      <c r="D75" s="117" t="s">
        <v>41</v>
      </c>
      <c r="E75" s="138" t="s">
        <v>1896</v>
      </c>
      <c r="F75" s="2281" t="s">
        <v>1897</v>
      </c>
      <c r="G75" s="138" t="s">
        <v>1898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1899</v>
      </c>
      <c r="C76" s="117">
        <f>IF(F75="购房发票",ROUND(C75*H75*D76,0),0)</f>
        <v>0</v>
      </c>
      <c r="D76" s="141">
        <v>0.05</v>
      </c>
      <c r="E76" s="2911" t="s">
        <v>1900</v>
      </c>
      <c r="F76" s="2912"/>
      <c r="G76" s="2912"/>
      <c r="H76" s="2913"/>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82" t="s">
        <v>1903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1904</v>
      </c>
      <c r="C78" s="144">
        <f ca="1">ROUND(D45*D78/(1+'数据-取费表'!F30),0)</f>
        <v>10</v>
      </c>
      <c r="D78" s="145">
        <f>'数据-取费表'!E31</f>
        <v>6.000000000000001E-3</v>
      </c>
      <c r="E78" s="2842" t="s">
        <v>1905</v>
      </c>
      <c r="F78" s="2843"/>
      <c r="G78" s="2843"/>
      <c r="H78" s="2863"/>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1906</v>
      </c>
      <c r="C79" s="124">
        <f ca="1">C72-C73</f>
        <v>1605</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1907</v>
      </c>
      <c r="C80" s="147">
        <f ca="1">IF(C79&lt;=0,0,C79/C73)</f>
        <v>160.5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1908</v>
      </c>
      <c r="C81" s="149">
        <f ca="1">ROUND(IF(C79&lt;=0,0,IF(C80&gt;=200%,C79*60%-C73*35%,IF(C80&gt;=100%,C79*50%-C73*15%,IF(C80&gt;=50%,C79*40%-C73*5%,IF(C80&lt;50%,C79*30%,0))))),0)</f>
        <v>960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75" t="s">
        <v>1909</v>
      </c>
      <c r="B83" s="2876"/>
      <c r="C83" s="2876"/>
      <c r="D83" s="2876"/>
      <c r="E83" s="2876"/>
      <c r="F83" s="2876"/>
      <c r="G83" s="2876"/>
      <c r="H83" s="2876"/>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73" t="s">
        <v>1870</v>
      </c>
      <c r="B84" s="2874"/>
      <c r="C84" s="1884"/>
      <c r="D84" s="1884" t="s">
        <v>1871</v>
      </c>
      <c r="E84" s="130" t="s">
        <v>1872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1891</v>
      </c>
      <c r="C85" s="124">
        <f ca="1">ROUND(D45/(1+'数据-取费表'!F30),0)</f>
        <v>1615</v>
      </c>
      <c r="D85" s="117" t="s">
        <v>41</v>
      </c>
      <c r="E85" s="1887" t="s">
        <v>1892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1893</v>
      </c>
      <c r="C86" s="124">
        <f ca="1">IF(H88="仅含出让金",C87+C90+C91+C92+C93+C94,C87+C91+C92+C93+C94)</f>
        <v>10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1911</v>
      </c>
      <c r="C88" s="157"/>
      <c r="D88" s="145"/>
      <c r="E88" s="158" t="s">
        <v>1912</v>
      </c>
      <c r="F88" s="1881"/>
      <c r="G88" s="159" t="s">
        <v>1913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1901</v>
      </c>
      <c r="C89" s="144">
        <f>ROUND(C88*D89,0)</f>
        <v>0</v>
      </c>
      <c r="D89" s="145">
        <f>'数据-取费表'!E36+'数据-取费表'!E37</f>
        <v>3.0499999999999999E-2</v>
      </c>
      <c r="E89" s="158" t="s">
        <v>1914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1916</v>
      </c>
      <c r="C91" s="144">
        <f>IF(H91="——",成本法!C33,I91)</f>
        <v>0</v>
      </c>
      <c r="D91" s="145"/>
      <c r="E91" s="2842" t="s">
        <v>1917</v>
      </c>
      <c r="F91" s="2843"/>
      <c r="G91" s="2843"/>
      <c r="H91" s="2285" t="s">
        <v>1918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1919</v>
      </c>
      <c r="C92" s="144">
        <f>ROUND((C87+C90+C91)*D92,0)</f>
        <v>0</v>
      </c>
      <c r="D92" s="145">
        <v>0.1</v>
      </c>
      <c r="E92" s="2842" t="s">
        <v>1920</v>
      </c>
      <c r="F92" s="2843"/>
      <c r="G92" s="2843"/>
      <c r="H92" s="2863"/>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1904</v>
      </c>
      <c r="C93" s="144">
        <f ca="1">ROUND(D45*D93/(1+'数据-取费表'!F30),0)</f>
        <v>10</v>
      </c>
      <c r="D93" s="145">
        <f>'数据-取费表'!E31</f>
        <v>6.000000000000001E-3</v>
      </c>
      <c r="E93" s="2842" t="s">
        <v>1905</v>
      </c>
      <c r="F93" s="2843"/>
      <c r="G93" s="2843"/>
      <c r="H93" s="2863"/>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1921</v>
      </c>
      <c r="C94" s="144">
        <f>ROUND((C87+C90+C91)*D94,0)</f>
        <v>0</v>
      </c>
      <c r="D94" s="145">
        <v>0.2</v>
      </c>
      <c r="E94" s="2842" t="s">
        <v>1922</v>
      </c>
      <c r="F94" s="2843"/>
      <c r="G94" s="2843"/>
      <c r="H94" s="2863"/>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1906</v>
      </c>
      <c r="C95" s="124">
        <f ca="1">ROUND(C85-C86,0)</f>
        <v>1605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1907</v>
      </c>
      <c r="C96" s="147">
        <f ca="1">IF(C95&lt;=0,0,C95/C86)</f>
        <v>160.5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1908</v>
      </c>
      <c r="C97" s="149">
        <f ca="1">ROUND(IF(C95&lt;=0,0,IF(C96&gt;=200%,C95*60%-C86*35%,IF(C96&gt;=100%,C95*50%-C86*15%,IF(C96&gt;=50%,C95*40%-C86*5%,IF(C96&lt;50%,C95*30%,0))))),0)</f>
        <v>960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1923</v>
      </c>
      <c r="B98" s="2192"/>
      <c r="C98" s="2192"/>
      <c r="D98" s="2192"/>
      <c r="E98" s="1021"/>
      <c r="F98" s="1021"/>
      <c r="G98" s="1021"/>
      <c r="H98" s="2245"/>
      <c r="I98" s="2192"/>
    </row>
    <row r="99" spans="1:35" ht="15.75">
      <c r="A99" s="2860" t="s">
        <v>1924</v>
      </c>
      <c r="B99" s="2861"/>
      <c r="C99" s="2861"/>
      <c r="D99" s="2862"/>
      <c r="E99" s="2192"/>
      <c r="F99" s="2870" t="s">
        <v>1925</v>
      </c>
      <c r="G99" s="2871"/>
      <c r="H99" s="2871"/>
      <c r="I99" s="2872"/>
    </row>
    <row r="100" spans="1:35" ht="15.75">
      <c r="A100" s="2877" t="s">
        <v>1926</v>
      </c>
      <c r="B100" s="2878"/>
      <c r="C100" s="720" t="str">
        <f>C4</f>
        <v>比较法-住宅</v>
      </c>
      <c r="D100" s="721" t="str">
        <f>D4</f>
        <v>成本法</v>
      </c>
      <c r="E100" s="2192"/>
      <c r="F100" s="2879" t="s">
        <v>1927</v>
      </c>
      <c r="G100" s="2881"/>
      <c r="H100" s="2879" t="s">
        <v>1928</v>
      </c>
      <c r="I100" s="2880"/>
    </row>
    <row r="101" spans="1:35" ht="15.75">
      <c r="A101" s="2899" t="s">
        <v>1929</v>
      </c>
      <c r="B101" s="2287" t="str">
        <f>IF(H19="元","总价（元）","总价（万元）")</f>
        <v>总价（万元）</v>
      </c>
      <c r="C101" s="720">
        <f ca="1">C19</f>
        <v>1847</v>
      </c>
      <c r="D101" s="721">
        <f ca="1">D19</f>
        <v>1093</v>
      </c>
      <c r="E101" s="2192"/>
      <c r="F101" s="2879" t="str">
        <f>项目基本情况!I1</f>
        <v>北京市海淀区德胜门西大街15号1号楼房地产</v>
      </c>
      <c r="G101" s="2881"/>
      <c r="H101" s="2940">
        <f>项目基本情况!C12</f>
        <v>178.24</v>
      </c>
      <c r="I101" s="2880"/>
    </row>
    <row r="102" spans="1:35" ht="15.75">
      <c r="A102" s="2899"/>
      <c r="B102" s="2287" t="s">
        <v>1930</v>
      </c>
      <c r="C102" s="722">
        <f ca="1">C20</f>
        <v>103615</v>
      </c>
      <c r="D102" s="723">
        <f ca="1">D20</f>
        <v>61311</v>
      </c>
      <c r="E102" s="2192"/>
      <c r="F102" s="2954" t="s">
        <v>1931</v>
      </c>
      <c r="G102" s="2955"/>
      <c r="H102" s="2288" t="str">
        <f>C106</f>
        <v>总价（万元）</v>
      </c>
      <c r="I102" s="1861">
        <f ca="1">H121</f>
        <v>1696</v>
      </c>
    </row>
    <row r="103" spans="1:35" ht="15">
      <c r="A103" s="2899" t="s">
        <v>1932</v>
      </c>
      <c r="B103" s="2289" t="str">
        <f>B101</f>
        <v>总价（万元）</v>
      </c>
      <c r="C103" s="724">
        <f ca="1">H121</f>
        <v>1696</v>
      </c>
      <c r="D103" s="725"/>
      <c r="E103" s="2192"/>
      <c r="F103" s="2954"/>
      <c r="G103" s="2955"/>
      <c r="H103" s="2288" t="s">
        <v>1930</v>
      </c>
      <c r="I103" s="1049">
        <f ca="1">I121</f>
        <v>95154</v>
      </c>
    </row>
    <row r="104" spans="1:35" ht="16.5" thickBot="1">
      <c r="A104" s="2900"/>
      <c r="B104" s="2290" t="s">
        <v>1930</v>
      </c>
      <c r="C104" s="726">
        <f ca="1">I121</f>
        <v>95154</v>
      </c>
      <c r="D104" s="727"/>
      <c r="E104" s="2192"/>
      <c r="F104" s="2866"/>
      <c r="G104" s="2867"/>
      <c r="H104" s="2901"/>
      <c r="I104" s="2902"/>
    </row>
    <row r="105" spans="1:35" ht="15.75">
      <c r="A105" s="2860" t="s">
        <v>1933</v>
      </c>
      <c r="B105" s="2861"/>
      <c r="C105" s="2861"/>
      <c r="D105" s="2862"/>
      <c r="E105" s="2192"/>
      <c r="F105" s="2905" t="s">
        <v>1934</v>
      </c>
      <c r="G105" s="2906"/>
      <c r="H105" s="2291" t="str">
        <f>C108</f>
        <v>总额（万元）</v>
      </c>
      <c r="I105" s="1861">
        <f>SUMIF(I106:I108,"&lt;9E307")</f>
        <v>0</v>
      </c>
    </row>
    <row r="106" spans="1:35" ht="15">
      <c r="A106" s="2907" t="s">
        <v>1935</v>
      </c>
      <c r="B106" s="2908"/>
      <c r="C106" s="2288" t="str">
        <f>B101</f>
        <v>总价（万元）</v>
      </c>
      <c r="D106" s="1050">
        <f ca="1">H121</f>
        <v>1696</v>
      </c>
      <c r="E106" s="2192"/>
      <c r="F106" s="2868" t="s">
        <v>1936</v>
      </c>
      <c r="G106" s="2869"/>
      <c r="H106" s="2291" t="str">
        <f>C109</f>
        <v>总额（万元）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7"/>
      <c r="B107" s="2908"/>
      <c r="C107" s="2288" t="s">
        <v>1930</v>
      </c>
      <c r="D107" s="1051">
        <f ca="1">I121</f>
        <v>95154</v>
      </c>
      <c r="E107" s="2192"/>
      <c r="F107" s="2868" t="s">
        <v>1937</v>
      </c>
      <c r="G107" s="2869"/>
      <c r="H107" s="2291" t="str">
        <f>C110</f>
        <v>总额（万元）</v>
      </c>
      <c r="I107" s="1049">
        <f>C37</f>
        <v>0</v>
      </c>
      <c r="K107" s="2292"/>
    </row>
    <row r="108" spans="1:35" ht="15">
      <c r="A108" s="2950" t="s">
        <v>1938</v>
      </c>
      <c r="B108" s="2951"/>
      <c r="C108" s="2291" t="str">
        <f>IF(H19="元","总额（元）","总额（万元）")</f>
        <v>总额（万元）</v>
      </c>
      <c r="D108" s="1050">
        <f>IF(D36="正常操作",I106+I107+I108,I107+I108)</f>
        <v>0</v>
      </c>
      <c r="E108" s="2192"/>
      <c r="F108" s="2868" t="s">
        <v>1939</v>
      </c>
      <c r="G108" s="2869"/>
      <c r="H108" s="2291" t="str">
        <f>C111</f>
        <v>总额（万元）</v>
      </c>
      <c r="I108" s="1049">
        <f>C38</f>
        <v>0</v>
      </c>
    </row>
    <row r="109" spans="1:35" ht="15.75">
      <c r="A109" s="2868" t="s">
        <v>1936</v>
      </c>
      <c r="B109" s="2869"/>
      <c r="C109" s="2291" t="str">
        <f>C108</f>
        <v>总额（万元）</v>
      </c>
      <c r="D109" s="637">
        <f>IF(D36="同一抵押权人同一抵押物续贷",C36&amp;"（未扣减，详见特别提示）",C36)</f>
        <v>0</v>
      </c>
      <c r="E109" s="2192"/>
      <c r="F109" s="2866"/>
      <c r="G109" s="2867"/>
      <c r="H109" s="2903"/>
      <c r="I109" s="2904"/>
    </row>
    <row r="110" spans="1:35" ht="28.5" customHeight="1">
      <c r="A110" s="2868" t="s">
        <v>1937</v>
      </c>
      <c r="B110" s="2869"/>
      <c r="C110" s="2291" t="str">
        <f>C108</f>
        <v>总额（万元）</v>
      </c>
      <c r="D110" s="637">
        <f>C37</f>
        <v>0</v>
      </c>
      <c r="E110" s="2192"/>
      <c r="F110" s="2848" t="str">
        <f>IF(项目基本情况!F5="已注销","——","3.房地产抵押价值")</f>
        <v>3.房地产抵押价值</v>
      </c>
      <c r="G110" s="2849"/>
      <c r="H110" s="2293" t="str">
        <f>C112</f>
        <v>总价（万元）</v>
      </c>
      <c r="I110" s="1862">
        <f ca="1">IF(F110="——","——",I102-I105)</f>
        <v>1696</v>
      </c>
    </row>
    <row r="111" spans="1:35" ht="15">
      <c r="A111" s="2868" t="s">
        <v>1939</v>
      </c>
      <c r="B111" s="2869"/>
      <c r="C111" s="2291" t="str">
        <f>C108</f>
        <v>总额（万元）</v>
      </c>
      <c r="D111" s="637">
        <f>C38</f>
        <v>0</v>
      </c>
      <c r="E111" s="2192"/>
      <c r="F111" s="2850"/>
      <c r="G111" s="2851"/>
      <c r="H111" s="2288" t="s">
        <v>1930</v>
      </c>
      <c r="I111" s="2294">
        <f ca="1">D113</f>
        <v>95154</v>
      </c>
    </row>
    <row r="112" spans="1:35" ht="26.25" customHeight="1">
      <c r="A112" s="2907" t="str">
        <f>IF(项目基本情况!F5="已注销","——","3.房地产抵押价值")</f>
        <v>3.房地产抵押价值</v>
      </c>
      <c r="B112" s="2908"/>
      <c r="C112" s="2288" t="str">
        <f>B101</f>
        <v>总价（万元）</v>
      </c>
      <c r="D112" s="1050">
        <f ca="1">IF(A112="——","——",D106-D108)</f>
        <v>1696</v>
      </c>
      <c r="E112" s="2192"/>
      <c r="F112" s="2848" t="str">
        <f>IF(项目基本情况!F5="已注销及未注销","4.抵押担保权已注销时的房地产抵押价值",IF(项目基本情况!F5="已注销","3.抵押担保权已注销时的房地产抵押价值","——"))</f>
        <v>——</v>
      </c>
      <c r="G112" s="2849"/>
      <c r="H112" s="2293" t="str">
        <f>C114</f>
        <v>总价（万元）</v>
      </c>
      <c r="I112" s="1862" t="str">
        <f>IF(F112="——","——",I102-I107-I108)</f>
        <v>——</v>
      </c>
    </row>
    <row r="113" spans="1:15" ht="15">
      <c r="A113" s="2907"/>
      <c r="B113" s="2908"/>
      <c r="C113" s="2288" t="s">
        <v>1930</v>
      </c>
      <c r="D113" s="1051">
        <f ca="1">ROUND(IF(D112=D106,D107,IF(H19="元",D112/项目基本情况!C12,D112*10000/项目基本情况!C12)),0)</f>
        <v>95154</v>
      </c>
      <c r="E113" s="2192"/>
      <c r="F113" s="2850"/>
      <c r="G113" s="2851"/>
      <c r="H113" s="2288" t="s">
        <v>1930</v>
      </c>
      <c r="I113" s="2295" t="str">
        <f>D115</f>
        <v>——</v>
      </c>
    </row>
    <row r="114" spans="1:15" ht="15.75">
      <c r="A114" s="2907" t="str">
        <f>IF(项目基本情况!F5="已注销及未注销","4.抵押担保权已注销时的房地产抵押价值",IF(项目基本情况!F5="已注销","3.抵押担保权已注销时的房地产抵押价值","——"))</f>
        <v>——</v>
      </c>
      <c r="B114" s="2908"/>
      <c r="C114" s="2288" t="str">
        <f>B101</f>
        <v>总价（万元）</v>
      </c>
      <c r="D114" s="1050" t="str">
        <f>IF(A114="——","——",D106-D110-D111)</f>
        <v>——</v>
      </c>
      <c r="E114" s="2192"/>
      <c r="F114" s="2848" t="str">
        <f>IF(项目基本情况!G5="抵押净值",IF(OR(项目基本情况!F5="已注销",项目基本情况!F5="房地产抵押价值"),"4.抵押净值","5.抵押净值"),"——")</f>
        <v>——</v>
      </c>
      <c r="G114" s="2849"/>
      <c r="H114" s="2288" t="str">
        <f>C116</f>
        <v>总价（万元）</v>
      </c>
      <c r="I114" s="1861" t="str">
        <f>IF(F114="——","——",N59)</f>
        <v>——</v>
      </c>
    </row>
    <row r="115" spans="1:15" ht="15.75" thickBot="1">
      <c r="A115" s="2907"/>
      <c r="B115" s="2908"/>
      <c r="C115" s="2288" t="s">
        <v>1930</v>
      </c>
      <c r="D115" s="1051" t="str">
        <f>IF(A114="——","——",ROUND(IF(D114=D106,D107,IF(H19="元",D114/项目基本情况!C12,D114*10000/项目基本情况!C12)),0))</f>
        <v>——</v>
      </c>
      <c r="E115" s="2192"/>
      <c r="F115" s="2941"/>
      <c r="G115" s="2942"/>
      <c r="H115" s="2296" t="s">
        <v>1930</v>
      </c>
      <c r="I115" s="1863" t="str">
        <f ca="1">D117</f>
        <v>——</v>
      </c>
    </row>
    <row r="116" spans="1:15" ht="15.75">
      <c r="A116" s="2907" t="str">
        <f>IF(项目基本情况!G5="抵押净值",IF(OR(项目基本情况!F5="已注销",项目基本情况!F5="房地产抵押价值"),"4.抵押净值","5.抵押净值"),"——")</f>
        <v>——</v>
      </c>
      <c r="B116" s="2908"/>
      <c r="C116" s="2288" t="str">
        <f>B101</f>
        <v>总价（万元）</v>
      </c>
      <c r="D116" s="1050" t="str">
        <f>IF(A116="——","——",N59)</f>
        <v>——</v>
      </c>
      <c r="E116" s="2192"/>
      <c r="F116" s="2844"/>
      <c r="G116" s="2844"/>
      <c r="H116" s="2886"/>
      <c r="I116" s="2886"/>
      <c r="N116" s="55"/>
      <c r="O116" s="55"/>
    </row>
    <row r="117" spans="1:15" ht="15.75" thickBot="1">
      <c r="A117" s="2948"/>
      <c r="B117" s="2949"/>
      <c r="C117" s="2296" t="s">
        <v>1930</v>
      </c>
      <c r="D117" s="1052" t="str">
        <f ca="1">IF(D116=D112,D113,IF(A116="——","——",N61))</f>
        <v>——</v>
      </c>
      <c r="E117" s="2192"/>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2887" t="s">
        <v>1940</v>
      </c>
      <c r="B118" s="2888"/>
      <c r="C118" s="2888"/>
      <c r="D118" s="2888"/>
      <c r="E118" s="2888"/>
      <c r="F118" s="2888"/>
      <c r="G118" s="2888"/>
      <c r="H118" s="2888"/>
      <c r="I118" s="2888"/>
    </row>
    <row r="119" spans="1:15" ht="14.25">
      <c r="A119" s="2859" t="s">
        <v>1941</v>
      </c>
      <c r="B119" s="2857" t="s">
        <v>1942</v>
      </c>
      <c r="C119" s="2857" t="s">
        <v>1943</v>
      </c>
      <c r="D119" s="2864" t="s">
        <v>1944</v>
      </c>
      <c r="E119" s="2865"/>
      <c r="F119" s="2855" t="s">
        <v>1802</v>
      </c>
      <c r="G119" s="2855"/>
      <c r="H119" s="2855" t="s">
        <v>1945</v>
      </c>
      <c r="I119" s="2856"/>
    </row>
    <row r="120" spans="1:15" ht="14.25">
      <c r="A120" s="2859"/>
      <c r="B120" s="2858"/>
      <c r="C120" s="2858"/>
      <c r="D120" s="1886" t="s">
        <v>1946</v>
      </c>
      <c r="E120" s="1886" t="s">
        <v>1947</v>
      </c>
      <c r="F120" s="1886" t="s">
        <v>1946</v>
      </c>
      <c r="G120" s="1886" t="s">
        <v>1948</v>
      </c>
      <c r="H120" s="1886" t="s">
        <v>1946</v>
      </c>
      <c r="I120" s="637" t="s">
        <v>1948</v>
      </c>
    </row>
    <row r="121" spans="1:15" ht="57">
      <c r="A121" s="2178" t="str">
        <f>项目基本情况!I1</f>
        <v>北京市海淀区德胜门西大街15号1号楼房地产</v>
      </c>
      <c r="B121" s="1886">
        <f>项目基本情况!C12</f>
        <v>178.24</v>
      </c>
      <c r="C121" s="1886">
        <f>项目基本情况!C13</f>
        <v>0</v>
      </c>
      <c r="D121" s="1886">
        <f ca="1">ROUND(IF(B32="总价",C34,IF('数据-取费表'!B3="万元",E121*B121/10000,E121*B121)),0)</f>
        <v>1593</v>
      </c>
      <c r="E121" s="1886">
        <f ca="1">ROUND(IF(B32="楼面单价",C34,IF(H19="元",D121/B121,D121*10000/B121)),0)</f>
        <v>89350</v>
      </c>
      <c r="F121" s="1886">
        <f ca="1">ROUND(IF(B32="总价",C35,IF('数据-取费表'!B3="万元",G121*B121/10000,G121*B121)),0)</f>
        <v>103</v>
      </c>
      <c r="G121" s="1886">
        <f ca="1">ROUND(IF(B32="楼面单价",C35,IF(H19="元",F121/B121,F121*10000/B121)),0)</f>
        <v>5804</v>
      </c>
      <c r="H121" s="1886">
        <f ca="1">ROUND(IF(B32="总价",C32,IF('数据-取费表'!B3="万元",I121*B121/10000,I121*B121)),0)</f>
        <v>1696</v>
      </c>
      <c r="I121" s="637">
        <f ca="1">ROUND(IF(B32="楼面单价",C32,IF(H19="元",H121/B121,H121*10000/B121)),0)</f>
        <v>95154</v>
      </c>
    </row>
    <row r="122" spans="1:15" ht="14.25">
      <c r="A122" s="2859" t="s">
        <v>1949</v>
      </c>
      <c r="B122" s="2855"/>
      <c r="C122" s="2855"/>
      <c r="D122" s="2891" t="str">
        <f ca="1">IF(H19="元",NUMBERSTRING(INT(D121),2)&amp;"元整",NUMBERSTRING(INT(D121*10000),2)&amp;"元整")</f>
        <v>壹仟伍佰玖拾叁万元整</v>
      </c>
      <c r="E122" s="2892"/>
      <c r="F122" s="2891" t="str">
        <f ca="1">IF(H19="元",NUMBERSTRING(INT(F121),2)&amp;"元整",NUMBERSTRING(INT(F121*10000),2)&amp;"元整")</f>
        <v>壹佰零叁万元整</v>
      </c>
      <c r="G122" s="2892"/>
      <c r="H122" s="2891" t="str">
        <f ca="1">IF(H19="元",NUMBERSTRING(INT(H121),2)&amp;"元整",NUMBERSTRING(INT(H121*10000),2)&amp;"元整")</f>
        <v>壹仟陆佰玖拾陆万元整</v>
      </c>
      <c r="I122" s="2956"/>
    </row>
    <row r="123" spans="1:15" ht="15">
      <c r="A123" s="2893" t="str">
        <f>IF(项目基本情况!D5="房地产市场价值","——",MID(A108,3,LEN(A108)-2))</f>
        <v>估价师所知悉的法定优先受偿款</v>
      </c>
      <c r="B123" s="2894"/>
      <c r="C123" s="2895"/>
      <c r="D123" s="2884">
        <f>I105</f>
        <v>0</v>
      </c>
      <c r="E123" s="2894"/>
      <c r="F123" s="2894"/>
      <c r="G123" s="2894"/>
      <c r="H123" s="2894"/>
      <c r="I123" s="2943"/>
    </row>
    <row r="124" spans="1:15" ht="14.25">
      <c r="A124" s="2896" t="s">
        <v>1949</v>
      </c>
      <c r="B124" s="2897"/>
      <c r="C124" s="2898"/>
      <c r="D124" s="2944">
        <f>H109</f>
        <v>0</v>
      </c>
      <c r="E124" s="2945"/>
      <c r="F124" s="2945"/>
      <c r="G124" s="2945"/>
      <c r="H124" s="2945"/>
      <c r="I124" s="2946"/>
    </row>
    <row r="125" spans="1:15" ht="15">
      <c r="A125" s="2882" t="str">
        <f>IF(项目基本情况!D5="房地产市场价值","——",MID(A112,3,LEN(A112)-2))</f>
        <v>房地产抵押价值</v>
      </c>
      <c r="B125" s="2883"/>
      <c r="C125" s="2883"/>
      <c r="D125" s="2884">
        <f ca="1">I110</f>
        <v>1696</v>
      </c>
      <c r="E125" s="2894"/>
      <c r="F125" s="2894"/>
      <c r="G125" s="2894"/>
      <c r="H125" s="2894"/>
      <c r="I125" s="2943"/>
    </row>
    <row r="126" spans="1:15" ht="14.25">
      <c r="A126" s="2859" t="s">
        <v>1949</v>
      </c>
      <c r="B126" s="2855"/>
      <c r="C126" s="2855"/>
      <c r="D126" s="2944">
        <f ca="1">I111</f>
        <v>95154</v>
      </c>
      <c r="E126" s="2945"/>
      <c r="F126" s="2945"/>
      <c r="G126" s="2945"/>
      <c r="H126" s="2945"/>
      <c r="I126" s="2946"/>
    </row>
    <row r="127" spans="1:15" ht="15.75" thickBot="1">
      <c r="A127" s="2882" t="str">
        <f>IF(项目基本情况!D5="房地产市场价值","——",MID(A114,3,LEN(A114)-2))</f>
        <v/>
      </c>
      <c r="B127" s="2883"/>
      <c r="C127" s="2883"/>
      <c r="D127" s="2839" t="str">
        <f>I112</f>
        <v>——</v>
      </c>
      <c r="E127" s="2840"/>
      <c r="F127" s="2840"/>
      <c r="G127" s="2840"/>
      <c r="H127" s="2840"/>
      <c r="I127" s="2841"/>
    </row>
    <row r="128" spans="1:15" ht="15.75" thickTop="1" thickBot="1">
      <c r="A128" s="2859" t="s">
        <v>1949</v>
      </c>
      <c r="B128" s="2855"/>
      <c r="C128" s="2939"/>
      <c r="D128" s="2885" t="str">
        <f>I113</f>
        <v>——</v>
      </c>
      <c r="E128" s="2885"/>
      <c r="F128" s="2885"/>
      <c r="G128" s="2885"/>
      <c r="H128" s="2885"/>
      <c r="I128" s="2885"/>
    </row>
    <row r="129" spans="1:9" ht="16.5" thickTop="1" thickBot="1">
      <c r="A129" s="2882" t="str">
        <f>IF(项目基本情况!D5="房地产市场价值","——",MID(F114,3,LEN(F114)-2))</f>
        <v/>
      </c>
      <c r="B129" s="2883"/>
      <c r="C129" s="2884"/>
      <c r="D129" s="2947" t="str">
        <f>I114</f>
        <v>——</v>
      </c>
      <c r="E129" s="2947"/>
      <c r="F129" s="2947"/>
      <c r="G129" s="2947"/>
      <c r="H129" s="2947"/>
      <c r="I129" s="2947"/>
    </row>
    <row r="130" spans="1:9" ht="15.75" thickTop="1" thickBot="1">
      <c r="A130" s="2952" t="s">
        <v>1949</v>
      </c>
      <c r="B130" s="2953"/>
      <c r="C130" s="2953"/>
      <c r="D130" s="2957">
        <f>H116</f>
        <v>0</v>
      </c>
      <c r="E130" s="2958"/>
      <c r="F130" s="2958"/>
      <c r="G130" s="2958"/>
      <c r="H130" s="2958"/>
      <c r="I130" s="2959"/>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297" t="s">
        <v>1950</v>
      </c>
      <c r="B133" s="2298"/>
      <c r="C133" s="2299" t="s">
        <v>1951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1952</v>
      </c>
      <c r="G139" s="2311"/>
      <c r="H139" s="2311"/>
      <c r="I139" s="2312" t="s">
        <v>1953</v>
      </c>
    </row>
    <row r="140" spans="1:9" ht="21.75" customHeight="1">
      <c r="A140" s="798"/>
      <c r="B140" s="2313" t="s">
        <v>1954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1955</v>
      </c>
    </row>
    <row r="143" spans="1:9" ht="21.75" customHeight="1">
      <c r="A143" s="798"/>
      <c r="B143" s="2313" t="s">
        <v>1956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4" sqref="C14:C1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1957</v>
      </c>
      <c r="B1" s="2192"/>
      <c r="C1" s="2192"/>
      <c r="D1" s="2192"/>
      <c r="E1" s="2192"/>
      <c r="F1" s="2192"/>
      <c r="G1" s="2192"/>
      <c r="H1" s="2192"/>
      <c r="I1" s="2192"/>
    </row>
    <row r="2" spans="1:12" ht="21.75" customHeight="1">
      <c r="A2" s="2961" t="s">
        <v>1958</v>
      </c>
      <c r="B2" s="2961"/>
      <c r="C2" s="2961"/>
      <c r="D2" s="2961"/>
      <c r="E2" s="2961"/>
      <c r="F2" s="2961"/>
      <c r="G2" s="2961"/>
      <c r="H2" s="2961"/>
      <c r="I2" s="2961"/>
    </row>
    <row r="3" spans="1:12" ht="12.75">
      <c r="A3" s="2915" t="s">
        <v>1762</v>
      </c>
      <c r="B3" s="2916"/>
      <c r="C3" s="2916"/>
      <c r="D3" s="2916"/>
      <c r="E3" s="2916"/>
      <c r="F3" s="2916"/>
      <c r="G3" s="2916"/>
      <c r="H3" s="2916"/>
      <c r="I3" s="2916"/>
    </row>
    <row r="4" spans="1:12" ht="14.25">
      <c r="A4" s="2194" t="s">
        <v>1763</v>
      </c>
      <c r="B4" s="2195" t="s">
        <v>1764</v>
      </c>
      <c r="C4" s="2196" t="s">
        <v>2832</v>
      </c>
      <c r="D4" s="2196"/>
      <c r="E4" s="2920" t="s">
        <v>1959</v>
      </c>
      <c r="F4" s="2921"/>
      <c r="G4" s="2921"/>
      <c r="H4" s="2921"/>
      <c r="I4" s="292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1766</v>
      </c>
      <c r="B5" s="2855">
        <v>25</v>
      </c>
      <c r="C5" s="2917"/>
      <c r="D5" s="2914"/>
      <c r="E5" s="56" t="s">
        <v>1767</v>
      </c>
      <c r="F5" s="2197"/>
      <c r="G5" s="2197"/>
      <c r="H5" s="2197"/>
      <c r="I5" s="2198"/>
    </row>
    <row r="6" spans="1:12" ht="12.75">
      <c r="A6" s="2910"/>
      <c r="B6" s="2855"/>
      <c r="C6" s="2918"/>
      <c r="D6" s="2914"/>
      <c r="E6" s="56" t="s">
        <v>1768</v>
      </c>
      <c r="F6" s="2197"/>
      <c r="G6" s="2197"/>
      <c r="H6" s="2197"/>
      <c r="I6" s="2198"/>
    </row>
    <row r="7" spans="1:12" ht="12.75">
      <c r="A7" s="2910"/>
      <c r="B7" s="2855"/>
      <c r="C7" s="2919"/>
      <c r="D7" s="2914"/>
      <c r="E7" s="56" t="s">
        <v>1769</v>
      </c>
      <c r="F7" s="2197"/>
      <c r="G7" s="2197"/>
      <c r="H7" s="2197"/>
      <c r="I7" s="2198"/>
    </row>
    <row r="8" spans="1:12" ht="12.75">
      <c r="A8" s="2910" t="s">
        <v>1770</v>
      </c>
      <c r="B8" s="2855">
        <v>15</v>
      </c>
      <c r="C8" s="2917"/>
      <c r="D8" s="2914"/>
      <c r="E8" s="56" t="s">
        <v>1771</v>
      </c>
      <c r="F8" s="2197"/>
      <c r="G8" s="2197"/>
      <c r="H8" s="2197"/>
      <c r="I8" s="2198"/>
    </row>
    <row r="9" spans="1:12" ht="12.75">
      <c r="A9" s="2910"/>
      <c r="B9" s="2855"/>
      <c r="C9" s="2919"/>
      <c r="D9" s="2914"/>
      <c r="E9" s="56" t="s">
        <v>1772</v>
      </c>
      <c r="F9" s="2197"/>
      <c r="G9" s="2197"/>
      <c r="H9" s="2197"/>
      <c r="I9" s="2198"/>
    </row>
    <row r="10" spans="1:12" ht="12.75">
      <c r="A10" s="2910" t="s">
        <v>1773</v>
      </c>
      <c r="B10" s="2855">
        <v>15</v>
      </c>
      <c r="C10" s="2917"/>
      <c r="D10" s="2914"/>
      <c r="E10" s="56" t="s">
        <v>1774</v>
      </c>
      <c r="F10" s="2197"/>
      <c r="G10" s="2197"/>
      <c r="H10" s="2197"/>
      <c r="I10" s="2198"/>
    </row>
    <row r="11" spans="1:12" ht="12.75">
      <c r="A11" s="2910"/>
      <c r="B11" s="2855"/>
      <c r="C11" s="2919"/>
      <c r="D11" s="2914"/>
      <c r="E11" s="56" t="s">
        <v>1775</v>
      </c>
      <c r="F11" s="2197"/>
      <c r="G11" s="2197"/>
      <c r="H11" s="2197"/>
      <c r="I11" s="2198"/>
    </row>
    <row r="12" spans="1:12" ht="12.75">
      <c r="A12" s="2910" t="s">
        <v>1776</v>
      </c>
      <c r="B12" s="2855">
        <v>15</v>
      </c>
      <c r="C12" s="2917"/>
      <c r="D12" s="2914"/>
      <c r="E12" s="56" t="s">
        <v>1777</v>
      </c>
      <c r="F12" s="2197"/>
      <c r="G12" s="2197"/>
      <c r="H12" s="2197"/>
      <c r="I12" s="2198"/>
    </row>
    <row r="13" spans="1:12" ht="12.75">
      <c r="A13" s="2910"/>
      <c r="B13" s="2855"/>
      <c r="C13" s="2919"/>
      <c r="D13" s="2914"/>
      <c r="E13" s="56" t="s">
        <v>1778</v>
      </c>
      <c r="F13" s="2197"/>
      <c r="G13" s="2197"/>
      <c r="H13" s="2197"/>
      <c r="I13" s="2198"/>
    </row>
    <row r="14" spans="1:12" ht="12.75">
      <c r="A14" s="2910" t="s">
        <v>1779</v>
      </c>
      <c r="B14" s="2855">
        <v>30</v>
      </c>
      <c r="C14" s="2917">
        <v>1</v>
      </c>
      <c r="D14" s="2914"/>
      <c r="E14" s="56" t="s">
        <v>1780</v>
      </c>
      <c r="F14" s="2197"/>
      <c r="G14" s="2197"/>
      <c r="H14" s="2197"/>
      <c r="I14" s="2198"/>
    </row>
    <row r="15" spans="1:12" ht="12.75">
      <c r="A15" s="2910"/>
      <c r="B15" s="2855"/>
      <c r="C15" s="2918"/>
      <c r="D15" s="2914"/>
      <c r="E15" s="56" t="s">
        <v>1781</v>
      </c>
      <c r="F15" s="2197"/>
      <c r="G15" s="2197"/>
      <c r="H15" s="2197"/>
      <c r="I15" s="2198"/>
    </row>
    <row r="16" spans="1:12" ht="12.75">
      <c r="A16" s="2910"/>
      <c r="B16" s="2855"/>
      <c r="C16" s="2919"/>
      <c r="D16" s="2914"/>
      <c r="E16" s="56" t="s">
        <v>1782</v>
      </c>
      <c r="F16" s="2197"/>
      <c r="G16" s="2197"/>
      <c r="H16" s="2197"/>
      <c r="I16" s="2198"/>
    </row>
    <row r="17" spans="1:35" ht="15">
      <c r="A17" s="2199" t="s">
        <v>1783</v>
      </c>
      <c r="B17" s="2200"/>
      <c r="C17" s="57">
        <f>SUM(C5:C16)</f>
        <v>1</v>
      </c>
      <c r="D17" s="57">
        <f>SUM(D5:D16)</f>
        <v>0</v>
      </c>
      <c r="E17" s="2192"/>
      <c r="F17" s="2192"/>
      <c r="G17" s="2192"/>
      <c r="H17" s="2192"/>
      <c r="I17" s="2192"/>
    </row>
    <row r="18" spans="1:35" ht="15.75" thickBot="1">
      <c r="A18" s="2201" t="s">
        <v>1784</v>
      </c>
      <c r="B18" s="2202"/>
      <c r="C18" s="58">
        <f>ROUND(C17/SUM(C17:D17),2)</f>
        <v>1</v>
      </c>
      <c r="D18" s="58">
        <f>1-C18</f>
        <v>0</v>
      </c>
      <c r="E18" s="2192"/>
      <c r="F18" s="2192"/>
      <c r="G18" s="2192"/>
      <c r="H18" s="2192"/>
      <c r="I18" s="2192"/>
    </row>
    <row r="19" spans="1:35" ht="15">
      <c r="A19" s="2203" t="s">
        <v>1785</v>
      </c>
      <c r="B19" s="2204" t="s">
        <v>1786</v>
      </c>
      <c r="C19" s="59">
        <f ca="1">SUMIF(INDIRECT("'"&amp;C4&amp;"'"&amp;"!A:A"),'结果表 (1修多)'!B19,INDIRECT("'"&amp;C4&amp;"'"&amp;"!B:B"))</f>
        <v>5344</v>
      </c>
      <c r="D19" s="60" t="e">
        <f ca="1">SUMIF(INDIRECT("'"&amp;D4&amp;"'"&amp;"!A:A"),'结果表 (1修多)'!B19,INDIRECT("'"&amp;D4&amp;"'"&amp;"!B:B"))</f>
        <v>#REF!</v>
      </c>
      <c r="E19" s="2203" t="s">
        <v>1787</v>
      </c>
      <c r="F19" s="2204" t="s">
        <v>1786</v>
      </c>
      <c r="G19" s="61" t="e">
        <f ca="1">ROUND(C19*$C$18+D19*$D$18,0)</f>
        <v>#REF!</v>
      </c>
      <c r="H19" s="2205" t="str">
        <f>'数据-取费表'!B3</f>
        <v>万元</v>
      </c>
      <c r="I19" s="2192"/>
    </row>
    <row r="20" spans="1:35" ht="15">
      <c r="A20" s="2206"/>
      <c r="B20" s="2207" t="s">
        <v>1788</v>
      </c>
      <c r="C20" s="62">
        <f ca="1">SUMIF(INDIRECT("'"&amp;C4&amp;"'"&amp;"!A:A"),'结果表 (1修多)'!B20,INDIRECT("'"&amp;C4&amp;"'"&amp;"!B:B"))</f>
        <v>97144</v>
      </c>
      <c r="D20" s="63" t="e">
        <f ca="1">SUMIF(INDIRECT("'"&amp;D4&amp;"'"&amp;"!A:A"),'结果表 (1修多)'!B20,INDIRECT("'"&amp;D4&amp;"'"&amp;"!B:B"))</f>
        <v>#REF!</v>
      </c>
      <c r="E20" s="2206"/>
      <c r="F20" s="2207" t="s">
        <v>1788</v>
      </c>
      <c r="G20" s="64" t="e">
        <f ca="1">ROUND(C20*$C$18+D20*$D$18,0)</f>
        <v>#REF!</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1791</v>
      </c>
      <c r="B24" s="2204" t="s">
        <v>1786</v>
      </c>
      <c r="C24" s="61">
        <f>D30</f>
        <v>0</v>
      </c>
      <c r="D24" s="993"/>
      <c r="E24" s="2192"/>
      <c r="F24" s="2192"/>
      <c r="G24" s="2192"/>
      <c r="H24" s="2192"/>
      <c r="I24" s="2192"/>
    </row>
    <row r="25" spans="1:35" ht="21.75" customHeight="1">
      <c r="A25" s="2924"/>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t="s">
        <v>1960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5" thickBot="1">
      <c r="A30" s="2713" t="s">
        <v>1961</v>
      </c>
      <c r="B30" s="2714"/>
      <c r="C30" s="2714"/>
      <c r="D30" s="2714"/>
      <c r="E30" s="2712" t="s">
        <v>2797</v>
      </c>
      <c r="F30" s="2192"/>
      <c r="G30" s="2192"/>
      <c r="H30" s="2192"/>
      <c r="I30" s="2192"/>
    </row>
    <row r="31" spans="1:35" s="2219" customFormat="1" ht="15.75" thickBot="1">
      <c r="A31" s="2971" t="s">
        <v>1962</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1963</v>
      </c>
      <c r="C32" s="1307">
        <f ca="1">典型户型修正!R27</f>
        <v>95154</v>
      </c>
      <c r="D32" s="2192" t="s">
        <v>1964</v>
      </c>
      <c r="E32" s="2192"/>
      <c r="F32" s="2192"/>
      <c r="G32" s="2192"/>
      <c r="H32" s="2192"/>
      <c r="I32" s="2192"/>
    </row>
    <row r="33" spans="1:16" ht="15">
      <c r="A33" s="2319" t="s">
        <v>1965</v>
      </c>
      <c r="B33" s="2320" t="s">
        <v>1966</v>
      </c>
      <c r="C33" s="1308">
        <f ca="1">典型户型修正!B2</f>
        <v>5344</v>
      </c>
      <c r="D33" s="2321" t="str">
        <f>IF('数据-取费表'!B3="万元","万元","元")</f>
        <v>万元</v>
      </c>
      <c r="E33" s="2192"/>
      <c r="F33" s="2192"/>
      <c r="G33" s="2192"/>
      <c r="H33" s="2192"/>
      <c r="I33" s="2192"/>
    </row>
    <row r="34" spans="1:16" ht="15.75" thickBot="1">
      <c r="A34" s="2322"/>
      <c r="B34" s="2323" t="s">
        <v>1967</v>
      </c>
      <c r="C34" s="771">
        <f ca="1">典型户型修正!B3</f>
        <v>97144</v>
      </c>
      <c r="D34" s="2192" t="s">
        <v>1968</v>
      </c>
      <c r="E34" s="2192"/>
      <c r="F34" s="2192"/>
      <c r="G34" s="2192"/>
      <c r="H34" s="2192"/>
      <c r="I34" s="2192"/>
    </row>
    <row r="35" spans="1:16" ht="15">
      <c r="A35" s="2324"/>
      <c r="B35" s="2325" t="s">
        <v>1969</v>
      </c>
      <c r="C35" s="1315">
        <f>IF('数据-取费表'!B3="万元",典型户型修正!V25,典型户型修正!U25)</f>
        <v>0</v>
      </c>
      <c r="D35" s="2192" t="str">
        <f>D33</f>
        <v>万元</v>
      </c>
      <c r="E35" s="2192"/>
      <c r="F35" s="2192"/>
      <c r="G35" s="2192"/>
      <c r="H35" s="2192"/>
      <c r="I35" s="2192"/>
    </row>
    <row r="36" spans="1:16" ht="15.75" thickBot="1">
      <c r="A36" s="2231"/>
      <c r="B36" s="2326" t="s">
        <v>1970</v>
      </c>
      <c r="C36" s="1316">
        <f>IF('数据-取费表'!B3="万元",典型户型修正!Y25,典型户型修正!X25)</f>
        <v>0</v>
      </c>
      <c r="D36" s="2192" t="str">
        <f>D33</f>
        <v>万元</v>
      </c>
      <c r="E36" s="2192"/>
      <c r="F36" s="2192"/>
      <c r="G36" s="2192"/>
      <c r="H36" s="2192"/>
      <c r="I36" s="2192"/>
    </row>
    <row r="37" spans="1:16" ht="15.75" thickBot="1">
      <c r="A37" s="2928" t="s">
        <v>1971</v>
      </c>
      <c r="B37" s="2234" t="s">
        <v>1972</v>
      </c>
      <c r="C37" s="69"/>
      <c r="D37" s="2235"/>
      <c r="E37" s="2236"/>
      <c r="F37" s="2236"/>
      <c r="G37" s="2192"/>
      <c r="H37" s="2192"/>
      <c r="I37" s="2192"/>
    </row>
    <row r="38" spans="1:16" ht="15.75" thickBot="1">
      <c r="A38" s="2929"/>
      <c r="B38" s="2237" t="s">
        <v>1973</v>
      </c>
      <c r="C38" s="71"/>
      <c r="D38" s="2202"/>
      <c r="E38" s="2202"/>
      <c r="F38" s="2236"/>
      <c r="G38" s="2202"/>
      <c r="H38" s="2202"/>
      <c r="I38" s="2202"/>
    </row>
    <row r="39" spans="1:16" ht="15.75" thickBot="1">
      <c r="A39" s="2930"/>
      <c r="B39" s="2238" t="s">
        <v>1974</v>
      </c>
      <c r="C39" s="712"/>
      <c r="D39" s="2239" t="s">
        <v>1975</v>
      </c>
      <c r="E39" s="2202"/>
      <c r="F39" s="2236"/>
      <c r="G39" s="2202"/>
      <c r="H39" s="2202"/>
      <c r="I39" s="2202"/>
    </row>
    <row r="40" spans="1:16" ht="15">
      <c r="A40" s="2206" t="s">
        <v>1976</v>
      </c>
      <c r="B40" s="2240" t="s">
        <v>1977</v>
      </c>
      <c r="C40" s="2241" t="s">
        <v>1978</v>
      </c>
      <c r="D40" s="2241" t="s">
        <v>1979</v>
      </c>
      <c r="E40" s="2242" t="s">
        <v>1980</v>
      </c>
      <c r="F40" s="2236"/>
      <c r="G40" s="2202"/>
      <c r="H40" s="2202"/>
      <c r="I40" s="2202"/>
    </row>
    <row r="41" spans="1:16" ht="14.25">
      <c r="A41" s="2243" t="s">
        <v>1981</v>
      </c>
      <c r="B41" s="74"/>
      <c r="C41" s="75"/>
      <c r="D41" s="75"/>
      <c r="E41" s="76"/>
      <c r="F41" s="2236"/>
      <c r="G41" s="2202"/>
      <c r="H41" s="2202"/>
      <c r="I41" s="2202"/>
    </row>
    <row r="42" spans="1:16" ht="14.25">
      <c r="A42" s="2243" t="s">
        <v>1982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1983</v>
      </c>
      <c r="B45" s="2249"/>
      <c r="C45" s="2249"/>
      <c r="D45" s="2250"/>
      <c r="E45" s="2250"/>
      <c r="F45" s="2251"/>
      <c r="G45" s="2251"/>
      <c r="H45" s="2251"/>
      <c r="I45" s="2251"/>
      <c r="J45" s="2252" t="s">
        <v>1814</v>
      </c>
      <c r="K45" s="2253"/>
      <c r="L45" s="2253"/>
      <c r="M45" s="2253"/>
      <c r="N45" s="2253"/>
      <c r="O45" s="2253"/>
      <c r="P45" s="1844"/>
    </row>
    <row r="46" spans="1:16" ht="14.25" customHeight="1" thickBot="1">
      <c r="A46" s="2933" t="s">
        <v>1984</v>
      </c>
      <c r="B46" s="2934"/>
      <c r="C46" s="2935"/>
      <c r="D46" s="80">
        <f ca="1">ROUND(I103*F46,0)</f>
        <v>5344</v>
      </c>
      <c r="E46" s="81" t="s">
        <v>1985</v>
      </c>
      <c r="F46" s="82">
        <v>1</v>
      </c>
      <c r="G46" s="83" t="s">
        <v>1986</v>
      </c>
      <c r="H46" s="2192"/>
      <c r="I46" s="2192"/>
      <c r="J46" s="2845" t="s">
        <v>1818</v>
      </c>
      <c r="K46" s="2845"/>
      <c r="L46" s="2845"/>
      <c r="M46" s="2845"/>
      <c r="N46" s="2845"/>
      <c r="O46" s="2845"/>
      <c r="P46" s="1844"/>
    </row>
    <row r="47" spans="1:16" ht="14.25" customHeight="1">
      <c r="A47" s="2925" t="s">
        <v>1819</v>
      </c>
      <c r="B47" s="2926"/>
      <c r="C47" s="2926"/>
      <c r="D47" s="2926"/>
      <c r="E47" s="2926"/>
      <c r="F47" s="2926"/>
      <c r="G47" s="2927"/>
      <c r="H47" s="2254"/>
      <c r="I47" s="1143"/>
      <c r="J47" s="1882">
        <v>1</v>
      </c>
      <c r="K47" s="2845" t="s">
        <v>1820</v>
      </c>
      <c r="L47" s="2845"/>
      <c r="M47" s="2960"/>
      <c r="N47" s="2960"/>
      <c r="O47" s="2960"/>
      <c r="P47" s="1844"/>
    </row>
    <row r="48" spans="1:16" ht="12" customHeight="1">
      <c r="A48" s="85" t="s">
        <v>1821</v>
      </c>
      <c r="B48" s="86"/>
      <c r="C48" s="87"/>
      <c r="D48" s="88" t="s">
        <v>1822</v>
      </c>
      <c r="E48" s="14" t="s">
        <v>1823</v>
      </c>
      <c r="F48" s="89" t="s">
        <v>1824</v>
      </c>
      <c r="G48" s="90" t="s">
        <v>1825</v>
      </c>
      <c r="H48" s="2254"/>
      <c r="I48" s="1143"/>
      <c r="J48" s="1882">
        <v>2</v>
      </c>
      <c r="K48" s="2845" t="s">
        <v>1826</v>
      </c>
      <c r="L48" s="2845"/>
      <c r="M48" s="2847">
        <f>'数据-取费表'!B2</f>
        <v>43256</v>
      </c>
      <c r="N48" s="2847"/>
      <c r="O48" s="2847"/>
      <c r="P48" s="1844"/>
    </row>
    <row r="49" spans="1:16" ht="25.5">
      <c r="A49" s="2931" t="s">
        <v>1827</v>
      </c>
      <c r="B49" s="2932"/>
      <c r="C49" s="2932"/>
      <c r="D49" s="56">
        <f ca="1">IF(H49="情况1",0,IF(H49="情况2",D53,IF(H49="情况3",D54,IF(H49="情况4",D55))))</f>
        <v>285</v>
      </c>
      <c r="E49" s="1892" t="str">
        <f>IF(H49="情况4","(销售额-原购置价)×税（费）率","销售额×税（费）率")</f>
        <v>销售额×税（费）率</v>
      </c>
      <c r="F49" s="91">
        <f>IF(H49="情况1","免征",'数据-取费表'!E29)</f>
        <v>5.6000000000000001E-2</v>
      </c>
      <c r="G49" s="2255" t="s">
        <v>1828</v>
      </c>
      <c r="H49" s="2256" t="s">
        <v>1829</v>
      </c>
      <c r="I49" s="2254"/>
      <c r="J49" s="1882">
        <v>3</v>
      </c>
      <c r="K49" s="2845" t="s">
        <v>1830</v>
      </c>
      <c r="L49" s="2845"/>
      <c r="M49" s="2846">
        <f ca="1">I103</f>
        <v>5344</v>
      </c>
      <c r="N49" s="2846"/>
      <c r="O49" s="2846"/>
      <c r="P49" s="1844"/>
    </row>
    <row r="50" spans="1:16" ht="25.5" customHeight="1">
      <c r="A50" s="92" t="s">
        <v>1831</v>
      </c>
      <c r="B50" s="2912" t="s">
        <v>1832</v>
      </c>
      <c r="C50" s="2912"/>
      <c r="D50" s="93">
        <v>0</v>
      </c>
      <c r="E50" s="13" t="s">
        <v>1833</v>
      </c>
      <c r="F50" s="18" t="s">
        <v>48</v>
      </c>
      <c r="G50" s="2836"/>
      <c r="H50" s="2192"/>
      <c r="I50" s="2257"/>
      <c r="J50" s="1882">
        <v>4</v>
      </c>
      <c r="K50" s="2845" t="str">
        <f>IF(项目基本情况!F5="房地产抵押价值","房地产抵押价值","抵押担保权已注销时的房地产抵押价值")</f>
        <v>抵押担保权已注销时的房地产抵押价值</v>
      </c>
      <c r="L50" s="2845"/>
      <c r="M50" s="2846" t="str">
        <f>IF(项目基本情况!F5="房地产抵押价值",I111,I113)</f>
        <v>——</v>
      </c>
      <c r="N50" s="2846"/>
      <c r="O50" s="2846"/>
      <c r="P50" s="1844"/>
    </row>
    <row r="51" spans="1:16" ht="25.5" customHeight="1">
      <c r="A51" s="94"/>
      <c r="B51" s="2912" t="s">
        <v>1834</v>
      </c>
      <c r="C51" s="2912"/>
      <c r="D51" s="95"/>
      <c r="E51" s="21"/>
      <c r="F51" s="96"/>
      <c r="G51" s="2837"/>
      <c r="H51" s="2192"/>
      <c r="I51" s="2257"/>
      <c r="J51" s="2845" t="s">
        <v>1835</v>
      </c>
      <c r="K51" s="2845"/>
      <c r="L51" s="2845"/>
      <c r="M51" s="2845"/>
      <c r="N51" s="2845"/>
      <c r="O51" s="2845"/>
      <c r="P51" s="1844"/>
    </row>
    <row r="52" spans="1:16" ht="12" customHeight="1">
      <c r="A52" s="97"/>
      <c r="B52" s="2912" t="s">
        <v>1836</v>
      </c>
      <c r="C52" s="2912"/>
      <c r="D52" s="98"/>
      <c r="E52" s="20"/>
      <c r="F52" s="96"/>
      <c r="G52" s="2838"/>
      <c r="H52" s="2192"/>
      <c r="I52" s="2257"/>
      <c r="J52" s="2258" t="s">
        <v>1837</v>
      </c>
      <c r="K52" s="2845" t="s">
        <v>1838</v>
      </c>
      <c r="L52" s="2845"/>
      <c r="M52" s="2258" t="s">
        <v>1839</v>
      </c>
      <c r="N52" s="2258" t="s">
        <v>1840</v>
      </c>
      <c r="O52" s="2258" t="s">
        <v>1841</v>
      </c>
      <c r="P52" s="1844"/>
    </row>
    <row r="53" spans="1:16" ht="24" customHeight="1">
      <c r="A53" s="99" t="s">
        <v>1842</v>
      </c>
      <c r="B53" s="2912" t="s">
        <v>1843</v>
      </c>
      <c r="C53" s="2912"/>
      <c r="D53" s="98">
        <f ca="1">ROUND(D46*'数据-取费表'!E29/(1+'数据-取费表'!F30),0)</f>
        <v>285</v>
      </c>
      <c r="E53" s="10" t="s">
        <v>1844</v>
      </c>
      <c r="F53" s="100">
        <f>'数据-取费表'!E29</f>
        <v>5.6000000000000001E-2</v>
      </c>
      <c r="G53" s="2259"/>
      <c r="H53" s="2192"/>
      <c r="I53" s="2257"/>
      <c r="J53" s="1882">
        <v>1</v>
      </c>
      <c r="K53" s="2835" t="s">
        <v>1845</v>
      </c>
      <c r="L53" s="2835"/>
      <c r="M53" s="778">
        <f ca="1">D49</f>
        <v>285</v>
      </c>
      <c r="N53" s="1882" t="str">
        <f>E49</f>
        <v>销售额×税（费）率</v>
      </c>
      <c r="O53" s="779">
        <f>F49</f>
        <v>5.6000000000000001E-2</v>
      </c>
      <c r="P53" s="1844"/>
    </row>
    <row r="54" spans="1:16" ht="12" customHeight="1">
      <c r="A54" s="99" t="s">
        <v>1846</v>
      </c>
      <c r="B54" s="2911" t="s">
        <v>1847</v>
      </c>
      <c r="C54" s="2805"/>
      <c r="D54" s="98">
        <f ca="1">ROUND(D46*'数据-取费表'!E29/(1+'数据-取费表'!F30),0)</f>
        <v>285</v>
      </c>
      <c r="E54" s="10" t="s">
        <v>1844</v>
      </c>
      <c r="F54" s="100">
        <f>'数据-取费表'!E29</f>
        <v>5.6000000000000001E-2</v>
      </c>
      <c r="G54" s="2259"/>
      <c r="H54" s="2192"/>
      <c r="I54" s="2257"/>
      <c r="J54" s="1882">
        <v>2</v>
      </c>
      <c r="K54" s="2835" t="s">
        <v>1848</v>
      </c>
      <c r="L54" s="2835"/>
      <c r="M54" s="778">
        <f t="shared" ref="M54:O55" ca="1" si="0">D56</f>
        <v>3</v>
      </c>
      <c r="N54" s="1882" t="str">
        <f t="shared" si="0"/>
        <v>销售额×税（费）率</v>
      </c>
      <c r="O54" s="779">
        <f t="shared" si="0"/>
        <v>5.0000000000000001E-4</v>
      </c>
      <c r="P54" s="1844"/>
    </row>
    <row r="55" spans="1:16" ht="12" customHeight="1">
      <c r="A55" s="99" t="s">
        <v>1849</v>
      </c>
      <c r="B55" s="2911" t="s">
        <v>1850</v>
      </c>
      <c r="C55" s="2805"/>
      <c r="D55" s="98">
        <f ca="1">C69</f>
        <v>285</v>
      </c>
      <c r="E55" s="20" t="s">
        <v>1851</v>
      </c>
      <c r="F55" s="100">
        <f>'数据-取费表'!E29</f>
        <v>5.6000000000000001E-2</v>
      </c>
      <c r="G55" s="2259"/>
      <c r="H55" s="2260"/>
      <c r="I55" s="2257"/>
      <c r="J55" s="1882">
        <v>3</v>
      </c>
      <c r="K55" s="2835" t="s">
        <v>1852</v>
      </c>
      <c r="L55" s="2835"/>
      <c r="M55" s="778">
        <f t="shared" ca="1" si="0"/>
        <v>3025</v>
      </c>
      <c r="N55" s="1882" t="str">
        <f t="shared" si="0"/>
        <v>增值额×税（费）率</v>
      </c>
      <c r="O55" s="780" t="str">
        <f t="shared" si="0"/>
        <v>——</v>
      </c>
      <c r="P55" s="1844"/>
    </row>
    <row r="56" spans="1:16" ht="24" customHeight="1">
      <c r="A56" s="2797" t="s">
        <v>1853</v>
      </c>
      <c r="B56" s="2932"/>
      <c r="C56" s="2932"/>
      <c r="D56" s="101">
        <f ca="1">IF(H56="个人住宅",0,ROUND(D46*I56,0))</f>
        <v>3</v>
      </c>
      <c r="E56" s="10" t="s">
        <v>1854</v>
      </c>
      <c r="F56" s="100">
        <f>IF(H56="正常",I56,"免征")</f>
        <v>5.0000000000000001E-4</v>
      </c>
      <c r="G56" s="2259"/>
      <c r="H56" s="2256" t="s">
        <v>1855</v>
      </c>
      <c r="I56" s="102">
        <f>'数据-取费表'!E37</f>
        <v>5.0000000000000001E-4</v>
      </c>
      <c r="J56" s="1882" t="str">
        <f>IF(H60="非个人房产","",4)</f>
        <v/>
      </c>
      <c r="K56" s="2835" t="str">
        <f>IF(H60="非个人房产","——","个人所得税")</f>
        <v>——</v>
      </c>
      <c r="L56" s="2835"/>
      <c r="M56" s="781" t="str">
        <f>D60</f>
        <v>——</v>
      </c>
      <c r="N56" s="1885" t="str">
        <f>E60</f>
        <v>——</v>
      </c>
      <c r="O56" s="782" t="str">
        <f>F60</f>
        <v>——</v>
      </c>
      <c r="P56" s="1844"/>
    </row>
    <row r="57" spans="1:16" ht="24.75">
      <c r="A57" s="2797" t="s">
        <v>1856</v>
      </c>
      <c r="B57" s="2932"/>
      <c r="C57" s="2932"/>
      <c r="D57" s="101">
        <f ca="1">IF(H57="个人住宅",D58,D59)</f>
        <v>3025</v>
      </c>
      <c r="E57" s="10" t="s">
        <v>1857</v>
      </c>
      <c r="F57" s="100" t="str">
        <f>IF(H57="正常",F59,"免征")</f>
        <v>——</v>
      </c>
      <c r="G57" s="2261" t="s">
        <v>1858</v>
      </c>
      <c r="H57" s="2262" t="s">
        <v>1855</v>
      </c>
      <c r="I57" s="1021"/>
      <c r="J57" s="1882"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4"/>
    </row>
    <row r="58" spans="1:16" ht="12.75">
      <c r="A58" s="99" t="s">
        <v>1831</v>
      </c>
      <c r="B58" s="2920" t="s">
        <v>1859</v>
      </c>
      <c r="C58" s="2922"/>
      <c r="D58" s="103">
        <v>0</v>
      </c>
      <c r="E58" s="13" t="s">
        <v>1833</v>
      </c>
      <c r="F58" s="70"/>
      <c r="G58" s="2259"/>
      <c r="H58" s="1021"/>
      <c r="I58" s="1021"/>
      <c r="J58" s="2835">
        <f>IF(AND(J56="",J57=""),4,IF(项目基本情况!I6="上海银行",J57+1,J56+1))</f>
        <v>4</v>
      </c>
      <c r="K58" s="2835" t="s">
        <v>1860</v>
      </c>
      <c r="L58" s="2263" t="s">
        <v>1861</v>
      </c>
      <c r="M58" s="783"/>
      <c r="N58" s="784">
        <f ca="1">SUMIF(M53:M57,"&lt;9e307")</f>
        <v>3313</v>
      </c>
      <c r="O58" s="2264"/>
      <c r="P58" s="1840" t="e">
        <f ca="1">N58/M50</f>
        <v>#VALUE!</v>
      </c>
    </row>
    <row r="59" spans="1:16" ht="24.75">
      <c r="A59" s="99" t="s">
        <v>1842</v>
      </c>
      <c r="B59" s="2920" t="s">
        <v>1862</v>
      </c>
      <c r="C59" s="2921"/>
      <c r="D59" s="101">
        <f ca="1">IF(H59="转让取得",C82,C98)</f>
        <v>3025</v>
      </c>
      <c r="E59" s="10" t="s">
        <v>1857</v>
      </c>
      <c r="F59" s="14" t="s">
        <v>48</v>
      </c>
      <c r="G59" s="2259"/>
      <c r="H59" s="2262" t="s">
        <v>1863</v>
      </c>
      <c r="I59" s="1021"/>
      <c r="J59" s="2835"/>
      <c r="K59" s="2835"/>
      <c r="L59" s="2263" t="s">
        <v>1864</v>
      </c>
      <c r="M59" s="785"/>
      <c r="N59" s="2265" t="str">
        <f ca="1">IF(H19="元",NUMBERSTRING(INT(N58),2)&amp;"元整",NUMBERSTRING(INT(N58*10000),2)&amp;"元整")</f>
        <v>叁仟叁佰壹拾叁万元整</v>
      </c>
      <c r="O59" s="2266"/>
      <c r="P59" s="1844"/>
    </row>
    <row r="60" spans="1:16" ht="24.75" thickBot="1">
      <c r="A60" s="2798" t="s">
        <v>1865</v>
      </c>
      <c r="B60" s="2801"/>
      <c r="C60" s="2801"/>
      <c r="D60" s="104" t="str">
        <f>IF(H60="非个人房产","——",IF(H60="个人住宅",0,ROUND(D46*I60,0)))</f>
        <v>——</v>
      </c>
      <c r="E60" s="105" t="str">
        <f>IF(H60="非个人房产","——","销售额×税（费）率")</f>
        <v>——</v>
      </c>
      <c r="F60" s="106" t="str">
        <f>IF(H60="非个人房产","——",IF(H60="个人住宅","免征",I60))</f>
        <v>——</v>
      </c>
      <c r="G60" s="2267" t="s">
        <v>1858</v>
      </c>
      <c r="H60" s="2262" t="s">
        <v>1987</v>
      </c>
      <c r="I60" s="107">
        <v>0.01</v>
      </c>
      <c r="J60" s="2889">
        <f>J58+1</f>
        <v>5</v>
      </c>
      <c r="K60" s="2835" t="s">
        <v>1867</v>
      </c>
      <c r="L60" s="1882" t="s">
        <v>1861</v>
      </c>
      <c r="M60" s="786"/>
      <c r="N60" s="787" t="e">
        <f ca="1">M50-N58</f>
        <v>#VALUE!</v>
      </c>
      <c r="O60" s="2268"/>
      <c r="P60" s="1844"/>
    </row>
    <row r="61" spans="1:16" ht="12" customHeight="1">
      <c r="A61" s="2065"/>
      <c r="B61" s="2192"/>
      <c r="C61" s="2192"/>
      <c r="D61" s="2192"/>
      <c r="E61" s="1021"/>
      <c r="F61" s="1021"/>
      <c r="G61" s="1021"/>
      <c r="H61" s="2245"/>
      <c r="I61" s="2192"/>
      <c r="J61" s="2890"/>
      <c r="K61" s="2835"/>
      <c r="L61" s="2263" t="s">
        <v>1864</v>
      </c>
      <c r="M61" s="785"/>
      <c r="N61" s="2265" t="e">
        <f ca="1">IF(H19="元",NUMBERSTRING(INT(N60),2)&amp;"元整",NUMBERSTRING(INT(N60*10000),2)&amp;"元整")</f>
        <v>#VALUE!</v>
      </c>
      <c r="O61" s="2266"/>
      <c r="P61" s="1844"/>
    </row>
    <row r="62" spans="1:16" ht="13.5" thickBot="1">
      <c r="A62" s="2936" t="s">
        <v>1868</v>
      </c>
      <c r="B62" s="2936"/>
      <c r="C62" s="2936"/>
      <c r="D62" s="2936"/>
      <c r="E62" s="2936"/>
      <c r="F62" s="1021"/>
      <c r="G62" s="1021"/>
      <c r="H62" s="2245"/>
      <c r="I62" s="2192"/>
      <c r="J62" s="1882">
        <f>J60+1</f>
        <v>6</v>
      </c>
      <c r="K62" s="2835" t="s">
        <v>1869</v>
      </c>
      <c r="L62" s="2835"/>
      <c r="M62" s="788"/>
      <c r="N62" s="789" t="e">
        <f ca="1">IF(H19="元",ROUND(N60/项目基本情况!C12,0),ROUND(N60*10000/项目基本情况!C12,0))</f>
        <v>#VALUE!</v>
      </c>
      <c r="O62" s="2269"/>
      <c r="P62" s="1844"/>
    </row>
    <row r="63" spans="1:16" ht="12.75">
      <c r="A63" s="2873" t="s">
        <v>1870</v>
      </c>
      <c r="B63" s="2874"/>
      <c r="C63" s="1884"/>
      <c r="D63" s="1884" t="s">
        <v>1871</v>
      </c>
      <c r="E63" s="108" t="s">
        <v>1872</v>
      </c>
      <c r="F63" s="1021"/>
      <c r="G63" s="1021"/>
      <c r="H63" s="2245"/>
      <c r="I63" s="2192"/>
      <c r="J63" s="1844"/>
      <c r="K63" s="1844"/>
      <c r="L63" s="1844"/>
      <c r="M63" s="1844"/>
      <c r="N63" s="1844"/>
      <c r="O63" s="1844"/>
      <c r="P63" s="1844"/>
    </row>
    <row r="64" spans="1:16" ht="12.75">
      <c r="A64" s="109">
        <v>1</v>
      </c>
      <c r="B64" s="110" t="s">
        <v>1873</v>
      </c>
      <c r="C64" s="111">
        <f ca="1">ROUND((C65+C66)/(1+'数据-取费表'!F30),0)</f>
        <v>5090</v>
      </c>
      <c r="D64" s="112"/>
      <c r="E64" s="113"/>
      <c r="F64" s="1021"/>
      <c r="G64" s="1021"/>
      <c r="H64" s="2245"/>
      <c r="I64" s="2192"/>
      <c r="J64" s="2854" t="s">
        <v>1874</v>
      </c>
      <c r="K64" s="2270" t="s">
        <v>1875</v>
      </c>
      <c r="L64" s="1843" t="e">
        <f>IF(M50&gt;10000,M50*0.5%,IF(AND(M50&gt;1000,M50&lt;=10000),M50*1%,IF(AND(M50&gt;100,M50&lt;=1000),M50*3%,IF(AND(M50&gt;10,M50&lt;=100),M50*5%,M50*8%))))</f>
        <v>#VALUE!</v>
      </c>
      <c r="M64" s="14" t="e">
        <f>ROUND(L64,1)</f>
        <v>#VALUE!</v>
      </c>
      <c r="N64" s="1844"/>
      <c r="O64" s="1844"/>
      <c r="P64" s="1844"/>
    </row>
    <row r="65" spans="1:35" ht="12.75">
      <c r="A65" s="114" t="s">
        <v>71</v>
      </c>
      <c r="B65" s="115" t="s">
        <v>1876</v>
      </c>
      <c r="C65" s="116">
        <f ca="1">D46</f>
        <v>5344</v>
      </c>
      <c r="D65" s="117" t="s">
        <v>41</v>
      </c>
      <c r="E65" s="118"/>
      <c r="F65" s="1021"/>
      <c r="G65" s="1021"/>
      <c r="H65" s="2245"/>
      <c r="I65" s="2192"/>
      <c r="J65" s="2854"/>
      <c r="K65" s="2270" t="s">
        <v>1877</v>
      </c>
      <c r="L65" s="1843"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4" t="s">
        <v>1878</v>
      </c>
      <c r="O65" s="1844"/>
      <c r="P65" s="1844"/>
    </row>
    <row r="66" spans="1:35" ht="12.75">
      <c r="A66" s="114" t="s">
        <v>72</v>
      </c>
      <c r="B66" s="115" t="s">
        <v>1879</v>
      </c>
      <c r="C66" s="119"/>
      <c r="D66" s="117"/>
      <c r="E66" s="118"/>
      <c r="F66" s="1021"/>
      <c r="G66" s="1021"/>
      <c r="H66" s="2245"/>
      <c r="I66" s="2192"/>
      <c r="J66" s="2854"/>
      <c r="K66" s="2270" t="s">
        <v>1880</v>
      </c>
      <c r="L66" s="1843" t="e">
        <f>IF(M50&gt;1000,M50*0.1%,IF(AND(M50&gt;500,M50&lt;=1000),M50*0.5%,IF(AND(M50&gt;50,M50&lt;=500),M50*1%,IF(AND(M50&gt;1,M50&lt;=50),M50*1.5%))))</f>
        <v>#VALUE!</v>
      </c>
      <c r="M66" s="14" t="e">
        <f>ROUND(L66,1)</f>
        <v>#VALUE!</v>
      </c>
      <c r="N66" s="1844" t="s">
        <v>1878</v>
      </c>
      <c r="O66" s="1844"/>
      <c r="P66" s="1844"/>
    </row>
    <row r="67" spans="1:35" ht="12.75">
      <c r="A67" s="120" t="s">
        <v>47</v>
      </c>
      <c r="B67" s="121" t="s">
        <v>1881</v>
      </c>
      <c r="C67" s="122"/>
      <c r="D67" s="123" t="s">
        <v>41</v>
      </c>
      <c r="E67" s="1860" t="s">
        <v>1882</v>
      </c>
      <c r="F67" s="1021"/>
      <c r="G67" s="1021"/>
      <c r="H67" s="2245"/>
      <c r="I67" s="2192"/>
      <c r="J67" s="2854"/>
      <c r="K67" s="2270" t="s">
        <v>1883</v>
      </c>
      <c r="L67" s="1843" t="e">
        <f>M50*0.5%</f>
        <v>#VALUE!</v>
      </c>
      <c r="M67" s="14" t="e">
        <f>IF(L67&gt;0.5,0.5,ROUND(L67,0))</f>
        <v>#VALUE!</v>
      </c>
      <c r="N67" s="1844" t="s">
        <v>1884</v>
      </c>
      <c r="O67" s="1844"/>
      <c r="P67" s="1844"/>
    </row>
    <row r="68" spans="1:35" ht="12.75">
      <c r="A68" s="120" t="s">
        <v>42</v>
      </c>
      <c r="B68" s="121" t="s">
        <v>1885</v>
      </c>
      <c r="C68" s="124">
        <f ca="1">C64-C67</f>
        <v>5090</v>
      </c>
      <c r="D68" s="117" t="s">
        <v>41</v>
      </c>
      <c r="E68" s="118"/>
      <c r="F68" s="1021"/>
      <c r="G68" s="1021"/>
      <c r="H68" s="2245"/>
      <c r="I68" s="2192"/>
      <c r="J68" s="2854"/>
      <c r="K68" s="2270" t="s">
        <v>1886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1887</v>
      </c>
      <c r="C69" s="127">
        <f ca="1">IF(C68&lt;=0,0,ROUND(C68*D69,0))</f>
        <v>285</v>
      </c>
      <c r="D69" s="128">
        <f>'数据-取费表'!E29</f>
        <v>5.6000000000000001E-2</v>
      </c>
      <c r="E69" s="129"/>
      <c r="F69" s="1021"/>
      <c r="G69" s="1021"/>
      <c r="H69" s="2245"/>
      <c r="I69" s="2192"/>
      <c r="J69" s="2854"/>
      <c r="K69" s="2270" t="s">
        <v>1888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854"/>
      <c r="K70" s="2270" t="s">
        <v>1889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75" t="s">
        <v>1890</v>
      </c>
      <c r="B71" s="2876"/>
      <c r="C71" s="2876"/>
      <c r="D71" s="2876"/>
      <c r="E71" s="2876"/>
      <c r="F71" s="2876"/>
      <c r="G71" s="2876"/>
      <c r="H71" s="2876"/>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3" t="s">
        <v>1870</v>
      </c>
      <c r="B72" s="2874"/>
      <c r="C72" s="1884"/>
      <c r="D72" s="1884" t="s">
        <v>1871</v>
      </c>
      <c r="E72" s="130" t="s">
        <v>1872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1891</v>
      </c>
      <c r="C73" s="124">
        <f ca="1">ROUND(D46/(1+'数据-取费表'!F30),0)</f>
        <v>5090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1893</v>
      </c>
      <c r="C74" s="124">
        <f ca="1">C75+C79</f>
        <v>31</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1895</v>
      </c>
      <c r="C76" s="137"/>
      <c r="D76" s="117" t="s">
        <v>41</v>
      </c>
      <c r="E76" s="138" t="s">
        <v>1896</v>
      </c>
      <c r="F76" s="2281" t="s">
        <v>1897</v>
      </c>
      <c r="G76" s="138" t="s">
        <v>1898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1899</v>
      </c>
      <c r="C77" s="117">
        <f>IF(F76="购房发票",ROUND(C76*H76*D77,0),0)</f>
        <v>0</v>
      </c>
      <c r="D77" s="141">
        <v>0.05</v>
      </c>
      <c r="E77" s="2911" t="s">
        <v>1900</v>
      </c>
      <c r="F77" s="2912"/>
      <c r="G77" s="2912"/>
      <c r="H77" s="2913"/>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82" t="s">
        <v>1903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1904</v>
      </c>
      <c r="C79" s="144">
        <f ca="1">ROUND(D46*D79/(1+'数据-取费表'!F30),0)</f>
        <v>31</v>
      </c>
      <c r="D79" s="145">
        <f>'数据-取费表'!E31</f>
        <v>6.000000000000001E-3</v>
      </c>
      <c r="E79" s="2842" t="s">
        <v>1905</v>
      </c>
      <c r="F79" s="2843"/>
      <c r="G79" s="2843"/>
      <c r="H79" s="2863"/>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1906</v>
      </c>
      <c r="C80" s="124">
        <f ca="1">C73-C74</f>
        <v>5059</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1907</v>
      </c>
      <c r="C81" s="147">
        <f ca="1">IF(C80&lt;=0,0,C80/C74)</f>
        <v>163.19354838709677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1908</v>
      </c>
      <c r="C82" s="149">
        <f ca="1">ROUND(IF(C80&lt;=0,0,IF(C81&gt;=200%,C80*60%-C74*35%,IF(C81&gt;=100%,C80*50%-C74*15%,IF(C81&gt;=50%,C80*40%-C74*5%,IF(C81&lt;50%,C80*30%,0))))),0)</f>
        <v>3025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75" t="s">
        <v>1909</v>
      </c>
      <c r="B84" s="2876"/>
      <c r="C84" s="2876"/>
      <c r="D84" s="2876"/>
      <c r="E84" s="2876"/>
      <c r="F84" s="2876"/>
      <c r="G84" s="2876"/>
      <c r="H84" s="2876"/>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3" t="s">
        <v>1870</v>
      </c>
      <c r="B85" s="2874"/>
      <c r="C85" s="1884"/>
      <c r="D85" s="1884" t="s">
        <v>1871</v>
      </c>
      <c r="E85" s="130" t="s">
        <v>1872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1891</v>
      </c>
      <c r="C86" s="124">
        <f ca="1">ROUND(D46/(1+'数据-取费表'!F30),0)</f>
        <v>5090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1893</v>
      </c>
      <c r="C87" s="124">
        <f ca="1">IF(H89="仅含出让金",C88+C91+C92+C93+C94+C95,C88+C92+C93+C94+C95)</f>
        <v>31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1911</v>
      </c>
      <c r="C89" s="157"/>
      <c r="D89" s="145"/>
      <c r="E89" s="158" t="s">
        <v>1912</v>
      </c>
      <c r="F89" s="1881"/>
      <c r="G89" s="159" t="s">
        <v>1913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1901</v>
      </c>
      <c r="C90" s="144">
        <f>ROUND(C89*D90,0)</f>
        <v>0</v>
      </c>
      <c r="D90" s="145">
        <f>'数据-取费表'!E36+'数据-取费表'!E37</f>
        <v>3.0499999999999999E-2</v>
      </c>
      <c r="E90" s="158" t="s">
        <v>1914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1916</v>
      </c>
      <c r="C92" s="144">
        <f>IF(H92="——",成本法!C33,I92)</f>
        <v>0</v>
      </c>
      <c r="D92" s="145"/>
      <c r="E92" s="2842" t="s">
        <v>1917</v>
      </c>
      <c r="F92" s="2843"/>
      <c r="G92" s="2843"/>
      <c r="H92" s="2285" t="s">
        <v>1918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1919</v>
      </c>
      <c r="C93" s="144">
        <f>ROUND((C88+C91+C92)*D93,0)</f>
        <v>0</v>
      </c>
      <c r="D93" s="145">
        <v>0.1</v>
      </c>
      <c r="E93" s="2842" t="s">
        <v>1920</v>
      </c>
      <c r="F93" s="2843"/>
      <c r="G93" s="2843"/>
      <c r="H93" s="2863"/>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1904</v>
      </c>
      <c r="C94" s="144">
        <f ca="1">ROUND(D46*D94/(1+'数据-取费表'!F30),0)</f>
        <v>31</v>
      </c>
      <c r="D94" s="145">
        <f>'数据-取费表'!E31</f>
        <v>6.000000000000001E-3</v>
      </c>
      <c r="E94" s="2842" t="s">
        <v>1905</v>
      </c>
      <c r="F94" s="2843"/>
      <c r="G94" s="2843"/>
      <c r="H94" s="2863"/>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1921</v>
      </c>
      <c r="C95" s="144">
        <f>ROUND((C88+C91+C92)*D95,0)</f>
        <v>0</v>
      </c>
      <c r="D95" s="145">
        <v>0.2</v>
      </c>
      <c r="E95" s="2842" t="s">
        <v>1922</v>
      </c>
      <c r="F95" s="2843"/>
      <c r="G95" s="2843"/>
      <c r="H95" s="2863"/>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1906</v>
      </c>
      <c r="C96" s="124">
        <f ca="1">ROUND(C86-C87,0)</f>
        <v>5059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1907</v>
      </c>
      <c r="C97" s="147">
        <f ca="1">IF(C96&lt;=0,0,C96/C87)</f>
        <v>163.19354838709677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1908</v>
      </c>
      <c r="C98" s="149">
        <f ca="1">ROUND(IF(C96&lt;=0,0,IF(C97&gt;=200%,C96*60%-C87*35%,IF(C97&gt;=100%,C96*50%-C87*15%,IF(C97&gt;=50%,C96*40%-C87*5%,IF(C97&lt;50%,C96*30%,0))))),0)</f>
        <v>3025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1923</v>
      </c>
      <c r="B99" s="2192"/>
      <c r="C99" s="2192"/>
      <c r="D99" s="2192"/>
      <c r="E99" s="1021"/>
      <c r="F99" s="1021"/>
      <c r="G99" s="1021"/>
      <c r="H99" s="2245"/>
      <c r="I99" s="2192"/>
    </row>
    <row r="100" spans="1:35" ht="15.75">
      <c r="A100" s="2860" t="s">
        <v>1924</v>
      </c>
      <c r="B100" s="2861"/>
      <c r="C100" s="2861"/>
      <c r="D100" s="2862"/>
      <c r="E100" s="2192"/>
      <c r="F100" s="2870" t="s">
        <v>1925</v>
      </c>
      <c r="G100" s="2871"/>
      <c r="H100" s="2871"/>
      <c r="I100" s="2872"/>
    </row>
    <row r="101" spans="1:35" ht="30">
      <c r="A101" s="2877" t="s">
        <v>1926</v>
      </c>
      <c r="B101" s="2878"/>
      <c r="C101" s="720" t="str">
        <f>C4</f>
        <v>典型户型修正</v>
      </c>
      <c r="D101" s="721">
        <f>D4</f>
        <v>0</v>
      </c>
      <c r="E101" s="2192"/>
      <c r="F101" s="2879" t="s">
        <v>1927</v>
      </c>
      <c r="G101" s="2881"/>
      <c r="H101" s="2962" t="s">
        <v>1928</v>
      </c>
      <c r="I101" s="2880"/>
    </row>
    <row r="102" spans="1:35" ht="15.75">
      <c r="A102" s="2963" t="s">
        <v>1988</v>
      </c>
      <c r="B102" s="2287" t="str">
        <f>IF(H19="元","总价（元）","总价（万元）")</f>
        <v>总价（万元）</v>
      </c>
      <c r="C102" s="720">
        <f ca="1">C19</f>
        <v>5344</v>
      </c>
      <c r="D102" s="721" t="e">
        <f ca="1">D19</f>
        <v>#REF!</v>
      </c>
      <c r="E102" s="2192"/>
      <c r="F102" s="2964"/>
      <c r="G102" s="2965"/>
      <c r="H102" s="2940">
        <f>典型户型修正!B25</f>
        <v>550.11</v>
      </c>
      <c r="I102" s="2880"/>
    </row>
    <row r="103" spans="1:35" ht="15.75">
      <c r="A103" s="2963"/>
      <c r="B103" s="2287" t="s">
        <v>1930</v>
      </c>
      <c r="C103" s="722">
        <f ca="1">C20</f>
        <v>97144</v>
      </c>
      <c r="D103" s="723" t="e">
        <f ca="1">D20</f>
        <v>#REF!</v>
      </c>
      <c r="E103" s="2192"/>
      <c r="F103" s="2954" t="s">
        <v>1931</v>
      </c>
      <c r="G103" s="2955"/>
      <c r="H103" s="2288" t="str">
        <f>C109</f>
        <v>总价（万元）</v>
      </c>
      <c r="I103" s="1861">
        <f ca="1">H124</f>
        <v>5344</v>
      </c>
    </row>
    <row r="104" spans="1:35" ht="15">
      <c r="A104" s="2963" t="s">
        <v>1989</v>
      </c>
      <c r="B104" s="2289" t="str">
        <f>B102</f>
        <v>总价（万元）</v>
      </c>
      <c r="C104" s="1189" t="e">
        <f ca="1">ROUND(IF('数据-取费表'!B4="总价",G19,IF(H19="元",G20*'数据-取费表'!E5,G20*'数据-取费表'!E5/10000)),0)</f>
        <v>#REF!</v>
      </c>
      <c r="D104" s="725"/>
      <c r="E104" s="2192"/>
      <c r="F104" s="2954"/>
      <c r="G104" s="2955"/>
      <c r="H104" s="2288" t="s">
        <v>1930</v>
      </c>
      <c r="I104" s="1049">
        <f ca="1">I124</f>
        <v>97144</v>
      </c>
    </row>
    <row r="105" spans="1:35" ht="15.75">
      <c r="A105" s="2963"/>
      <c r="B105" s="2287" t="s">
        <v>1930</v>
      </c>
      <c r="C105" s="1190" t="e">
        <f ca="1">ROUND(IF('数据-取费表'!B4="楼面单价",G20,IF(H19="元",G19/'数据-取费表'!E5,G19*10000/'数据-取费表'!E5)),0)</f>
        <v>#REF!</v>
      </c>
      <c r="D105" s="725"/>
      <c r="E105" s="2192"/>
      <c r="F105" s="2866"/>
      <c r="G105" s="2867"/>
      <c r="H105" s="2901"/>
      <c r="I105" s="2902"/>
    </row>
    <row r="106" spans="1:35" ht="15.75">
      <c r="A106" s="2970" t="s">
        <v>1990</v>
      </c>
      <c r="B106" s="2327" t="str">
        <f>B102</f>
        <v>总价（万元）</v>
      </c>
      <c r="C106" s="724">
        <f ca="1">H124</f>
        <v>5344</v>
      </c>
      <c r="D106" s="1188"/>
      <c r="E106" s="2192"/>
      <c r="F106" s="2905" t="s">
        <v>1934</v>
      </c>
      <c r="G106" s="2906"/>
      <c r="H106" s="2291" t="str">
        <f>C111</f>
        <v>总额（万元）</v>
      </c>
      <c r="I106" s="1861">
        <f>SUMIF(I107:I109,"&lt;9E307")</f>
        <v>0</v>
      </c>
    </row>
    <row r="107" spans="1:35" ht="15.75" thickBot="1">
      <c r="A107" s="2900"/>
      <c r="B107" s="2290" t="s">
        <v>1930</v>
      </c>
      <c r="C107" s="726">
        <f ca="1">I124</f>
        <v>97144</v>
      </c>
      <c r="D107" s="727"/>
      <c r="E107" s="2192"/>
      <c r="F107" s="2868" t="s">
        <v>1936</v>
      </c>
      <c r="G107" s="2869"/>
      <c r="H107" s="2291" t="str">
        <f>C112</f>
        <v>总额（万元）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6" t="s">
        <v>1933</v>
      </c>
      <c r="B108" s="2967"/>
      <c r="C108" s="2967"/>
      <c r="D108" s="2968"/>
      <c r="E108" s="2192"/>
      <c r="F108" s="2868" t="s">
        <v>1937</v>
      </c>
      <c r="G108" s="2869"/>
      <c r="H108" s="2291" t="str">
        <f>C113</f>
        <v>总额（万元）</v>
      </c>
      <c r="I108" s="1049">
        <f>C38</f>
        <v>0</v>
      </c>
      <c r="K108" s="2292"/>
    </row>
    <row r="109" spans="1:35" ht="15">
      <c r="A109" s="2907" t="s">
        <v>1991</v>
      </c>
      <c r="B109" s="2908"/>
      <c r="C109" s="2288" t="str">
        <f>B102</f>
        <v>总价（万元）</v>
      </c>
      <c r="D109" s="1050">
        <f ca="1">H124</f>
        <v>5344</v>
      </c>
      <c r="E109" s="2192"/>
      <c r="F109" s="2868" t="s">
        <v>1939</v>
      </c>
      <c r="G109" s="2869"/>
      <c r="H109" s="2291" t="str">
        <f>C114</f>
        <v>总额（万元）</v>
      </c>
      <c r="I109" s="1049">
        <f>C39</f>
        <v>0</v>
      </c>
    </row>
    <row r="110" spans="1:35" ht="15.75">
      <c r="A110" s="2907"/>
      <c r="B110" s="2908"/>
      <c r="C110" s="2288" t="s">
        <v>1930</v>
      </c>
      <c r="D110" s="1051">
        <f ca="1">I124</f>
        <v>97144</v>
      </c>
      <c r="E110" s="2192"/>
      <c r="F110" s="2866"/>
      <c r="G110" s="2867"/>
      <c r="H110" s="2903"/>
      <c r="I110" s="2904"/>
    </row>
    <row r="111" spans="1:35" ht="28.5" customHeight="1">
      <c r="A111" s="2950" t="s">
        <v>1938</v>
      </c>
      <c r="B111" s="2951"/>
      <c r="C111" s="2291" t="str">
        <f>IF(H19="元","总额（元）","总额（万元）")</f>
        <v>总额（万元）</v>
      </c>
      <c r="D111" s="1050">
        <f>IF(D37="正常操作",I107+I108+I109,I108+I109)</f>
        <v>0</v>
      </c>
      <c r="E111" s="2192"/>
      <c r="F111" s="2848" t="str">
        <f>IF(项目基本情况!F5="已注销","——","3.房地产抵押价值")</f>
        <v>3.房地产抵押价值</v>
      </c>
      <c r="G111" s="2849"/>
      <c r="H111" s="2328" t="str">
        <f>C115</f>
        <v>总价（万元）</v>
      </c>
      <c r="I111" s="1861">
        <f ca="1">IF(F111="——","——",I103-I106)</f>
        <v>5344</v>
      </c>
    </row>
    <row r="112" spans="1:35" ht="15">
      <c r="A112" s="2868" t="s">
        <v>1936</v>
      </c>
      <c r="B112" s="2869"/>
      <c r="C112" s="2291" t="str">
        <f>C111</f>
        <v>总额（万元）</v>
      </c>
      <c r="D112" s="637">
        <f>IF(D37="同一抵押权人同一抵押物续贷",C37&amp;"（未扣减，详见特别提示）",C37)</f>
        <v>0</v>
      </c>
      <c r="E112" s="2192"/>
      <c r="F112" s="2850"/>
      <c r="G112" s="2851"/>
      <c r="H112" s="2288" t="s">
        <v>1930</v>
      </c>
      <c r="I112" s="2294">
        <f ca="1">D116</f>
        <v>97144</v>
      </c>
    </row>
    <row r="113" spans="1:26" ht="15.75">
      <c r="A113" s="2868" t="s">
        <v>1937</v>
      </c>
      <c r="B113" s="2869"/>
      <c r="C113" s="2291" t="str">
        <f>C111</f>
        <v>总额（万元）</v>
      </c>
      <c r="D113" s="637">
        <f>C38</f>
        <v>0</v>
      </c>
      <c r="E113" s="2192"/>
      <c r="F113" s="2848" t="str">
        <f>IF(项目基本情况!F5="已注销及未注销","4.抵押担保权已注销时的房地产抵押价值",IF(项目基本情况!F5="已注销","3.抵押担保权已注销时的房地产抵押价值","——"))</f>
        <v>——</v>
      </c>
      <c r="G113" s="2849"/>
      <c r="H113" s="2328" t="str">
        <f>C117</f>
        <v>总价（万元）</v>
      </c>
      <c r="I113" s="1861" t="str">
        <f>IF(F113="——","——",I103-I108-I109)</f>
        <v>——</v>
      </c>
    </row>
    <row r="114" spans="1:26" ht="15">
      <c r="A114" s="2868" t="s">
        <v>1939</v>
      </c>
      <c r="B114" s="2869"/>
      <c r="C114" s="2291" t="str">
        <f>C111</f>
        <v>总额（万元）</v>
      </c>
      <c r="D114" s="637">
        <f>C39</f>
        <v>0</v>
      </c>
      <c r="E114" s="2192"/>
      <c r="F114" s="2850"/>
      <c r="G114" s="2851"/>
      <c r="H114" s="2288" t="s">
        <v>1930</v>
      </c>
      <c r="I114" s="1049" t="str">
        <f>D118</f>
        <v>——</v>
      </c>
    </row>
    <row r="115" spans="1:26" ht="15.75">
      <c r="A115" s="2907" t="str">
        <f>IF(项目基本情况!F5="已注销","——","3.房地产抵押价值")</f>
        <v>3.房地产抵押价值</v>
      </c>
      <c r="B115" s="2908"/>
      <c r="C115" s="2288" t="str">
        <f>B102</f>
        <v>总价（万元）</v>
      </c>
      <c r="D115" s="1050">
        <f ca="1">IF(A115="——","——",D109-D111)</f>
        <v>5344</v>
      </c>
      <c r="E115" s="2192"/>
      <c r="F115" s="2848" t="str">
        <f>IF(项目基本情况!G5="抵押净值",IF(OR(项目基本情况!F5="已注销",项目基本情况!F5="房地产抵押价值"),"4.抵押净值","5.抵押净值"),"——")</f>
        <v>——</v>
      </c>
      <c r="G115" s="2849"/>
      <c r="H115" s="2288" t="str">
        <f>C119</f>
        <v>总价（万元）</v>
      </c>
      <c r="I115" s="1861" t="str">
        <f>IF(F115="——","——",N60)</f>
        <v>——</v>
      </c>
    </row>
    <row r="116" spans="1:26" ht="15.75" thickBot="1">
      <c r="A116" s="2907"/>
      <c r="B116" s="2908"/>
      <c r="C116" s="2288" t="s">
        <v>1992</v>
      </c>
      <c r="D116" s="1051">
        <f ca="1">ROUND(IF(D115=D109,D110,IF(H19="元",D115/B124,D115*10000/B124)),0)</f>
        <v>97144</v>
      </c>
      <c r="E116" s="2192"/>
      <c r="F116" s="2941"/>
      <c r="G116" s="2942"/>
      <c r="H116" s="2296" t="s">
        <v>1992</v>
      </c>
      <c r="I116" s="1863" t="str">
        <f ca="1">D120</f>
        <v>——</v>
      </c>
    </row>
    <row r="117" spans="1:26" ht="15.75">
      <c r="A117" s="2907" t="str">
        <f>IF(项目基本情况!F5="已注销及未注销","4.抵押担保权已注销时的房地产抵押价值",IF(项目基本情况!F5="已注销","3.抵押担保权已注销时的房地产抵押价值","——"))</f>
        <v>——</v>
      </c>
      <c r="B117" s="2908"/>
      <c r="C117" s="2288" t="str">
        <f>B102</f>
        <v>总价（万元）</v>
      </c>
      <c r="D117" s="1050" t="str">
        <f>IF(A117="——","——",D109-D113-D114)</f>
        <v>——</v>
      </c>
      <c r="E117" s="2192"/>
      <c r="F117" s="2844"/>
      <c r="G117" s="2844"/>
      <c r="H117" s="2886"/>
      <c r="I117" s="2886"/>
      <c r="N117" s="55"/>
      <c r="O117" s="55"/>
    </row>
    <row r="118" spans="1:26" s="1844" customFormat="1" ht="15">
      <c r="A118" s="2907"/>
      <c r="B118" s="2908"/>
      <c r="C118" s="2288" t="s">
        <v>1992</v>
      </c>
      <c r="D118" s="1051" t="str">
        <f>IF(A117="——","——",IF(H19="元",ROUND(D117/B124,0),ROUND(D117*10000/B124,0)))</f>
        <v>——</v>
      </c>
      <c r="E118" s="2192"/>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4" customFormat="1" ht="15">
      <c r="A119" s="2907" t="str">
        <f>IF(项目基本情况!G5="抵押净值",IF(OR(项目基本情况!F5="已注销",项目基本情况!F5="房地产抵押价值"),"4.抵押净值","5.抵押净值"),"——")</f>
        <v>——</v>
      </c>
      <c r="B119" s="2908"/>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8"/>
      <c r="B120" s="2949"/>
      <c r="C120" s="2296" t="s">
        <v>1992</v>
      </c>
      <c r="D120" s="1052"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87" t="s">
        <v>1993</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9" t="s">
        <v>1941</v>
      </c>
      <c r="B122" s="2857" t="s">
        <v>1994</v>
      </c>
      <c r="C122" s="2857" t="s">
        <v>1995</v>
      </c>
      <c r="D122" s="2864" t="s">
        <v>1944</v>
      </c>
      <c r="E122" s="2865"/>
      <c r="F122" s="2855" t="s">
        <v>1996</v>
      </c>
      <c r="G122" s="2855"/>
      <c r="H122" s="2855" t="s">
        <v>1945</v>
      </c>
      <c r="I122" s="285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9"/>
      <c r="B123" s="2858"/>
      <c r="C123" s="2858"/>
      <c r="D123" s="1886" t="s">
        <v>1946</v>
      </c>
      <c r="E123" s="1886" t="s">
        <v>1947</v>
      </c>
      <c r="F123" s="1886" t="s">
        <v>1946</v>
      </c>
      <c r="G123" s="1886" t="s">
        <v>1948</v>
      </c>
      <c r="H123" s="1886" t="s">
        <v>1946</v>
      </c>
      <c r="I123" s="637" t="s">
        <v>1948</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北京市海淀区德胜门西大街15号1号楼房地产</v>
      </c>
      <c r="B124" s="1886">
        <f>典型户型修正!B25</f>
        <v>550.11</v>
      </c>
      <c r="C124" s="400"/>
      <c r="D124" s="1886">
        <f>C35</f>
        <v>0</v>
      </c>
      <c r="E124" s="1886">
        <f>ROUND(IF(H19="元",D124/B124,D124*10000/B124),0)</f>
        <v>0</v>
      </c>
      <c r="F124" s="1886">
        <f>C36</f>
        <v>0</v>
      </c>
      <c r="G124" s="1886">
        <f>ROUND(IF(H19="元",F124/B124,F124*10000/B124),0)</f>
        <v>0</v>
      </c>
      <c r="H124" s="1886">
        <f ca="1">C33</f>
        <v>5344</v>
      </c>
      <c r="I124" s="637">
        <f ca="1">C34</f>
        <v>97144</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9" t="s">
        <v>1949</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 ca="1">IF(H19="元",NUMBERSTRING(INT(H124),2)&amp;"元整",NUMBERSTRING(INT(H124*10000),2)&amp;"元整")</f>
        <v>伍仟叁佰肆拾肆万元整</v>
      </c>
      <c r="I125" s="295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3" t="str">
        <f>IF(项目基本情况!D5="房地产市场价值","——",MID(A111,3,LEN(A111)-2))</f>
        <v>估价师所知悉的法定优先受偿款</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6" t="s">
        <v>1949</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2" t="str">
        <f>IF(项目基本情况!D5="房地产市场价值","——",MID(A115,3,LEN(A115)-2))</f>
        <v>房地产抵押价值</v>
      </c>
      <c r="B128" s="2883"/>
      <c r="C128" s="2883"/>
      <c r="D128" s="2884">
        <f ca="1">I111</f>
        <v>5344</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9" t="s">
        <v>1949</v>
      </c>
      <c r="B129" s="2855"/>
      <c r="C129" s="2855"/>
      <c r="D129" s="2944">
        <f ca="1">I112</f>
        <v>97144</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2" t="str">
        <f>IF(项目基本情况!D5="房地产市场价值","——",MID(A117,3,LEN(A117)-2))</f>
        <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9" t="s">
        <v>1949</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2" t="str">
        <f>IF(项目基本情况!D5="房地产市场价值","——",MID(F115,3,LEN(F115)-2))</f>
        <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2" t="s">
        <v>1949</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1950</v>
      </c>
      <c r="B136" s="2298"/>
      <c r="C136" s="2299" t="s">
        <v>1951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1952</v>
      </c>
      <c r="G142" s="2311"/>
      <c r="H142" s="2311"/>
      <c r="I142" s="2312" t="s">
        <v>1953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1954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1955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1956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1955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0" zoomScale="90" zoomScaleNormal="90" workbookViewId="0">
      <selection activeCell="F104" sqref="F10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2328</v>
      </c>
      <c r="C1" s="1725" t="s">
        <v>2867</v>
      </c>
      <c r="D1" s="2379"/>
      <c r="E1" s="2380" t="s">
        <v>2827</v>
      </c>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1998</v>
      </c>
      <c r="B2" s="1724">
        <f>IF(D2="——",IF(C2="元",ROUND(C49*D3,0),ROUND(C49*D3/10000,0)),IF(C2="元",ROUND(C49*D3,0),ROUND(C49*D3/10000,0))-E2)</f>
        <v>1847</v>
      </c>
      <c r="C2" s="163" t="str">
        <f>'数据-取费表'!B3</f>
        <v>万元</v>
      </c>
      <c r="D2" s="2382" t="s">
        <v>1253</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1999</v>
      </c>
      <c r="B3" s="378">
        <f>ROUND(IF(D2="——",C49,IF(C2="万元",B2*10000/D3,B2/D3)),0)</f>
        <v>103615</v>
      </c>
      <c r="C3" s="379" t="s">
        <v>2330</v>
      </c>
      <c r="D3" s="378">
        <f>IF(C1="仅计算典型户型",'数据-取费表'!E5,'数据-取费表'!B5)</f>
        <v>178.24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2331</v>
      </c>
      <c r="B4" s="381"/>
      <c r="C4" s="2975" t="s">
        <v>2332</v>
      </c>
      <c r="D4" s="2976"/>
      <c r="E4" s="2977" t="s">
        <v>2333</v>
      </c>
      <c r="F4" s="2978"/>
      <c r="G4" s="2975" t="s">
        <v>2334</v>
      </c>
      <c r="H4" s="2976"/>
      <c r="I4" s="2975" t="s">
        <v>2335</v>
      </c>
      <c r="J4" s="2976"/>
      <c r="K4" s="2393"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2" t="s">
        <v>2334</v>
      </c>
      <c r="AC4" s="2972" t="s">
        <v>2335</v>
      </c>
    </row>
    <row r="5" spans="1:29" ht="15">
      <c r="A5" s="383"/>
      <c r="B5" s="384"/>
      <c r="C5" s="2992" t="s">
        <v>2829</v>
      </c>
      <c r="D5" s="2993"/>
      <c r="E5" s="2992" t="s">
        <v>2829</v>
      </c>
      <c r="F5" s="2993"/>
      <c r="G5" s="2992" t="s">
        <v>2829</v>
      </c>
      <c r="H5" s="2993"/>
      <c r="I5" s="2992" t="s">
        <v>2829</v>
      </c>
      <c r="J5" s="2993"/>
      <c r="K5" s="23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2994" t="s">
        <v>2830</v>
      </c>
      <c r="D6" s="2995"/>
      <c r="E6" s="2994" t="s">
        <v>2866</v>
      </c>
      <c r="F6" s="2995"/>
      <c r="G6" s="2994" t="s">
        <v>2866</v>
      </c>
      <c r="H6" s="2995"/>
      <c r="I6" s="2994" t="s">
        <v>2866</v>
      </c>
      <c r="J6" s="2995"/>
      <c r="K6" s="23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v>43192</v>
      </c>
      <c r="F7" s="392">
        <f>SUMIF(58:58,YEAR(E7)&amp;"-"&amp;MONTH(E7),59:59)</f>
        <v>100</v>
      </c>
      <c r="G7" s="391">
        <v>43177</v>
      </c>
      <c r="H7" s="390">
        <f>SUMIF(58:58,YEAR(G7)&amp;"-"&amp;MONTH(G7),59:59)</f>
        <v>99</v>
      </c>
      <c r="I7" s="391">
        <v>43252</v>
      </c>
      <c r="J7" s="390">
        <f>SUMIF(58:58,YEAR(I7)&amp;"-"&amp;MONTH(I7),59:59)</f>
        <v>100</v>
      </c>
      <c r="K7" s="2395"/>
      <c r="L7" s="1244"/>
      <c r="M7" s="1245"/>
      <c r="N7" s="1245"/>
      <c r="O7" s="1245"/>
      <c r="P7" s="3003" t="s">
        <v>2345</v>
      </c>
      <c r="Q7" s="3005"/>
      <c r="R7" s="749" t="s">
        <v>34</v>
      </c>
      <c r="S7" s="750">
        <f t="shared" ref="S7:S15" si="0">F7</f>
        <v>100</v>
      </c>
      <c r="T7" s="749" t="s">
        <v>34</v>
      </c>
      <c r="U7" s="750">
        <f t="shared" ref="U7:U15" si="1">H7</f>
        <v>99</v>
      </c>
      <c r="V7" s="749" t="s">
        <v>34</v>
      </c>
      <c r="W7" s="750">
        <f t="shared" ref="W7:W15" si="2">J7</f>
        <v>100</v>
      </c>
      <c r="X7" s="751"/>
      <c r="Y7" s="3003" t="s">
        <v>2345</v>
      </c>
      <c r="Z7" s="3004"/>
      <c r="AA7" s="752">
        <f>D7/F7</f>
        <v>1</v>
      </c>
      <c r="AB7" s="752">
        <f>D7/H7</f>
        <v>1.0101010101010102</v>
      </c>
      <c r="AC7" s="752">
        <f>D7/J7</f>
        <v>1</v>
      </c>
    </row>
    <row r="8" spans="1:29" s="35" customFormat="1" ht="15.75" thickBot="1">
      <c r="A8" s="387" t="s">
        <v>2346</v>
      </c>
      <c r="B8" s="388"/>
      <c r="C8" s="394" t="s">
        <v>2347</v>
      </c>
      <c r="D8" s="390">
        <v>100</v>
      </c>
      <c r="E8" s="394" t="s">
        <v>2347</v>
      </c>
      <c r="F8" s="392">
        <f>SUMIF(61:61,E8,62:62)-SUMIF(61:61,C8,62:62)+100</f>
        <v>100</v>
      </c>
      <c r="G8" s="394" t="s">
        <v>2347</v>
      </c>
      <c r="H8" s="390">
        <f>SUMIF(61:61,G8,62:62)-SUMIF(61:61,C8,62:62)+100</f>
        <v>100</v>
      </c>
      <c r="I8" s="394" t="s">
        <v>2347</v>
      </c>
      <c r="J8" s="390">
        <f>SUMIF(61:61,I8,62:62)-SUMIF(61:61,C8,62:62)+100</f>
        <v>100</v>
      </c>
      <c r="K8" s="2395"/>
      <c r="L8" s="1244"/>
      <c r="M8" s="1245"/>
      <c r="N8" s="1245"/>
      <c r="O8" s="1245"/>
      <c r="P8" s="3003" t="s">
        <v>2348</v>
      </c>
      <c r="Q8" s="3004"/>
      <c r="R8" s="749" t="s">
        <v>34</v>
      </c>
      <c r="S8" s="750">
        <f t="shared" si="0"/>
        <v>100</v>
      </c>
      <c r="T8" s="749" t="s">
        <v>34</v>
      </c>
      <c r="U8" s="750">
        <f t="shared" si="1"/>
        <v>100</v>
      </c>
      <c r="V8" s="749" t="s">
        <v>34</v>
      </c>
      <c r="W8" s="750">
        <f t="shared" si="2"/>
        <v>100</v>
      </c>
      <c r="X8" s="751"/>
      <c r="Y8" s="3003" t="s">
        <v>2348</v>
      </c>
      <c r="Z8" s="3004"/>
      <c r="AA8" s="752">
        <f t="shared" ref="AA8:AA46" si="3">D8/F8</f>
        <v>1</v>
      </c>
      <c r="AB8" s="752">
        <f t="shared" ref="AB8:AB46" si="4">D8/H8</f>
        <v>1</v>
      </c>
      <c r="AC8" s="752">
        <f t="shared" ref="AC8:AC46" si="5">D8/J8</f>
        <v>1</v>
      </c>
    </row>
    <row r="9" spans="1:29" s="35" customFormat="1">
      <c r="A9" s="395" t="s">
        <v>2349</v>
      </c>
      <c r="B9" s="28" t="s">
        <v>2350</v>
      </c>
      <c r="C9" s="2737" t="s">
        <v>2828</v>
      </c>
      <c r="D9" s="51">
        <v>100</v>
      </c>
      <c r="E9" s="397" t="s">
        <v>2813</v>
      </c>
      <c r="F9" s="398">
        <f>SUMIF(63:63,E9,64:64)-SUMIF(63:63,C9,64:64)+100</f>
        <v>100</v>
      </c>
      <c r="G9" s="397" t="s">
        <v>2813</v>
      </c>
      <c r="H9" s="51">
        <f>SUMIF(63:63,G9,64:64)-SUMIF(63:63,C9,64:64)+100</f>
        <v>100</v>
      </c>
      <c r="I9" s="397" t="s">
        <v>2813</v>
      </c>
      <c r="J9" s="51">
        <f>SUMIF(63:63,I9,64:64)-SUMIF(63:63,C9,64:64)+100</f>
        <v>100</v>
      </c>
      <c r="K9" s="2395"/>
      <c r="L9" s="1244"/>
      <c r="M9" s="1245"/>
      <c r="N9" s="1245"/>
      <c r="O9" s="1245"/>
      <c r="P9" s="3006"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06"/>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75" thickBot="1">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06"/>
      <c r="Q11" s="1886"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06"/>
      <c r="Q12" s="1886">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06"/>
      <c r="Q13" s="1886">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06"/>
      <c r="Q14" s="1886">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99.75">
      <c r="A15" s="419" t="s">
        <v>2355</v>
      </c>
      <c r="B15" s="26" t="s">
        <v>1732</v>
      </c>
      <c r="C15" s="2400"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9" t="s">
        <v>2356</v>
      </c>
      <c r="Q15" s="1898" t="str">
        <f t="shared" si="6"/>
        <v>居住社区成熟度</v>
      </c>
      <c r="R15" s="753" t="s">
        <v>28</v>
      </c>
      <c r="S15" s="754">
        <f t="shared" si="0"/>
        <v>100</v>
      </c>
      <c r="T15" s="753" t="s">
        <v>28</v>
      </c>
      <c r="U15" s="754">
        <f t="shared" si="1"/>
        <v>100</v>
      </c>
      <c r="V15" s="753" t="s">
        <v>28</v>
      </c>
      <c r="W15" s="754">
        <f t="shared" si="2"/>
        <v>100</v>
      </c>
      <c r="X15" s="1899"/>
      <c r="Y15" s="2996" t="s">
        <v>2356</v>
      </c>
      <c r="Z15" s="1901" t="str">
        <f t="shared" si="7"/>
        <v>居住社区成熟度</v>
      </c>
      <c r="AA15" s="1902">
        <f t="shared" si="3"/>
        <v>1</v>
      </c>
      <c r="AB15" s="1902">
        <f t="shared" si="4"/>
        <v>1</v>
      </c>
      <c r="AC15" s="1902">
        <f t="shared" si="5"/>
        <v>1</v>
      </c>
    </row>
    <row r="16" spans="1:29" ht="15">
      <c r="A16" s="408"/>
      <c r="B16" s="425"/>
      <c r="C16" s="426" t="s">
        <v>29</v>
      </c>
      <c r="D16" s="427"/>
      <c r="E16" s="426" t="s">
        <v>29</v>
      </c>
      <c r="F16" s="429"/>
      <c r="G16" s="426" t="s">
        <v>29</v>
      </c>
      <c r="H16" s="430"/>
      <c r="I16" s="426" t="s">
        <v>29</v>
      </c>
      <c r="J16" s="427"/>
      <c r="K16" s="2402"/>
      <c r="L16" s="1252"/>
      <c r="M16" s="1243"/>
      <c r="N16" s="1243"/>
      <c r="O16" s="1243"/>
      <c r="P16" s="3010"/>
      <c r="Q16" s="1898"/>
      <c r="R16" s="753"/>
      <c r="S16" s="754"/>
      <c r="T16" s="753"/>
      <c r="U16" s="754"/>
      <c r="V16" s="753"/>
      <c r="W16" s="754"/>
      <c r="X16" s="1899"/>
      <c r="Y16" s="2997"/>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0"/>
      <c r="Q17" s="1898" t="str">
        <f>B17</f>
        <v>交通便捷度</v>
      </c>
      <c r="R17" s="753" t="s">
        <v>28</v>
      </c>
      <c r="S17" s="754">
        <f>F17</f>
        <v>100</v>
      </c>
      <c r="T17" s="753" t="s">
        <v>28</v>
      </c>
      <c r="U17" s="754">
        <f>H17</f>
        <v>100</v>
      </c>
      <c r="V17" s="753" t="s">
        <v>28</v>
      </c>
      <c r="W17" s="754">
        <f>J17</f>
        <v>100</v>
      </c>
      <c r="X17" s="1899"/>
      <c r="Y17" s="2997"/>
      <c r="Z17" s="1901" t="str">
        <f>Q17</f>
        <v>交通便捷度</v>
      </c>
      <c r="AA17" s="1902">
        <f t="shared" si="3"/>
        <v>1</v>
      </c>
      <c r="AB17" s="1902">
        <f t="shared" si="4"/>
        <v>1</v>
      </c>
      <c r="AC17" s="1902">
        <f t="shared" si="5"/>
        <v>1</v>
      </c>
    </row>
    <row r="18" spans="1:29" ht="15">
      <c r="A18" s="408"/>
      <c r="B18" s="436"/>
      <c r="C18" s="437" t="s">
        <v>30</v>
      </c>
      <c r="D18" s="430"/>
      <c r="E18" s="437" t="s">
        <v>30</v>
      </c>
      <c r="F18" s="433"/>
      <c r="G18" s="437" t="s">
        <v>30</v>
      </c>
      <c r="H18" s="427"/>
      <c r="I18" s="437" t="s">
        <v>30</v>
      </c>
      <c r="J18" s="427"/>
      <c r="K18" s="2402"/>
      <c r="L18" s="1252"/>
      <c r="M18" s="1243"/>
      <c r="N18" s="1243"/>
      <c r="O18" s="1243"/>
      <c r="P18" s="3010"/>
      <c r="Q18" s="1898"/>
      <c r="R18" s="753"/>
      <c r="S18" s="754"/>
      <c r="T18" s="753"/>
      <c r="U18" s="754"/>
      <c r="V18" s="753"/>
      <c r="W18" s="754"/>
      <c r="X18" s="1899"/>
      <c r="Y18" s="2997"/>
      <c r="Z18" s="1901"/>
      <c r="AA18" s="1902">
        <v>1</v>
      </c>
      <c r="AB18" s="1902">
        <v>1</v>
      </c>
      <c r="AC18" s="1902">
        <v>1</v>
      </c>
    </row>
    <row r="19" spans="1:29" ht="228">
      <c r="A19" s="408"/>
      <c r="B19" s="431" t="s">
        <v>1739</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0"/>
      <c r="Q19" s="1898" t="str">
        <f>B19</f>
        <v>公共配套设施</v>
      </c>
      <c r="R19" s="753" t="s">
        <v>28</v>
      </c>
      <c r="S19" s="754">
        <f>F19</f>
        <v>100</v>
      </c>
      <c r="T19" s="753" t="s">
        <v>28</v>
      </c>
      <c r="U19" s="754">
        <f>H19</f>
        <v>100</v>
      </c>
      <c r="V19" s="753" t="s">
        <v>28</v>
      </c>
      <c r="W19" s="754">
        <f>J19</f>
        <v>100</v>
      </c>
      <c r="X19" s="1899"/>
      <c r="Y19" s="2997"/>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2"/>
      <c r="L20" s="1252"/>
      <c r="M20" s="1243"/>
      <c r="N20" s="1243"/>
      <c r="O20" s="1243"/>
      <c r="P20" s="3010"/>
      <c r="Q20" s="1898"/>
      <c r="R20" s="753"/>
      <c r="S20" s="754"/>
      <c r="T20" s="753"/>
      <c r="U20" s="754"/>
      <c r="V20" s="753"/>
      <c r="W20" s="754"/>
      <c r="X20" s="1899"/>
      <c r="Y20" s="2997"/>
      <c r="Z20" s="1901"/>
      <c r="AA20" s="1902">
        <v>1</v>
      </c>
      <c r="AB20" s="1902">
        <v>1</v>
      </c>
      <c r="AC20" s="1902">
        <v>1</v>
      </c>
    </row>
    <row r="21" spans="1:29" ht="42.75">
      <c r="A21" s="408"/>
      <c r="B21" s="2405" t="s">
        <v>1742</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0"/>
      <c r="Q21" s="1898" t="str">
        <f>B21</f>
        <v>基础设施水平</v>
      </c>
      <c r="R21" s="753" t="s">
        <v>28</v>
      </c>
      <c r="S21" s="754">
        <f>F21</f>
        <v>100</v>
      </c>
      <c r="T21" s="753" t="s">
        <v>28</v>
      </c>
      <c r="U21" s="754">
        <f>H21</f>
        <v>100</v>
      </c>
      <c r="V21" s="753" t="s">
        <v>28</v>
      </c>
      <c r="W21" s="754">
        <f>J21</f>
        <v>100</v>
      </c>
      <c r="X21" s="1899"/>
      <c r="Y21" s="2997"/>
      <c r="Z21" s="1901" t="str">
        <f>Q21</f>
        <v>基础设施水平</v>
      </c>
      <c r="AA21" s="1902">
        <f>D21/F21</f>
        <v>1</v>
      </c>
      <c r="AB21" s="1902">
        <f>D21/H21</f>
        <v>1</v>
      </c>
      <c r="AC21" s="1902">
        <f>D21/J21</f>
        <v>1</v>
      </c>
    </row>
    <row r="22" spans="1:29" ht="15">
      <c r="A22" s="408"/>
      <c r="B22" s="2405"/>
      <c r="C22" s="437" t="s">
        <v>2868</v>
      </c>
      <c r="D22" s="427"/>
      <c r="E22" s="437" t="s">
        <v>2868</v>
      </c>
      <c r="F22" s="429"/>
      <c r="G22" s="437" t="s">
        <v>2868</v>
      </c>
      <c r="H22" s="427"/>
      <c r="I22" s="437" t="s">
        <v>2868</v>
      </c>
      <c r="J22" s="427"/>
      <c r="K22" s="2406"/>
      <c r="L22" s="1252"/>
      <c r="M22" s="1243"/>
      <c r="N22" s="1243"/>
      <c r="O22" s="1243"/>
      <c r="P22" s="3010"/>
      <c r="Q22" s="1898"/>
      <c r="R22" s="753"/>
      <c r="S22" s="754"/>
      <c r="T22" s="753"/>
      <c r="U22" s="754"/>
      <c r="V22" s="753"/>
      <c r="W22" s="754"/>
      <c r="X22" s="1899"/>
      <c r="Y22" s="2997"/>
      <c r="Z22" s="1901"/>
      <c r="AA22" s="1902">
        <v>1</v>
      </c>
      <c r="AB22" s="1902">
        <v>1</v>
      </c>
      <c r="AC22" s="1902">
        <v>1</v>
      </c>
    </row>
    <row r="23" spans="1:29" ht="85.5">
      <c r="A23" s="408"/>
      <c r="B23" s="431" t="s">
        <v>1746</v>
      </c>
      <c r="C23" s="2403"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0"/>
      <c r="Q23" s="1898" t="str">
        <f>B23</f>
        <v>自然及人文环境</v>
      </c>
      <c r="R23" s="753" t="s">
        <v>28</v>
      </c>
      <c r="S23" s="754">
        <f>F23</f>
        <v>100</v>
      </c>
      <c r="T23" s="753" t="s">
        <v>28</v>
      </c>
      <c r="U23" s="754">
        <f>H23</f>
        <v>100</v>
      </c>
      <c r="V23" s="753" t="s">
        <v>28</v>
      </c>
      <c r="W23" s="754">
        <f>J23</f>
        <v>100</v>
      </c>
      <c r="X23" s="1899"/>
      <c r="Y23" s="2997"/>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2"/>
      <c r="L24" s="1252"/>
      <c r="M24" s="1243"/>
      <c r="N24" s="1243"/>
      <c r="O24" s="1243"/>
      <c r="P24" s="3010"/>
      <c r="Q24" s="1898"/>
      <c r="R24" s="753"/>
      <c r="S24" s="754"/>
      <c r="T24" s="753"/>
      <c r="U24" s="754"/>
      <c r="V24" s="753"/>
      <c r="W24" s="754"/>
      <c r="X24" s="1899"/>
      <c r="Y24" s="2997"/>
      <c r="Z24" s="1901"/>
      <c r="AA24" s="1902">
        <v>1</v>
      </c>
      <c r="AB24" s="1902">
        <v>1</v>
      </c>
      <c r="AC24" s="1902">
        <v>1</v>
      </c>
    </row>
    <row r="25" spans="1:29" ht="15">
      <c r="A25" s="408"/>
      <c r="B25" s="402" t="s">
        <v>2357</v>
      </c>
      <c r="C25" s="441">
        <v>6</v>
      </c>
      <c r="D25" s="415">
        <v>100</v>
      </c>
      <c r="E25" s="2407">
        <v>11</v>
      </c>
      <c r="F25" s="442">
        <f>SUMIF(86:86,E25,87:87)-SUMIF(86:86,C25,87:87)+100</f>
        <v>105</v>
      </c>
      <c r="G25" s="2408">
        <v>7</v>
      </c>
      <c r="H25" s="415">
        <f>SUMIF(86:86,G25,87:87)-SUMIF(86:86,C25,87:87)+100</f>
        <v>101</v>
      </c>
      <c r="I25" s="2407">
        <v>3</v>
      </c>
      <c r="J25" s="415">
        <f>SUMIF(86:86,I25,87:87)-SUMIF(86:86,C25,87:87)+100</f>
        <v>97</v>
      </c>
      <c r="K25" s="406">
        <v>1</v>
      </c>
      <c r="L25" s="1252"/>
      <c r="M25" s="1243"/>
      <c r="N25" s="1243"/>
      <c r="O25" s="1243"/>
      <c r="P25" s="3010"/>
      <c r="Q25" s="1898" t="str">
        <f t="shared" ref="Q25:Q46" si="8">B25</f>
        <v>楼层-1</v>
      </c>
      <c r="R25" s="753" t="s">
        <v>28</v>
      </c>
      <c r="S25" s="754">
        <f>F25</f>
        <v>105</v>
      </c>
      <c r="T25" s="753" t="s">
        <v>28</v>
      </c>
      <c r="U25" s="754">
        <f>H25</f>
        <v>101</v>
      </c>
      <c r="V25" s="753" t="s">
        <v>28</v>
      </c>
      <c r="W25" s="754">
        <f>J25</f>
        <v>97</v>
      </c>
      <c r="X25" s="1899"/>
      <c r="Y25" s="2997"/>
      <c r="Z25" s="1901" t="str">
        <f>Q25</f>
        <v>楼层-1</v>
      </c>
      <c r="AA25" s="1902">
        <f t="shared" si="3"/>
        <v>0.95238095238095233</v>
      </c>
      <c r="AB25" s="1902">
        <f t="shared" si="4"/>
        <v>0.99009900990099009</v>
      </c>
      <c r="AC25" s="1902">
        <f t="shared" si="5"/>
        <v>1.0309278350515463</v>
      </c>
    </row>
    <row r="26" spans="1:29" ht="15">
      <c r="A26" s="408"/>
      <c r="B26" s="402" t="s">
        <v>2358</v>
      </c>
      <c r="C26" s="441" t="s">
        <v>2838</v>
      </c>
      <c r="D26" s="415">
        <v>100</v>
      </c>
      <c r="E26" s="2407" t="s">
        <v>2843</v>
      </c>
      <c r="F26" s="442">
        <f>SUMIF(88:88,E26,89:89)-SUMIF(88:88,C26,89:89)+100</f>
        <v>98</v>
      </c>
      <c r="G26" s="2408" t="s">
        <v>2843</v>
      </c>
      <c r="H26" s="415">
        <f>SUMIF(88:88,G26,89:89)-SUMIF(88:88,C26,89:89)+100</f>
        <v>98</v>
      </c>
      <c r="I26" s="2407" t="s">
        <v>2838</v>
      </c>
      <c r="J26" s="415">
        <f>SUMIF(88:88,I26,89:89)-SUMIF(88:88,C26,89:89)+100</f>
        <v>100</v>
      </c>
      <c r="K26" s="406">
        <v>0.5</v>
      </c>
      <c r="L26" s="1252"/>
      <c r="M26" s="1243"/>
      <c r="N26" s="1243"/>
      <c r="O26" s="1243"/>
      <c r="P26" s="3010"/>
      <c r="Q26" s="1898" t="str">
        <f t="shared" si="8"/>
        <v>朝向</v>
      </c>
      <c r="R26" s="753" t="s">
        <v>28</v>
      </c>
      <c r="S26" s="754">
        <f>F26</f>
        <v>98</v>
      </c>
      <c r="T26" s="753" t="s">
        <v>28</v>
      </c>
      <c r="U26" s="754">
        <f>H26</f>
        <v>98</v>
      </c>
      <c r="V26" s="753" t="s">
        <v>28</v>
      </c>
      <c r="W26" s="754">
        <f>J26</f>
        <v>100</v>
      </c>
      <c r="X26" s="1899"/>
      <c r="Y26" s="2997"/>
      <c r="Z26" s="1901" t="str">
        <f>Q26</f>
        <v>朝向</v>
      </c>
      <c r="AA26" s="1902">
        <f t="shared" si="3"/>
        <v>1.0204081632653061</v>
      </c>
      <c r="AB26" s="1902">
        <f t="shared" si="4"/>
        <v>1.0204081632653061</v>
      </c>
      <c r="AC26" s="1902">
        <f t="shared" si="5"/>
        <v>1</v>
      </c>
    </row>
    <row r="27" spans="1:29" s="35" customFormat="1" ht="15.75" thickBot="1">
      <c r="A27" s="411"/>
      <c r="B27" s="2396" t="s">
        <v>2359</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10"/>
      <c r="Q27" s="1886" t="str">
        <f t="shared" si="8"/>
        <v>道路级别</v>
      </c>
      <c r="R27" s="749" t="s">
        <v>28</v>
      </c>
      <c r="S27" s="750">
        <f>F27</f>
        <v>100</v>
      </c>
      <c r="T27" s="749" t="s">
        <v>28</v>
      </c>
      <c r="U27" s="750">
        <f>H27</f>
        <v>100</v>
      </c>
      <c r="V27" s="749" t="s">
        <v>28</v>
      </c>
      <c r="W27" s="750">
        <f>J27</f>
        <v>100</v>
      </c>
      <c r="X27" s="751"/>
      <c r="Y27" s="2997"/>
      <c r="Z27" s="23" t="str">
        <f>Q27</f>
        <v>道路级别</v>
      </c>
      <c r="AA27" s="1902">
        <f>D27/F27</f>
        <v>1</v>
      </c>
      <c r="AB27" s="1902">
        <f>D27/H27</f>
        <v>1</v>
      </c>
      <c r="AC27" s="1902">
        <f>D27/J27</f>
        <v>1</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10"/>
      <c r="Q28" s="1898">
        <f t="shared" si="8"/>
        <v>111</v>
      </c>
      <c r="R28" s="753" t="s">
        <v>28</v>
      </c>
      <c r="S28" s="754">
        <f t="shared" ref="S28:S46" si="9">F28</f>
        <v>100</v>
      </c>
      <c r="T28" s="753" t="s">
        <v>28</v>
      </c>
      <c r="U28" s="754">
        <f t="shared" ref="U28:U46" si="10">H28</f>
        <v>100</v>
      </c>
      <c r="V28" s="753" t="s">
        <v>28</v>
      </c>
      <c r="W28" s="754">
        <f t="shared" ref="W28:W46" si="11">J28</f>
        <v>100</v>
      </c>
      <c r="X28" s="1899"/>
      <c r="Y28" s="2997"/>
      <c r="Z28" s="1901">
        <f t="shared" ref="Z28:Z46" si="12">Q28</f>
        <v>111</v>
      </c>
      <c r="AA28" s="1902">
        <f t="shared" si="3"/>
        <v>1</v>
      </c>
      <c r="AB28" s="1902">
        <f t="shared" si="4"/>
        <v>1</v>
      </c>
      <c r="AC28" s="1902">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10"/>
      <c r="Q29" s="1898">
        <f t="shared" si="8"/>
        <v>111</v>
      </c>
      <c r="R29" s="753" t="s">
        <v>28</v>
      </c>
      <c r="S29" s="754">
        <f t="shared" si="9"/>
        <v>100</v>
      </c>
      <c r="T29" s="753" t="s">
        <v>28</v>
      </c>
      <c r="U29" s="754">
        <f t="shared" si="10"/>
        <v>100</v>
      </c>
      <c r="V29" s="753" t="s">
        <v>28</v>
      </c>
      <c r="W29" s="754">
        <f t="shared" si="11"/>
        <v>100</v>
      </c>
      <c r="X29" s="1899"/>
      <c r="Y29" s="2997"/>
      <c r="Z29" s="1901">
        <f t="shared" si="12"/>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10"/>
      <c r="Q30" s="1898">
        <f t="shared" si="8"/>
        <v>111</v>
      </c>
      <c r="R30" s="753" t="s">
        <v>28</v>
      </c>
      <c r="S30" s="754">
        <f t="shared" si="9"/>
        <v>100</v>
      </c>
      <c r="T30" s="753" t="s">
        <v>28</v>
      </c>
      <c r="U30" s="754">
        <f t="shared" si="10"/>
        <v>100</v>
      </c>
      <c r="V30" s="753" t="s">
        <v>28</v>
      </c>
      <c r="W30" s="754">
        <f t="shared" si="11"/>
        <v>100</v>
      </c>
      <c r="X30" s="1899"/>
      <c r="Y30" s="2997"/>
      <c r="Z30" s="1901">
        <f t="shared" si="12"/>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10"/>
      <c r="Q31" s="1898">
        <f t="shared" si="8"/>
        <v>111</v>
      </c>
      <c r="R31" s="753" t="s">
        <v>28</v>
      </c>
      <c r="S31" s="754">
        <f t="shared" si="9"/>
        <v>100</v>
      </c>
      <c r="T31" s="753" t="s">
        <v>28</v>
      </c>
      <c r="U31" s="754">
        <f t="shared" si="10"/>
        <v>100</v>
      </c>
      <c r="V31" s="753" t="s">
        <v>28</v>
      </c>
      <c r="W31" s="754">
        <f t="shared" si="11"/>
        <v>100</v>
      </c>
      <c r="X31" s="1899"/>
      <c r="Y31" s="2997"/>
      <c r="Z31" s="1901">
        <f t="shared" si="12"/>
        <v>111</v>
      </c>
      <c r="AA31" s="1902">
        <f t="shared" si="3"/>
        <v>1</v>
      </c>
      <c r="AB31" s="1902">
        <f t="shared" si="4"/>
        <v>1</v>
      </c>
      <c r="AC31" s="1902">
        <f t="shared" si="5"/>
        <v>1</v>
      </c>
    </row>
    <row r="32" spans="1:29" ht="15">
      <c r="A32" s="419" t="s">
        <v>2360</v>
      </c>
      <c r="B32" s="28" t="s">
        <v>2361</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2998" t="s">
        <v>2362</v>
      </c>
      <c r="Q32" s="1898" t="str">
        <f t="shared" si="8"/>
        <v>建筑类型</v>
      </c>
      <c r="R32" s="753" t="s">
        <v>28</v>
      </c>
      <c r="S32" s="754">
        <f t="shared" si="9"/>
        <v>100</v>
      </c>
      <c r="T32" s="753" t="s">
        <v>28</v>
      </c>
      <c r="U32" s="754">
        <f t="shared" si="10"/>
        <v>100</v>
      </c>
      <c r="V32" s="753" t="s">
        <v>28</v>
      </c>
      <c r="W32" s="754">
        <f t="shared" si="11"/>
        <v>100</v>
      </c>
      <c r="X32" s="1899"/>
      <c r="Y32" s="3001" t="s">
        <v>2362</v>
      </c>
      <c r="Z32" s="1901" t="str">
        <f t="shared" si="12"/>
        <v>建筑类型</v>
      </c>
      <c r="AA32" s="1902">
        <f t="shared" si="3"/>
        <v>1</v>
      </c>
      <c r="AB32" s="1902">
        <f t="shared" si="4"/>
        <v>1</v>
      </c>
      <c r="AC32" s="1902">
        <f t="shared" si="5"/>
        <v>1</v>
      </c>
    </row>
    <row r="33" spans="1:29" s="452" customFormat="1" ht="15">
      <c r="A33" s="449"/>
      <c r="B33" s="402" t="s">
        <v>2363</v>
      </c>
      <c r="C33" s="450">
        <f>'数据-取费表'!B5</f>
        <v>178.24</v>
      </c>
      <c r="D33" s="52">
        <v>100</v>
      </c>
      <c r="E33" s="410">
        <v>67.63</v>
      </c>
      <c r="F33" s="405">
        <f>LOOKUP(E33,103:103,104:104)-LOOKUP(C33,103:103,104:104)+100</f>
        <v>102</v>
      </c>
      <c r="G33" s="409">
        <v>67.63</v>
      </c>
      <c r="H33" s="52">
        <f>LOOKUP(G33,103:103,104:104)-LOOKUP(C33,103:103,104:104)+100</f>
        <v>102</v>
      </c>
      <c r="I33" s="410">
        <v>180.23</v>
      </c>
      <c r="J33" s="52">
        <f>LOOKUP(I33,103:103,104:104)-LOOKUP(C33,103:103,104:104)+100</f>
        <v>100</v>
      </c>
      <c r="K33" s="2397"/>
      <c r="L33" s="1250"/>
      <c r="M33" s="1253"/>
      <c r="N33" s="1253"/>
      <c r="O33" s="1253"/>
      <c r="P33" s="2999"/>
      <c r="Q33" s="755" t="str">
        <f t="shared" si="8"/>
        <v>项目建筑规模</v>
      </c>
      <c r="R33" s="756" t="s">
        <v>28</v>
      </c>
      <c r="S33" s="757">
        <f t="shared" si="9"/>
        <v>102</v>
      </c>
      <c r="T33" s="756" t="s">
        <v>28</v>
      </c>
      <c r="U33" s="757">
        <f t="shared" si="10"/>
        <v>102</v>
      </c>
      <c r="V33" s="756" t="s">
        <v>28</v>
      </c>
      <c r="W33" s="757">
        <f t="shared" si="11"/>
        <v>100</v>
      </c>
      <c r="X33" s="758"/>
      <c r="Y33" s="3001"/>
      <c r="Z33" s="759" t="str">
        <f t="shared" si="12"/>
        <v>项目建筑规模</v>
      </c>
      <c r="AA33" s="1902">
        <f t="shared" si="3"/>
        <v>0.98039215686274506</v>
      </c>
      <c r="AB33" s="1902">
        <f t="shared" si="4"/>
        <v>0.98039215686274506</v>
      </c>
      <c r="AC33" s="1902">
        <f t="shared" si="5"/>
        <v>1</v>
      </c>
    </row>
    <row r="34" spans="1:29" ht="15">
      <c r="A34" s="453"/>
      <c r="B34" s="402" t="s">
        <v>2364</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2999"/>
      <c r="Q34" s="1898" t="str">
        <f t="shared" si="8"/>
        <v>建筑结构</v>
      </c>
      <c r="R34" s="753" t="s">
        <v>28</v>
      </c>
      <c r="S34" s="754">
        <f t="shared" si="9"/>
        <v>100</v>
      </c>
      <c r="T34" s="753" t="s">
        <v>28</v>
      </c>
      <c r="U34" s="754">
        <f t="shared" si="10"/>
        <v>100</v>
      </c>
      <c r="V34" s="753" t="s">
        <v>28</v>
      </c>
      <c r="W34" s="754">
        <f t="shared" si="11"/>
        <v>100</v>
      </c>
      <c r="X34" s="1899"/>
      <c r="Y34" s="3001"/>
      <c r="Z34" s="1901" t="str">
        <f t="shared" si="12"/>
        <v>建筑结构</v>
      </c>
      <c r="AA34" s="1902">
        <f t="shared" si="3"/>
        <v>1</v>
      </c>
      <c r="AB34" s="1902">
        <f t="shared" si="4"/>
        <v>1</v>
      </c>
      <c r="AC34" s="1902">
        <f t="shared" si="5"/>
        <v>1</v>
      </c>
    </row>
    <row r="35" spans="1:29" ht="15">
      <c r="A35" s="453"/>
      <c r="B35" s="402" t="s">
        <v>2365</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2999"/>
      <c r="Q35" s="1898" t="str">
        <f t="shared" si="8"/>
        <v>建筑品质</v>
      </c>
      <c r="R35" s="753" t="s">
        <v>28</v>
      </c>
      <c r="S35" s="754">
        <f t="shared" si="9"/>
        <v>100</v>
      </c>
      <c r="T35" s="753" t="s">
        <v>28</v>
      </c>
      <c r="U35" s="754">
        <f t="shared" si="10"/>
        <v>100</v>
      </c>
      <c r="V35" s="753" t="s">
        <v>28</v>
      </c>
      <c r="W35" s="754">
        <f t="shared" si="11"/>
        <v>100</v>
      </c>
      <c r="X35" s="1899"/>
      <c r="Y35" s="3001"/>
      <c r="Z35" s="1901" t="str">
        <f t="shared" si="12"/>
        <v>建筑品质</v>
      </c>
      <c r="AA35" s="1902">
        <f t="shared" si="3"/>
        <v>1</v>
      </c>
      <c r="AB35" s="1902">
        <f t="shared" si="4"/>
        <v>1</v>
      </c>
      <c r="AC35" s="1902">
        <f t="shared" si="5"/>
        <v>1</v>
      </c>
    </row>
    <row r="36" spans="1:29" ht="15">
      <c r="A36" s="453"/>
      <c r="B36" s="402" t="s">
        <v>2366</v>
      </c>
      <c r="C36" s="2408" t="s">
        <v>2846</v>
      </c>
      <c r="D36" s="415">
        <v>100</v>
      </c>
      <c r="E36" s="2408" t="s">
        <v>2846</v>
      </c>
      <c r="F36" s="442">
        <f>SUMIF(109:109,E36,110:110)-SUMIF(109:109,C36,110:110)+100</f>
        <v>100</v>
      </c>
      <c r="G36" s="2408" t="s">
        <v>2846</v>
      </c>
      <c r="H36" s="415">
        <f>SUMIF(109:109,G36,110:110)-SUMIF(109:109,C36,110:110)+100</f>
        <v>100</v>
      </c>
      <c r="I36" s="2408" t="s">
        <v>2846</v>
      </c>
      <c r="J36" s="415">
        <f>SUMIF(109:109,I36,110:110)-SUMIF(109:109,C36,110:110)+100</f>
        <v>100</v>
      </c>
      <c r="K36" s="406"/>
      <c r="L36" s="1252"/>
      <c r="M36" s="1243"/>
      <c r="N36" s="1243"/>
      <c r="O36" s="1243"/>
      <c r="P36" s="2999"/>
      <c r="Q36" s="1898" t="str">
        <f t="shared" si="8"/>
        <v>公共部分装修</v>
      </c>
      <c r="R36" s="753" t="s">
        <v>28</v>
      </c>
      <c r="S36" s="754">
        <f t="shared" si="9"/>
        <v>100</v>
      </c>
      <c r="T36" s="753" t="s">
        <v>28</v>
      </c>
      <c r="U36" s="754">
        <f t="shared" si="10"/>
        <v>100</v>
      </c>
      <c r="V36" s="753" t="s">
        <v>28</v>
      </c>
      <c r="W36" s="754">
        <f t="shared" si="11"/>
        <v>100</v>
      </c>
      <c r="X36" s="1899"/>
      <c r="Y36" s="3001"/>
      <c r="Z36" s="1901" t="str">
        <f t="shared" si="12"/>
        <v>公共部分装修</v>
      </c>
      <c r="AA36" s="1902">
        <f t="shared" si="3"/>
        <v>1</v>
      </c>
      <c r="AB36" s="1902">
        <f t="shared" si="4"/>
        <v>1</v>
      </c>
      <c r="AC36" s="1902">
        <f t="shared" si="5"/>
        <v>1</v>
      </c>
    </row>
    <row r="37" spans="1:29" s="35" customFormat="1" ht="15">
      <c r="A37" s="454"/>
      <c r="B37" s="402" t="s">
        <v>2367</v>
      </c>
      <c r="C37" s="455">
        <f>'数据-取费表'!E20</f>
        <v>0.81699999999999995</v>
      </c>
      <c r="D37" s="52">
        <v>100</v>
      </c>
      <c r="E37" s="456">
        <f>C37</f>
        <v>0.81699999999999995</v>
      </c>
      <c r="F37" s="405">
        <f>LOOKUP(E37,112:112,113:113)-LOOKUP(C37,112:112,113:113)+100</f>
        <v>100</v>
      </c>
      <c r="G37" s="457">
        <f>C37</f>
        <v>0.81699999999999995</v>
      </c>
      <c r="H37" s="52">
        <f>LOOKUP(G37,112:112,113:113)-LOOKUP(C37,112:112,113:113)+100</f>
        <v>100</v>
      </c>
      <c r="I37" s="456">
        <f>C37</f>
        <v>0.81699999999999995</v>
      </c>
      <c r="J37" s="52">
        <f>LOOKUP(I37,112:112,113:113)-LOOKUP(C37,112:112,113:113)+100</f>
        <v>100</v>
      </c>
      <c r="K37" s="406"/>
      <c r="L37" s="1244"/>
      <c r="M37" s="1245"/>
      <c r="N37" s="1245"/>
      <c r="O37" s="1245"/>
      <c r="P37" s="2999"/>
      <c r="Q37" s="1886" t="str">
        <f t="shared" si="8"/>
        <v>成新度</v>
      </c>
      <c r="R37" s="749" t="s">
        <v>28</v>
      </c>
      <c r="S37" s="750">
        <f t="shared" si="9"/>
        <v>100</v>
      </c>
      <c r="T37" s="749" t="s">
        <v>28</v>
      </c>
      <c r="U37" s="750">
        <f t="shared" si="10"/>
        <v>100</v>
      </c>
      <c r="V37" s="749" t="s">
        <v>28</v>
      </c>
      <c r="W37" s="750">
        <f t="shared" si="11"/>
        <v>100</v>
      </c>
      <c r="X37" s="751"/>
      <c r="Y37" s="3001"/>
      <c r="Z37" s="23" t="str">
        <f t="shared" si="12"/>
        <v>成新度</v>
      </c>
      <c r="AA37" s="752">
        <f t="shared" si="3"/>
        <v>1</v>
      </c>
      <c r="AB37" s="752">
        <f t="shared" si="4"/>
        <v>1</v>
      </c>
      <c r="AC37" s="752">
        <f t="shared" si="5"/>
        <v>1</v>
      </c>
    </row>
    <row r="38" spans="1:29" ht="15">
      <c r="A38" s="453"/>
      <c r="B38" s="402" t="s">
        <v>2368</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2999" t="s">
        <v>2362</v>
      </c>
      <c r="Q38" s="1898" t="str">
        <f t="shared" si="8"/>
        <v>物业管理</v>
      </c>
      <c r="R38" s="753" t="s">
        <v>28</v>
      </c>
      <c r="S38" s="754">
        <f t="shared" si="9"/>
        <v>100</v>
      </c>
      <c r="T38" s="753" t="s">
        <v>28</v>
      </c>
      <c r="U38" s="754">
        <f t="shared" si="10"/>
        <v>100</v>
      </c>
      <c r="V38" s="753" t="s">
        <v>28</v>
      </c>
      <c r="W38" s="754">
        <f t="shared" si="11"/>
        <v>100</v>
      </c>
      <c r="X38" s="1899"/>
      <c r="Y38" s="3001" t="s">
        <v>2362</v>
      </c>
      <c r="Z38" s="1901" t="str">
        <f t="shared" si="12"/>
        <v>物业管理</v>
      </c>
      <c r="AA38" s="1902">
        <f t="shared" si="3"/>
        <v>1</v>
      </c>
      <c r="AB38" s="1902">
        <f t="shared" si="4"/>
        <v>1</v>
      </c>
      <c r="AC38" s="1902">
        <f t="shared" si="5"/>
        <v>1</v>
      </c>
    </row>
    <row r="39" spans="1:29" ht="15">
      <c r="A39" s="453"/>
      <c r="B39" s="402" t="s">
        <v>2369</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2999"/>
      <c r="Q39" s="1898" t="str">
        <f t="shared" si="8"/>
        <v>市政基础设施</v>
      </c>
      <c r="R39" s="753" t="s">
        <v>28</v>
      </c>
      <c r="S39" s="754">
        <f t="shared" si="9"/>
        <v>100</v>
      </c>
      <c r="T39" s="753" t="s">
        <v>28</v>
      </c>
      <c r="U39" s="754">
        <f t="shared" si="10"/>
        <v>100</v>
      </c>
      <c r="V39" s="753" t="s">
        <v>28</v>
      </c>
      <c r="W39" s="754">
        <f t="shared" si="11"/>
        <v>100</v>
      </c>
      <c r="X39" s="1899"/>
      <c r="Y39" s="3001"/>
      <c r="Z39" s="1901" t="str">
        <f t="shared" si="12"/>
        <v>市政基础设施</v>
      </c>
      <c r="AA39" s="1902">
        <f t="shared" si="3"/>
        <v>1</v>
      </c>
      <c r="AB39" s="1902">
        <f t="shared" si="4"/>
        <v>1</v>
      </c>
      <c r="AC39" s="1902">
        <f t="shared" si="5"/>
        <v>1</v>
      </c>
    </row>
    <row r="40" spans="1:29" ht="15">
      <c r="A40" s="453"/>
      <c r="B40" s="402" t="s">
        <v>2370</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2999"/>
      <c r="Q40" s="1898" t="str">
        <f t="shared" si="8"/>
        <v>房型</v>
      </c>
      <c r="R40" s="753" t="s">
        <v>28</v>
      </c>
      <c r="S40" s="754">
        <f t="shared" si="9"/>
        <v>100</v>
      </c>
      <c r="T40" s="753" t="s">
        <v>28</v>
      </c>
      <c r="U40" s="754">
        <f t="shared" si="10"/>
        <v>100</v>
      </c>
      <c r="V40" s="753" t="s">
        <v>28</v>
      </c>
      <c r="W40" s="754">
        <f t="shared" si="11"/>
        <v>100</v>
      </c>
      <c r="X40" s="1899"/>
      <c r="Y40" s="3001"/>
      <c r="Z40" s="1901" t="str">
        <f t="shared" si="12"/>
        <v>房型</v>
      </c>
      <c r="AA40" s="1902">
        <f t="shared" si="3"/>
        <v>1</v>
      </c>
      <c r="AB40" s="1902">
        <f t="shared" si="4"/>
        <v>1</v>
      </c>
      <c r="AC40" s="1902">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2999"/>
      <c r="Q41" s="755" t="str">
        <f t="shared" si="8"/>
        <v>单套/主力户型建筑面积</v>
      </c>
      <c r="R41" s="756" t="s">
        <v>28</v>
      </c>
      <c r="S41" s="757">
        <f t="shared" si="9"/>
        <v>100</v>
      </c>
      <c r="T41" s="756" t="s">
        <v>28</v>
      </c>
      <c r="U41" s="757">
        <f t="shared" si="10"/>
        <v>100</v>
      </c>
      <c r="V41" s="756" t="s">
        <v>28</v>
      </c>
      <c r="W41" s="757">
        <f t="shared" si="11"/>
        <v>100</v>
      </c>
      <c r="X41" s="758"/>
      <c r="Y41" s="3001"/>
      <c r="Z41" s="759" t="str">
        <f t="shared" si="12"/>
        <v>单套/主力户型建筑面积</v>
      </c>
      <c r="AA41" s="1902">
        <f t="shared" si="3"/>
        <v>1</v>
      </c>
      <c r="AB41" s="1902">
        <f t="shared" si="4"/>
        <v>1</v>
      </c>
      <c r="AC41" s="1902">
        <f t="shared" si="5"/>
        <v>1</v>
      </c>
    </row>
    <row r="42" spans="1:29" ht="15">
      <c r="A42" s="453"/>
      <c r="B42" s="402" t="s">
        <v>2372</v>
      </c>
      <c r="C42" s="2408" t="s">
        <v>2846</v>
      </c>
      <c r="D42" s="415">
        <v>100</v>
      </c>
      <c r="E42" s="2407" t="s">
        <v>2846</v>
      </c>
      <c r="F42" s="442">
        <f>SUMIF(122:122,E42,123:123)-SUMIF(122:122,C42,123:123)+100</f>
        <v>100</v>
      </c>
      <c r="G42" s="2407" t="s">
        <v>2846</v>
      </c>
      <c r="H42" s="415">
        <f>SUMIF(122:122,G42,123:123)-SUMIF(122:122,C42,123:123)+100</f>
        <v>100</v>
      </c>
      <c r="I42" s="2407" t="s">
        <v>2846</v>
      </c>
      <c r="J42" s="415">
        <f>SUMIF(122:122,I42,123:123)-SUMIF(122:122,C42,123:123)+100</f>
        <v>100</v>
      </c>
      <c r="K42" s="406"/>
      <c r="L42" s="1252"/>
      <c r="M42" s="1243"/>
      <c r="N42" s="1243"/>
      <c r="O42" s="1243"/>
      <c r="P42" s="2999"/>
      <c r="Q42" s="1898" t="str">
        <f t="shared" si="8"/>
        <v>内部装修</v>
      </c>
      <c r="R42" s="753" t="s">
        <v>28</v>
      </c>
      <c r="S42" s="754">
        <f t="shared" si="9"/>
        <v>100</v>
      </c>
      <c r="T42" s="753" t="s">
        <v>28</v>
      </c>
      <c r="U42" s="754">
        <f t="shared" si="10"/>
        <v>100</v>
      </c>
      <c r="V42" s="753" t="s">
        <v>28</v>
      </c>
      <c r="W42" s="754">
        <f t="shared" si="11"/>
        <v>100</v>
      </c>
      <c r="X42" s="1899"/>
      <c r="Y42" s="3001"/>
      <c r="Z42" s="1901" t="str">
        <f t="shared" si="12"/>
        <v>内部装修</v>
      </c>
      <c r="AA42" s="1902">
        <f t="shared" si="3"/>
        <v>1</v>
      </c>
      <c r="AB42" s="1902">
        <f t="shared" si="4"/>
        <v>1</v>
      </c>
      <c r="AC42" s="1902">
        <f t="shared" si="5"/>
        <v>1</v>
      </c>
    </row>
    <row r="43" spans="1:29" ht="15.75" thickBot="1">
      <c r="A43" s="453"/>
      <c r="B43" s="402" t="s">
        <v>2373</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2999"/>
      <c r="Q43" s="1898" t="str">
        <f t="shared" si="8"/>
        <v>内部装修维护情况</v>
      </c>
      <c r="R43" s="753" t="s">
        <v>28</v>
      </c>
      <c r="S43" s="754">
        <f t="shared" si="9"/>
        <v>100</v>
      </c>
      <c r="T43" s="753" t="s">
        <v>28</v>
      </c>
      <c r="U43" s="754">
        <f t="shared" si="10"/>
        <v>100</v>
      </c>
      <c r="V43" s="753" t="s">
        <v>28</v>
      </c>
      <c r="W43" s="754">
        <f t="shared" si="11"/>
        <v>100</v>
      </c>
      <c r="X43" s="1899"/>
      <c r="Y43" s="3001"/>
      <c r="Z43" s="1901" t="str">
        <f t="shared" si="12"/>
        <v>内部装修维护情况</v>
      </c>
      <c r="AA43" s="1902">
        <f t="shared" si="3"/>
        <v>1</v>
      </c>
      <c r="AB43" s="1902">
        <f t="shared" si="4"/>
        <v>1</v>
      </c>
      <c r="AC43" s="1902">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2999"/>
      <c r="Q44" s="1886">
        <f t="shared" si="8"/>
        <v>111</v>
      </c>
      <c r="R44" s="749" t="s">
        <v>28</v>
      </c>
      <c r="S44" s="750">
        <f t="shared" si="9"/>
        <v>100</v>
      </c>
      <c r="T44" s="749" t="s">
        <v>28</v>
      </c>
      <c r="U44" s="750">
        <f t="shared" si="10"/>
        <v>100</v>
      </c>
      <c r="V44" s="749" t="s">
        <v>28</v>
      </c>
      <c r="W44" s="750">
        <f t="shared" si="11"/>
        <v>100</v>
      </c>
      <c r="X44" s="751"/>
      <c r="Y44" s="3001"/>
      <c r="Z44" s="23">
        <f t="shared" si="12"/>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2999"/>
      <c r="Q45" s="1898">
        <f t="shared" si="8"/>
        <v>111</v>
      </c>
      <c r="R45" s="753" t="s">
        <v>28</v>
      </c>
      <c r="S45" s="754">
        <f t="shared" si="9"/>
        <v>100</v>
      </c>
      <c r="T45" s="753" t="s">
        <v>28</v>
      </c>
      <c r="U45" s="754">
        <f t="shared" si="10"/>
        <v>100</v>
      </c>
      <c r="V45" s="753" t="s">
        <v>28</v>
      </c>
      <c r="W45" s="754">
        <f t="shared" si="11"/>
        <v>100</v>
      </c>
      <c r="X45" s="1899"/>
      <c r="Y45" s="3001"/>
      <c r="Z45" s="1901">
        <f t="shared" si="12"/>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00"/>
      <c r="Q46" s="1898">
        <f t="shared" si="8"/>
        <v>111</v>
      </c>
      <c r="R46" s="753" t="s">
        <v>27</v>
      </c>
      <c r="S46" s="754">
        <f t="shared" si="9"/>
        <v>100</v>
      </c>
      <c r="T46" s="753" t="s">
        <v>27</v>
      </c>
      <c r="U46" s="754">
        <f t="shared" si="10"/>
        <v>100</v>
      </c>
      <c r="V46" s="753" t="s">
        <v>27</v>
      </c>
      <c r="W46" s="754">
        <f t="shared" si="11"/>
        <v>100</v>
      </c>
      <c r="X46" s="1899"/>
      <c r="Y46" s="3002"/>
      <c r="Z46" s="1901">
        <f t="shared" si="12"/>
        <v>111</v>
      </c>
      <c r="AA46" s="1902">
        <f t="shared" si="3"/>
        <v>1</v>
      </c>
      <c r="AB46" s="1902">
        <f t="shared" si="4"/>
        <v>1</v>
      </c>
      <c r="AC46" s="1902">
        <f t="shared" si="5"/>
        <v>1</v>
      </c>
    </row>
    <row r="47" spans="1:29" ht="15">
      <c r="A47" s="460" t="s">
        <v>2374</v>
      </c>
      <c r="B47" s="461"/>
      <c r="C47" s="1501" t="s">
        <v>26</v>
      </c>
      <c r="D47" s="1502"/>
      <c r="E47" s="1503">
        <v>105649</v>
      </c>
      <c r="F47" s="1504"/>
      <c r="G47" s="1505">
        <v>105871</v>
      </c>
      <c r="H47" s="1506"/>
      <c r="I47" s="1503">
        <f>ROUND(104264*0.97,0)</f>
        <v>101136</v>
      </c>
      <c r="J47" s="1506"/>
      <c r="K47" s="2414"/>
      <c r="L47" s="1255"/>
      <c r="M47" s="1256"/>
      <c r="N47" s="1243"/>
      <c r="O47" s="1256"/>
      <c r="P47" s="3007" t="str">
        <f>A47</f>
        <v>成交单价（元/平方米）</v>
      </c>
      <c r="Q47" s="3007"/>
      <c r="R47" s="3008">
        <f>E47</f>
        <v>105649</v>
      </c>
      <c r="S47" s="3008"/>
      <c r="T47" s="3008">
        <f>G47</f>
        <v>105871</v>
      </c>
      <c r="U47" s="3008"/>
      <c r="V47" s="3008">
        <f>I47</f>
        <v>101136</v>
      </c>
      <c r="W47" s="3008"/>
      <c r="X47" s="738"/>
      <c r="Y47" s="760"/>
      <c r="Z47" s="738"/>
      <c r="AA47" s="738"/>
      <c r="AB47" s="738"/>
      <c r="AC47" s="738"/>
    </row>
    <row r="48" spans="1:29" ht="15.75" thickBot="1">
      <c r="A48" s="467" t="s">
        <v>2375</v>
      </c>
      <c r="B48" s="468"/>
      <c r="C48" s="1507">
        <f>R49</f>
        <v>103615</v>
      </c>
      <c r="D48" s="1508"/>
      <c r="E48" s="1509">
        <f>R48</f>
        <v>100658</v>
      </c>
      <c r="F48" s="1509"/>
      <c r="G48" s="1507">
        <f>T48</f>
        <v>105924</v>
      </c>
      <c r="H48" s="1508"/>
      <c r="I48" s="1509">
        <f>V48</f>
        <v>104264</v>
      </c>
      <c r="J48" s="1508"/>
      <c r="K48" s="2415"/>
      <c r="L48" s="1255"/>
      <c r="M48" s="1256"/>
      <c r="N48" s="1256"/>
      <c r="O48" s="1256"/>
      <c r="P48" s="3007" t="str">
        <f>A48</f>
        <v>比较价值（元/平方米）</v>
      </c>
      <c r="Q48" s="3007"/>
      <c r="R48" s="3008">
        <f>IF(E1="售价",ROUND(PRODUCT(R47,AA7:AA46),0),ROUND(PRODUCT(R47,AA7:AA46),1))</f>
        <v>100658</v>
      </c>
      <c r="S48" s="3008"/>
      <c r="T48" s="3011">
        <f>IF(E1="售价",ROUND(PRODUCT(T47,AB7:AB46),0),ROUND(PRODUCT(T47,AB7:AB46),1))</f>
        <v>105924</v>
      </c>
      <c r="U48" s="3012"/>
      <c r="V48" s="3008">
        <f>IF(E1="售价",ROUND(PRODUCT(V47,AC7:AC46),0),ROUND(PRODUCT(V47,AC7:AC46),1))</f>
        <v>104264</v>
      </c>
      <c r="W48" s="3008"/>
      <c r="X48" s="738"/>
      <c r="Y48" s="738"/>
      <c r="Z48" s="738"/>
      <c r="AA48" s="738"/>
      <c r="AB48" s="738"/>
      <c r="AC48" s="738"/>
    </row>
    <row r="49" spans="1:29" ht="15.75" thickBot="1">
      <c r="A49" s="473" t="s">
        <v>2376</v>
      </c>
      <c r="B49" s="474"/>
      <c r="C49" s="1510">
        <f>R49</f>
        <v>103615</v>
      </c>
      <c r="D49" s="1511"/>
      <c r="E49" s="1511"/>
      <c r="F49" s="1511"/>
      <c r="G49" s="1511"/>
      <c r="H49" s="1511"/>
      <c r="I49" s="1511"/>
      <c r="J49" s="1511"/>
      <c r="K49" s="2416"/>
      <c r="L49" s="1255"/>
      <c r="M49" s="1256"/>
      <c r="N49" s="1256"/>
      <c r="O49" s="1256"/>
      <c r="P49" s="3013" t="str">
        <f>A49</f>
        <v>估价对象XX用房的比较价值（楼面单价，元/平方米）</v>
      </c>
      <c r="Q49" s="3014"/>
      <c r="R49" s="3015">
        <f>IF(E1="售价",ROUND(AVERAGE(R48:V48),0),ROUND(AVERAGE(R48:V48),1))</f>
        <v>103615</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2377</v>
      </c>
      <c r="D52" s="479"/>
      <c r="E52" s="480">
        <f>IF(E47&lt;E48,E48/E47-1,E47/E48-1)</f>
        <v>4.9583738997397209E-2</v>
      </c>
      <c r="F52" s="481" t="str">
        <f>IF(OR(E52&gt;=0.3,E52&lt;=-0.3),"超过30%","")</f>
        <v/>
      </c>
      <c r="G52" s="480">
        <f>IF(G47&lt;G48,G48/G47-1,G47/G48-1)</f>
        <v>5.0060923198991247E-4</v>
      </c>
      <c r="H52" s="481" t="str">
        <f>IF(OR(G52&gt;=0.3,G52&lt;=-0.3),"超过30%","")</f>
        <v/>
      </c>
      <c r="I52" s="480">
        <f>IF(I47&lt;I48,I48/I47-1,I47/I48-1)</f>
        <v>3.0928650529979507E-2</v>
      </c>
      <c r="J52" s="481" t="str">
        <f>IF(OR(I52&gt;=0.3,I52&lt;=-0.3),"超过30%","")</f>
        <v/>
      </c>
      <c r="K52" s="1261"/>
      <c r="L52" s="1257"/>
      <c r="M52" s="1256"/>
      <c r="N52" s="1256"/>
      <c r="O52" s="1256"/>
    </row>
    <row r="53" spans="1:29" ht="13.5" customHeight="1">
      <c r="A53" s="1256"/>
      <c r="B53" s="1256"/>
      <c r="C53" s="478" t="s">
        <v>2378</v>
      </c>
      <c r="D53" s="482"/>
      <c r="E53" s="480">
        <f>IF(E48&lt;G48,G48/E48-1,E48/G48-1)</f>
        <v>5.231576228417012E-2</v>
      </c>
      <c r="F53" s="481" t="str">
        <f>IF(OR(E53&gt;=0.2,E53&lt;=-0.2),"超过20%","")</f>
        <v/>
      </c>
      <c r="G53" s="480">
        <f>IF(G48&lt;I48,I48/G48-1,G48/I48-1)</f>
        <v>1.5921123302386153E-2</v>
      </c>
      <c r="H53" s="481" t="str">
        <f>IF(OR(G53&gt;=0.2,G53&lt;=-0.2),"超过20%","")</f>
        <v/>
      </c>
      <c r="I53" s="480">
        <f>IF(I48&lt;E48,E48/I48-1,I48/E48-1)</f>
        <v>3.5824276262194754E-2</v>
      </c>
      <c r="J53" s="481" t="str">
        <f>IF(OR(I53&gt;=0.2,I53&lt;=-0.2),"超过20%","")</f>
        <v/>
      </c>
      <c r="K53" s="1261"/>
      <c r="L53" s="1257"/>
      <c r="M53" s="1256"/>
      <c r="N53" s="1256"/>
      <c r="O53" s="1256"/>
    </row>
    <row r="54" spans="1:29" s="483" customFormat="1" ht="13.5" customHeight="1">
      <c r="A54" s="1258"/>
      <c r="B54" s="1258"/>
      <c r="C54" s="478" t="s">
        <v>2379</v>
      </c>
      <c r="D54" s="482"/>
      <c r="E54" s="480">
        <f>IF(E47&lt;G47,G47/E47-1,E47/G47-1)</f>
        <v>2.1012976933052485E-3</v>
      </c>
      <c r="F54" s="481" t="str">
        <f>IF(OR(E54&gt;=0.3,E54&lt;=-0.3),"超过30%","")</f>
        <v/>
      </c>
      <c r="G54" s="480">
        <f>IF(G47&lt;I47,I47/G47-1,G47/I47-1)</f>
        <v>4.6818145862996374E-2</v>
      </c>
      <c r="H54" s="481" t="str">
        <f>IF(OR(G54&gt;=0.3,G54&lt;=-0.3),"超过30%","")</f>
        <v/>
      </c>
      <c r="I54" s="480">
        <f>IF(I47&lt;E47,E47/I47-1,I47/E47-1)</f>
        <v>4.4623081790855945E-2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2380</v>
      </c>
      <c r="B57" s="738"/>
      <c r="C57" s="743"/>
      <c r="D57" s="743"/>
      <c r="E57" s="743"/>
      <c r="F57" s="744"/>
      <c r="G57" s="744"/>
      <c r="H57" s="743"/>
      <c r="I57" s="743"/>
      <c r="J57" s="743"/>
      <c r="K57" s="745"/>
      <c r="L57" s="746"/>
      <c r="M57" s="743"/>
      <c r="N57" s="743"/>
      <c r="O57" s="743"/>
      <c r="P57" s="2419"/>
      <c r="Q57" s="485"/>
    </row>
    <row r="58" spans="1:29" s="489" customFormat="1" ht="15">
      <c r="A58" s="486" t="s">
        <v>2381</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v>96</v>
      </c>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2383</v>
      </c>
      <c r="B61" s="491"/>
      <c r="C61" s="503" t="s">
        <v>2384</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7"/>
      <c r="O66" s="1267"/>
      <c r="P66" s="2423"/>
      <c r="Q66" s="485"/>
    </row>
    <row r="67" spans="1:17" ht="15.75" thickTop="1">
      <c r="A67" s="516"/>
      <c r="B67" s="529" t="s">
        <v>2354</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7"/>
      <c r="O67" s="1267"/>
      <c r="P67" s="2423"/>
      <c r="Q67" s="485"/>
    </row>
    <row r="68" spans="1:17" ht="15">
      <c r="A68" s="516"/>
      <c r="B68" s="531"/>
      <c r="C68" s="532">
        <v>0</v>
      </c>
      <c r="D68" s="532">
        <v>1</v>
      </c>
      <c r="E68" s="532">
        <v>2</v>
      </c>
      <c r="F68" s="532">
        <v>3</v>
      </c>
      <c r="G68" s="532">
        <v>4</v>
      </c>
      <c r="H68" s="532">
        <v>5</v>
      </c>
      <c r="I68" s="532">
        <v>6</v>
      </c>
      <c r="J68" s="532">
        <v>7</v>
      </c>
      <c r="K68" s="533">
        <v>8</v>
      </c>
      <c r="L68" s="533">
        <v>9</v>
      </c>
      <c r="M68" s="535">
        <v>10</v>
      </c>
      <c r="N68" s="1266"/>
      <c r="O68" s="1266"/>
      <c r="P68" s="2423"/>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1742</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2407</v>
      </c>
      <c r="C86" s="537">
        <v>3</v>
      </c>
      <c r="D86" s="537">
        <v>4</v>
      </c>
      <c r="E86" s="537">
        <v>5</v>
      </c>
      <c r="F86" s="537">
        <v>6</v>
      </c>
      <c r="G86" s="537">
        <v>7</v>
      </c>
      <c r="H86" s="537">
        <v>8</v>
      </c>
      <c r="I86" s="537">
        <v>9</v>
      </c>
      <c r="J86" s="537">
        <v>10</v>
      </c>
      <c r="K86" s="537">
        <v>11</v>
      </c>
      <c r="L86" s="564"/>
      <c r="M86" s="565"/>
      <c r="N86" s="1265"/>
      <c r="O86" s="1265"/>
      <c r="P86" s="2423"/>
      <c r="Q86" s="485"/>
    </row>
    <row r="87" spans="1:17" s="35" customFormat="1" ht="15.75" thickBot="1">
      <c r="A87" s="563"/>
      <c r="B87" s="526"/>
      <c r="C87" s="566">
        <v>100</v>
      </c>
      <c r="D87" s="527">
        <f t="shared" ref="D87:M87" si="17">$C$87-($C$86-D86)*$K$25</f>
        <v>101</v>
      </c>
      <c r="E87" s="527">
        <f t="shared" si="17"/>
        <v>102</v>
      </c>
      <c r="F87" s="527">
        <f t="shared" si="17"/>
        <v>103</v>
      </c>
      <c r="G87" s="527">
        <f t="shared" si="17"/>
        <v>104</v>
      </c>
      <c r="H87" s="527">
        <f t="shared" si="17"/>
        <v>105</v>
      </c>
      <c r="I87" s="527">
        <f t="shared" si="17"/>
        <v>106</v>
      </c>
      <c r="J87" s="527">
        <f t="shared" si="17"/>
        <v>107</v>
      </c>
      <c r="K87" s="527">
        <f t="shared" si="17"/>
        <v>108</v>
      </c>
      <c r="L87" s="527">
        <f t="shared" si="17"/>
        <v>97</v>
      </c>
      <c r="M87" s="527">
        <f t="shared" si="17"/>
        <v>97</v>
      </c>
      <c r="N87" s="1267"/>
      <c r="O87" s="1267"/>
      <c r="P87" s="2423"/>
      <c r="Q87" s="485"/>
    </row>
    <row r="88" spans="1:17" s="35" customFormat="1" ht="15.75" thickTop="1">
      <c r="A88" s="563"/>
      <c r="B88" s="521" t="s">
        <v>2408</v>
      </c>
      <c r="C88" s="2742" t="s">
        <v>2839</v>
      </c>
      <c r="D88" s="2742" t="s">
        <v>2840</v>
      </c>
      <c r="E88" s="2742" t="s">
        <v>2841</v>
      </c>
      <c r="F88" s="2743" t="s">
        <v>2842</v>
      </c>
      <c r="G88" s="2742" t="s">
        <v>2844</v>
      </c>
      <c r="H88" s="537"/>
      <c r="I88" s="537"/>
      <c r="J88" s="537"/>
      <c r="K88" s="537"/>
      <c r="L88" s="537"/>
      <c r="M88" s="565"/>
      <c r="N88" s="1265"/>
      <c r="O88" s="1265"/>
      <c r="P88" s="2423"/>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2360</v>
      </c>
      <c r="B100" s="509" t="s">
        <v>2409</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7"/>
      <c r="O101" s="1267"/>
      <c r="P101" s="2423"/>
      <c r="Q101" s="485"/>
    </row>
    <row r="102" spans="1:17" ht="15.75" thickTop="1">
      <c r="A102" s="516"/>
      <c r="B102" s="521" t="s">
        <v>2410</v>
      </c>
      <c r="C102" s="562" t="str">
        <f>C103&amp;"(含)"&amp;"-"&amp;D103</f>
        <v>0(含)-150</v>
      </c>
      <c r="D102" s="562" t="str">
        <f t="shared" ref="D102:L102" si="20">D103&amp;"(含)"&amp;"-"&amp;E103</f>
        <v>150(含)-300</v>
      </c>
      <c r="E102" s="562" t="str">
        <f t="shared" si="20"/>
        <v>300(含)-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5"/>
      <c r="O102" s="1265"/>
      <c r="P102" s="2423"/>
      <c r="Q102" s="485"/>
    </row>
    <row r="103" spans="1:17" s="452" customFormat="1">
      <c r="A103" s="577"/>
      <c r="B103" s="578"/>
      <c r="C103" s="579">
        <v>0</v>
      </c>
      <c r="D103" s="579">
        <v>150</v>
      </c>
      <c r="E103" s="579">
        <v>300</v>
      </c>
      <c r="F103" s="579"/>
      <c r="G103" s="579"/>
      <c r="H103" s="579"/>
      <c r="I103" s="579"/>
      <c r="J103" s="580"/>
      <c r="K103" s="580"/>
      <c r="L103" s="581"/>
      <c r="M103" s="582"/>
      <c r="N103" s="1268"/>
      <c r="O103" s="1268"/>
      <c r="P103" s="2424"/>
      <c r="Q103" s="543"/>
    </row>
    <row r="104" spans="1:17" s="452" customFormat="1" ht="15.75" thickBot="1">
      <c r="A104" s="536"/>
      <c r="B104" s="526"/>
      <c r="C104" s="544">
        <v>100</v>
      </c>
      <c r="D104" s="518">
        <v>98</v>
      </c>
      <c r="E104" s="518">
        <v>96</v>
      </c>
      <c r="F104" s="518"/>
      <c r="G104" s="518"/>
      <c r="H104" s="518"/>
      <c r="I104" s="518"/>
      <c r="J104" s="518"/>
      <c r="K104" s="518"/>
      <c r="L104" s="518"/>
      <c r="M104" s="518"/>
      <c r="N104" s="1267"/>
      <c r="O104" s="1267"/>
      <c r="P104" s="2424"/>
      <c r="Q104" s="543"/>
    </row>
    <row r="105" spans="1:17" ht="15" thickTop="1">
      <c r="A105" s="583"/>
      <c r="B105" s="521" t="s">
        <v>2411</v>
      </c>
      <c r="C105" s="2742" t="s">
        <v>2850</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7"/>
      <c r="O106" s="1267"/>
      <c r="P106" s="2423"/>
      <c r="Q106" s="485"/>
    </row>
    <row r="107" spans="1:17" ht="15" thickTop="1">
      <c r="A107" s="583"/>
      <c r="B107" s="521" t="s">
        <v>2412</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7"/>
      <c r="O108" s="1267"/>
      <c r="P108" s="2423"/>
      <c r="Q108" s="485"/>
    </row>
    <row r="109" spans="1:17" ht="15" thickTop="1">
      <c r="A109" s="583"/>
      <c r="B109" s="521" t="s">
        <v>2413</v>
      </c>
      <c r="C109" s="2742" t="s">
        <v>2845</v>
      </c>
      <c r="D109" s="2742" t="s">
        <v>2847</v>
      </c>
      <c r="E109" s="2742" t="s">
        <v>2848</v>
      </c>
      <c r="F109" s="2744" t="s">
        <v>2849</v>
      </c>
      <c r="G109" s="567"/>
      <c r="H109" s="567"/>
      <c r="I109" s="567"/>
      <c r="J109" s="567"/>
      <c r="K109" s="568"/>
      <c r="L109" s="569"/>
      <c r="M109" s="570"/>
      <c r="N109" s="1266"/>
      <c r="O109" s="1266"/>
      <c r="P109" s="2423"/>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7"/>
      <c r="O110" s="1267"/>
      <c r="P110" s="2423"/>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7"/>
      <c r="O115" s="1267"/>
      <c r="P115" s="2423"/>
      <c r="Q115" s="485"/>
    </row>
    <row r="116" spans="1:17" ht="15" thickTop="1">
      <c r="A116" s="583"/>
      <c r="B116" s="521" t="s">
        <v>2416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2417</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7"/>
      <c r="O119" s="1267"/>
      <c r="P119" s="2423"/>
      <c r="Q119" s="485"/>
    </row>
    <row r="120" spans="1:17" s="452" customFormat="1" ht="28.5" thickTop="1">
      <c r="A120" s="577"/>
      <c r="B120" s="521" t="s">
        <v>2371</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2418</v>
      </c>
      <c r="C122" s="2742" t="s">
        <v>2845</v>
      </c>
      <c r="D122" s="2742" t="s">
        <v>2847</v>
      </c>
      <c r="E122" s="2742" t="s">
        <v>2848</v>
      </c>
      <c r="F122" s="2744" t="s">
        <v>2849</v>
      </c>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2420</v>
      </c>
    </row>
    <row r="137" spans="1:17" ht="15">
      <c r="B137" s="2431" t="s">
        <v>2421</v>
      </c>
      <c r="C137" s="2432"/>
      <c r="D137" s="2432"/>
      <c r="E137" s="2432"/>
      <c r="F137" s="2432"/>
      <c r="G137" s="2433"/>
      <c r="H137" s="2434"/>
      <c r="I137" s="2435" t="s">
        <v>2422</v>
      </c>
      <c r="J137" s="2432"/>
      <c r="K137" s="2436"/>
    </row>
    <row r="138" spans="1:17" ht="15">
      <c r="B138" s="2437"/>
      <c r="C138" s="62" t="s">
        <v>2423</v>
      </c>
      <c r="D138" s="62" t="s">
        <v>2424</v>
      </c>
      <c r="E138" s="2438" t="s">
        <v>2425</v>
      </c>
      <c r="F138" s="2439" t="s">
        <v>2426</v>
      </c>
      <c r="G138" s="62" t="s">
        <v>2424</v>
      </c>
      <c r="H138" s="63" t="s">
        <v>2425</v>
      </c>
      <c r="I138" s="2440"/>
      <c r="J138" s="62" t="s">
        <v>2427</v>
      </c>
      <c r="K138" s="63" t="s">
        <v>2428</v>
      </c>
    </row>
    <row r="139" spans="1:17" ht="15">
      <c r="B139" s="1124">
        <v>6</v>
      </c>
      <c r="C139" s="1132">
        <v>96</v>
      </c>
      <c r="D139" s="2441" t="s">
        <v>2429</v>
      </c>
      <c r="E139" s="1133">
        <v>100</v>
      </c>
      <c r="F139" s="1134">
        <v>102.5</v>
      </c>
      <c r="G139" s="2441" t="s">
        <v>2429</v>
      </c>
      <c r="H139" s="1135">
        <v>105</v>
      </c>
      <c r="I139" s="2442" t="s">
        <v>2430</v>
      </c>
      <c r="J139" s="1132">
        <v>20</v>
      </c>
      <c r="K139" s="1126">
        <f>C145/(J139-2)</f>
        <v>4.0555555555555553E-3</v>
      </c>
    </row>
    <row r="140" spans="1:17" ht="15">
      <c r="B140" s="1125">
        <v>5</v>
      </c>
      <c r="C140" s="1136">
        <v>100</v>
      </c>
      <c r="D140" s="1136"/>
      <c r="E140" s="1137"/>
      <c r="F140" s="1138">
        <v>102</v>
      </c>
      <c r="G140" s="1136"/>
      <c r="H140" s="1139"/>
      <c r="I140" s="2443" t="s">
        <v>2431</v>
      </c>
      <c r="J140" s="217">
        <f>ROUNDUP((J139-1)/2,0)</f>
        <v>10</v>
      </c>
      <c r="K140" s="1127">
        <v>100</v>
      </c>
    </row>
    <row r="141" spans="1:17" ht="15">
      <c r="B141" s="1125">
        <v>4</v>
      </c>
      <c r="C141" s="1136">
        <v>102</v>
      </c>
      <c r="D141" s="1136"/>
      <c r="E141" s="1137"/>
      <c r="F141" s="1138">
        <v>101.5</v>
      </c>
      <c r="G141" s="1136"/>
      <c r="H141" s="1139"/>
      <c r="I141" s="2443" t="s">
        <v>2432</v>
      </c>
      <c r="J141" s="217">
        <v>1</v>
      </c>
      <c r="K141" s="1128">
        <f>ROUND(100+(J141-J140)*K139*100,1)</f>
        <v>96.4</v>
      </c>
    </row>
    <row r="142" spans="1:17" ht="15">
      <c r="B142" s="1125">
        <v>3</v>
      </c>
      <c r="C142" s="1136">
        <v>103</v>
      </c>
      <c r="D142" s="1136"/>
      <c r="E142" s="1137"/>
      <c r="F142" s="1138">
        <v>101</v>
      </c>
      <c r="G142" s="1136"/>
      <c r="H142" s="1139"/>
      <c r="I142" s="2443" t="s">
        <v>2433</v>
      </c>
      <c r="J142" s="217">
        <f>J139</f>
        <v>20</v>
      </c>
      <c r="K142" s="1141">
        <v>95</v>
      </c>
    </row>
    <row r="143" spans="1:17" ht="15">
      <c r="B143" s="1125">
        <v>2</v>
      </c>
      <c r="C143" s="1136">
        <v>100</v>
      </c>
      <c r="D143" s="1136"/>
      <c r="E143" s="1137"/>
      <c r="F143" s="1138">
        <v>100.5</v>
      </c>
      <c r="G143" s="1136"/>
      <c r="H143" s="1139"/>
      <c r="I143" s="2443" t="s">
        <v>2434</v>
      </c>
      <c r="J143" s="1136">
        <v>15</v>
      </c>
      <c r="K143" s="1128">
        <f>ROUND(100+(J143-J140)*K139*100,1)</f>
        <v>102</v>
      </c>
    </row>
    <row r="144" spans="1:17" ht="15">
      <c r="B144" s="1125">
        <v>1</v>
      </c>
      <c r="C144" s="1136">
        <v>98</v>
      </c>
      <c r="D144" s="2444" t="s">
        <v>2435</v>
      </c>
      <c r="E144" s="1137">
        <v>102</v>
      </c>
      <c r="F144" s="1140">
        <v>100</v>
      </c>
      <c r="G144" s="2444" t="s">
        <v>2435</v>
      </c>
      <c r="H144" s="1139">
        <v>105</v>
      </c>
      <c r="I144" s="2443" t="s">
        <v>2434</v>
      </c>
      <c r="J144" s="1136">
        <v>18</v>
      </c>
      <c r="K144" s="1128">
        <f>ROUND(100+(J144-J140)*K139*100,1)</f>
        <v>103.2</v>
      </c>
    </row>
    <row r="145" spans="2:11" ht="15.75" thickBot="1">
      <c r="B145" s="2445" t="s">
        <v>2436</v>
      </c>
      <c r="C145" s="1130">
        <f>ROUND(MAX(C139:C144)/MIN(C139:C144)-1,3)</f>
        <v>7.2999999999999995E-2</v>
      </c>
      <c r="D145" s="1131"/>
      <c r="E145" s="1131"/>
      <c r="F145" s="2446" t="s">
        <v>2437</v>
      </c>
      <c r="G145" s="2447"/>
      <c r="H145" s="2448"/>
      <c r="I145" s="2449" t="s">
        <v>2434</v>
      </c>
      <c r="J145" s="1142">
        <v>8</v>
      </c>
      <c r="K145" s="1129">
        <f>ROUND(100+(J145-J140)*K139*100,1)</f>
        <v>99.2</v>
      </c>
    </row>
    <row r="147" spans="2:11">
      <c r="B147" s="2430" t="s">
        <v>2438</v>
      </c>
    </row>
    <row r="148" spans="2:11">
      <c r="B148" s="2430"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8" sqref="G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1997</v>
      </c>
      <c r="B1" s="1320"/>
      <c r="C1" s="162"/>
      <c r="D1" s="162"/>
      <c r="E1" s="162"/>
      <c r="F1" s="162"/>
      <c r="G1" s="163"/>
    </row>
    <row r="2" spans="1:7" s="164" customFormat="1" ht="18" customHeight="1">
      <c r="A2" s="165" t="s">
        <v>1998</v>
      </c>
      <c r="B2" s="166">
        <f ca="1">IF(D2="——",IF(C2="元",C52,ROUND(C52/10000,0)),IF(C2="元",C52,ROUND(C52/10000,0))-E2)</f>
        <v>1093</v>
      </c>
      <c r="C2" s="163" t="str">
        <f>'数据-取费表'!B3</f>
        <v>万元</v>
      </c>
      <c r="D2" s="2330" t="s">
        <v>1253</v>
      </c>
      <c r="E2" s="1545" t="e">
        <f ca="1">SUMIF(INDIRECT("'"&amp;G2&amp;"'"&amp;"!A:A"),"承租人权益价值",INDIRECT("'"&amp;G2&amp;"'"&amp;"!c:c"))</f>
        <v>#REF!</v>
      </c>
      <c r="F2" s="2331" t="str">
        <f>C2</f>
        <v>万元</v>
      </c>
      <c r="G2" s="1905"/>
    </row>
    <row r="3" spans="1:7" s="164" customFormat="1" ht="18" customHeight="1" thickBot="1">
      <c r="A3" s="167" t="s">
        <v>1999</v>
      </c>
      <c r="B3" s="168">
        <f ca="1">ROUND(C52/IF(B1="仅计算典型户型",'数据-取费表'!E5,'数据-取费表'!B5),0)</f>
        <v>61311</v>
      </c>
      <c r="C3" s="163" t="s">
        <v>2000</v>
      </c>
      <c r="D3" s="163"/>
      <c r="E3" s="163"/>
      <c r="F3" s="163"/>
      <c r="G3" s="163"/>
    </row>
    <row r="4" spans="1:7" s="172" customFormat="1" ht="15.75">
      <c r="A4" s="169" t="s">
        <v>2001</v>
      </c>
      <c r="B4" s="170"/>
      <c r="C4" s="170"/>
      <c r="D4" s="170"/>
      <c r="E4" s="170"/>
      <c r="F4" s="170"/>
      <c r="G4" s="171"/>
    </row>
    <row r="5" spans="1:7" s="175" customFormat="1" ht="13.5" customHeight="1">
      <c r="A5" s="204" t="s">
        <v>2002</v>
      </c>
      <c r="B5" s="173" t="s">
        <v>2003</v>
      </c>
      <c r="C5" s="195">
        <f ca="1">C6+C7+C8</f>
        <v>7338469</v>
      </c>
      <c r="D5" s="195" t="s">
        <v>2004</v>
      </c>
      <c r="E5" s="1531" t="s">
        <v>2005</v>
      </c>
      <c r="F5" s="1531" t="s">
        <v>2006</v>
      </c>
      <c r="G5" s="174"/>
    </row>
    <row r="6" spans="1:7" s="175" customFormat="1" ht="13.5" customHeight="1">
      <c r="A6" s="176" t="s">
        <v>2007</v>
      </c>
      <c r="B6" s="177" t="s">
        <v>2008</v>
      </c>
      <c r="C6" s="1530">
        <f ca="1">基准地价修正!B2</f>
        <v>7093596</v>
      </c>
      <c r="D6" s="1532"/>
      <c r="E6" s="1533"/>
      <c r="F6" s="1533"/>
      <c r="G6" s="179"/>
    </row>
    <row r="7" spans="1:7" s="175" customFormat="1" ht="13.5" customHeight="1">
      <c r="A7" s="176" t="s">
        <v>2009</v>
      </c>
      <c r="B7" s="177" t="s">
        <v>2010</v>
      </c>
      <c r="C7" s="199">
        <f ca="1">ROUND(C6*F7,0)</f>
        <v>216355</v>
      </c>
      <c r="D7" s="199"/>
      <c r="E7" s="1533"/>
      <c r="F7" s="1534">
        <f>'数据-取费表'!E36+'数据-取费表'!E37</f>
        <v>3.0499999999999999E-2</v>
      </c>
      <c r="G7" s="179"/>
    </row>
    <row r="8" spans="1:7" s="180" customFormat="1">
      <c r="A8" s="176" t="s">
        <v>2011</v>
      </c>
      <c r="B8" s="177" t="s">
        <v>2012</v>
      </c>
      <c r="C8" s="199">
        <f>IF(G8="已包含在土地购买价格中","0",'数据-取费表'!E13)</f>
        <v>28518</v>
      </c>
      <c r="D8" s="1535"/>
      <c r="E8" s="199"/>
      <c r="F8" s="1534"/>
      <c r="G8" s="2332" t="s">
        <v>2862</v>
      </c>
    </row>
    <row r="9" spans="1:7" s="175" customFormat="1" ht="13.5" customHeight="1">
      <c r="A9" s="1303" t="s">
        <v>953</v>
      </c>
      <c r="B9" s="181" t="s">
        <v>2013</v>
      </c>
      <c r="C9" s="1536">
        <f>ROUND(D9*E9,0)</f>
        <v>28518</v>
      </c>
      <c r="D9" s="1537">
        <f>IF('数据-取费表'!B10="住宅",IF(B1="仅计算典型户型",'数据-取费表'!E5,'数据-取费表'!B5),0)</f>
        <v>178.24</v>
      </c>
      <c r="E9" s="1536">
        <f>'数据-取费表'!E11</f>
        <v>160</v>
      </c>
      <c r="F9" s="1534"/>
      <c r="G9" s="182"/>
    </row>
    <row r="10" spans="1:7" s="175" customFormat="1" ht="13.5" customHeight="1">
      <c r="A10" s="1303" t="s">
        <v>954</v>
      </c>
      <c r="B10" s="181" t="s">
        <v>2014</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2015</v>
      </c>
      <c r="C11" s="195"/>
      <c r="D11" s="199"/>
      <c r="E11" s="1533"/>
      <c r="F11" s="1533"/>
      <c r="G11" s="179"/>
    </row>
    <row r="12" spans="1:7" s="175" customFormat="1" ht="13.5" hidden="1" customHeight="1">
      <c r="A12" s="176" t="s">
        <v>5</v>
      </c>
      <c r="B12" s="177" t="s">
        <v>2016</v>
      </c>
      <c r="C12" s="195">
        <v>0</v>
      </c>
      <c r="D12" s="199"/>
      <c r="E12" s="1538"/>
      <c r="F12" s="1534">
        <v>3.0499999999999999E-2</v>
      </c>
      <c r="G12" s="179"/>
    </row>
    <row r="13" spans="1:7" s="175" customFormat="1" ht="13.5" hidden="1" customHeight="1">
      <c r="A13" s="176" t="s">
        <v>6</v>
      </c>
      <c r="B13" s="177" t="s">
        <v>2017</v>
      </c>
      <c r="C13" s="195"/>
      <c r="D13" s="199"/>
      <c r="E13" s="1533"/>
      <c r="F13" s="1533"/>
      <c r="G13" s="179"/>
    </row>
    <row r="14" spans="1:7" s="175" customFormat="1" ht="13.5" hidden="1" customHeight="1">
      <c r="A14" s="176" t="s">
        <v>7</v>
      </c>
      <c r="B14" s="177" t="s">
        <v>2012</v>
      </c>
      <c r="C14" s="195"/>
      <c r="D14" s="199"/>
      <c r="E14" s="1533"/>
      <c r="F14" s="1533"/>
      <c r="G14" s="179" t="s">
        <v>2018</v>
      </c>
    </row>
    <row r="15" spans="1:7" s="175" customFormat="1" ht="13.5" hidden="1" customHeight="1">
      <c r="A15" s="176" t="s">
        <v>8</v>
      </c>
      <c r="B15" s="177" t="s">
        <v>2019</v>
      </c>
      <c r="C15" s="199"/>
      <c r="D15" s="199"/>
      <c r="E15" s="1533"/>
      <c r="F15" s="1533"/>
      <c r="G15" s="179" t="s">
        <v>2020</v>
      </c>
    </row>
    <row r="16" spans="1:7" s="175" customFormat="1" ht="13.5" hidden="1" customHeight="1">
      <c r="A16" s="176" t="s">
        <v>9</v>
      </c>
      <c r="B16" s="177" t="s">
        <v>2012</v>
      </c>
      <c r="C16" s="199"/>
      <c r="D16" s="199"/>
      <c r="E16" s="1533"/>
      <c r="F16" s="1533"/>
      <c r="G16" s="179"/>
    </row>
    <row r="17" spans="1:7" s="175" customFormat="1" ht="13.5" hidden="1" customHeight="1">
      <c r="A17" s="176" t="s">
        <v>10</v>
      </c>
      <c r="B17" s="177" t="s">
        <v>2021</v>
      </c>
      <c r="C17" s="1539"/>
      <c r="D17" s="1539"/>
      <c r="E17" s="1539"/>
      <c r="F17" s="1539"/>
      <c r="G17" s="179" t="s">
        <v>2020</v>
      </c>
    </row>
    <row r="18" spans="1:7" s="175" customFormat="1" ht="13.5" hidden="1" customHeight="1">
      <c r="A18" s="176" t="s">
        <v>11</v>
      </c>
      <c r="B18" s="177" t="s">
        <v>2022</v>
      </c>
      <c r="C18" s="199">
        <v>0</v>
      </c>
      <c r="D18" s="199"/>
      <c r="E18" s="1533"/>
      <c r="F18" s="1534">
        <v>3.0499999999999999E-2</v>
      </c>
      <c r="G18" s="179" t="s">
        <v>2023</v>
      </c>
    </row>
    <row r="19" spans="1:7" s="180" customFormat="1" ht="13.5" customHeight="1">
      <c r="A19" s="204" t="s">
        <v>2024</v>
      </c>
      <c r="B19" s="173" t="s">
        <v>2025</v>
      </c>
      <c r="C19" s="195" t="str">
        <f>IF(G19="已包含在土地取得成本中","0",ROUND(D19*E19,0))</f>
        <v>0</v>
      </c>
      <c r="D19" s="1540">
        <f>IF(B1="仅计算典型户型",'数据-取费表'!E5,'数据-取费表'!B5)</f>
        <v>178.24</v>
      </c>
      <c r="E19" s="195">
        <f>'数据-取费表'!E15</f>
        <v>200</v>
      </c>
      <c r="F19" s="196"/>
      <c r="G19" s="2332" t="s">
        <v>2861</v>
      </c>
    </row>
    <row r="20" spans="1:7" s="175" customFormat="1" ht="13.5" customHeight="1">
      <c r="A20" s="204" t="s">
        <v>2026</v>
      </c>
      <c r="B20" s="173" t="s">
        <v>2027</v>
      </c>
      <c r="C20" s="183">
        <f ca="1">ROUND((C5+C19)*F20,0)</f>
        <v>146769</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534225</v>
      </c>
      <c r="D22" s="185">
        <f ca="1">C26</f>
        <v>6.9999999999999999E-4</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54">
        <f ca="1">ROUND(IF('数据-取费表'!B23&lt;=1,C5*F22*'数据-取费表'!B24,C5*(POWER((1+F22),'数据-取费表'!B24)-1)),0)</f>
        <v>529027</v>
      </c>
      <c r="D23" s="188"/>
      <c r="E23" s="188"/>
      <c r="F23" s="189"/>
      <c r="G23" s="190" t="s">
        <v>2037</v>
      </c>
    </row>
    <row r="24" spans="1:7" s="175" customFormat="1" ht="13.5" customHeight="1">
      <c r="A24" s="176" t="s">
        <v>2009</v>
      </c>
      <c r="B24" s="177" t="s">
        <v>2038</v>
      </c>
      <c r="C24" s="1454">
        <f ca="1">ROUND(IF('数据-取费表'!B23&lt;=1,C19*F22*('数据-取费表'!B20/2+'数据-取费表'!B22),C19*(POWER((1+F22),('数据-取费表'!B20/2+'数据-取费表'!B22))-1)),0)</f>
        <v>0</v>
      </c>
      <c r="D24" s="188"/>
      <c r="E24" s="188"/>
      <c r="F24" s="189"/>
      <c r="G24" s="190" t="s">
        <v>2039</v>
      </c>
    </row>
    <row r="25" spans="1:7" s="175" customFormat="1" ht="24">
      <c r="A25" s="176" t="s">
        <v>2011</v>
      </c>
      <c r="B25" s="177" t="s">
        <v>2040</v>
      </c>
      <c r="C25" s="1454">
        <f ca="1">ROUND(IF('数据-取费表'!B23&lt;=1,C20*F22*'数据-取费表'!B24/2,C20*(POWER((1+F22),'数据-取费表'!B24/2)-1)),0)</f>
        <v>5198</v>
      </c>
      <c r="D25" s="188"/>
      <c r="E25" s="191"/>
      <c r="F25" s="189"/>
      <c r="G25" s="192" t="s">
        <v>2041</v>
      </c>
    </row>
    <row r="26" spans="1:7" s="175" customFormat="1">
      <c r="A26" s="176" t="s">
        <v>2042</v>
      </c>
      <c r="B26" s="177" t="s">
        <v>2043</v>
      </c>
      <c r="C26" s="188">
        <f ca="1">ROUND(IF('数据-取费表'!B23&lt;=1,F21*F22*'数据-取费表'!B24/2,F21*(POWER((1+F22),'数据-取费表'!B24/2)-1)),4)</f>
        <v>6.9999999999999999E-4</v>
      </c>
      <c r="D26" s="188"/>
      <c r="E26" s="191"/>
      <c r="F26" s="189"/>
      <c r="G26" s="193"/>
    </row>
    <row r="27" spans="1:7" s="175" customFormat="1" ht="25.5">
      <c r="A27" s="1304" t="s">
        <v>2044</v>
      </c>
      <c r="B27" s="194" t="s">
        <v>2045</v>
      </c>
      <c r="C27" s="195">
        <f ca="1">C28</f>
        <v>1497048</v>
      </c>
      <c r="D27" s="185">
        <f>C29</f>
        <v>4.0000000000000001E-3</v>
      </c>
      <c r="E27" s="186" t="s">
        <v>2031</v>
      </c>
      <c r="F27" s="196">
        <f>'数据-取费表'!E28</f>
        <v>0.2</v>
      </c>
      <c r="G27" s="197" t="s">
        <v>2046</v>
      </c>
    </row>
    <row r="28" spans="1:7" s="175" customFormat="1" ht="13.5" customHeight="1">
      <c r="A28" s="176" t="s">
        <v>2035</v>
      </c>
      <c r="B28" s="198" t="s">
        <v>2047</v>
      </c>
      <c r="C28" s="199">
        <f ca="1">ROUND((C5+C19+C20)*F27*'数据-取费表'!B22/'数据-取费表'!B21,0)</f>
        <v>1497048</v>
      </c>
      <c r="D28" s="185"/>
      <c r="E28" s="186"/>
      <c r="F28" s="196"/>
      <c r="G28" s="197"/>
    </row>
    <row r="29" spans="1:7" s="175" customFormat="1" ht="13.5" customHeight="1">
      <c r="A29" s="176" t="s">
        <v>2009</v>
      </c>
      <c r="B29" s="198" t="s">
        <v>2048</v>
      </c>
      <c r="C29" s="188">
        <f>ROUND(C21*F27*'数据-取费表'!B22/'数据-取费表'!B21,4)</f>
        <v>4.0000000000000001E-3</v>
      </c>
      <c r="D29" s="185"/>
      <c r="E29" s="186"/>
      <c r="F29" s="196"/>
      <c r="G29" s="197"/>
    </row>
    <row r="30" spans="1:7" s="175" customFormat="1" ht="13.5" customHeight="1">
      <c r="A30" s="1304" t="s">
        <v>2049</v>
      </c>
      <c r="B30" s="173" t="s">
        <v>2050</v>
      </c>
      <c r="C30" s="185">
        <f>ROUND(F30/(1+'数据-取费表'!F30),4)</f>
        <v>5.33E-2</v>
      </c>
      <c r="D30" s="186" t="s">
        <v>2031</v>
      </c>
      <c r="E30" s="191"/>
      <c r="F30" s="187">
        <f>'数据-取费表'!E29</f>
        <v>5.6000000000000001E-2</v>
      </c>
      <c r="G30" s="184" t="s">
        <v>2051</v>
      </c>
    </row>
    <row r="31" spans="1:7" ht="16.5" customHeight="1">
      <c r="A31" s="204">
        <v>1</v>
      </c>
      <c r="B31" s="173" t="s">
        <v>2052</v>
      </c>
      <c r="C31" s="195">
        <f ca="1">ROUND((C5+C19+C20+C22+C27)/(1-C21-D22-D27-C30),0)</f>
        <v>10321595</v>
      </c>
      <c r="D31" s="1540"/>
      <c r="E31" s="195"/>
      <c r="F31" s="1541"/>
      <c r="G31" s="184" t="s">
        <v>2053</v>
      </c>
    </row>
    <row r="32" spans="1:7" s="172" customFormat="1" ht="15.75">
      <c r="A32" s="201" t="s">
        <v>2054</v>
      </c>
      <c r="B32" s="202"/>
      <c r="C32" s="1542"/>
      <c r="D32" s="1542"/>
      <c r="E32" s="1542"/>
      <c r="F32" s="1542"/>
      <c r="G32" s="203"/>
    </row>
    <row r="33" spans="1:7" s="175" customFormat="1" ht="13.5" customHeight="1">
      <c r="A33" s="204" t="s">
        <v>2055</v>
      </c>
      <c r="B33" s="173" t="s">
        <v>2056</v>
      </c>
      <c r="C33" s="205">
        <f>SUM(C34:C38)</f>
        <v>543097</v>
      </c>
      <c r="D33" s="183"/>
      <c r="E33" s="1531"/>
      <c r="F33" s="191"/>
      <c r="G33" s="184"/>
    </row>
    <row r="34" spans="1:7" s="206" customFormat="1" ht="13.5" customHeight="1">
      <c r="A34" s="176" t="s">
        <v>2035</v>
      </c>
      <c r="B34" s="177" t="s">
        <v>2057</v>
      </c>
      <c r="C34" s="199">
        <f>IF(B1="仅计算典型户型",'数据-取费表'!F18,'数据-取费表'!E18)</f>
        <v>463424</v>
      </c>
      <c r="D34" s="1532"/>
      <c r="E34" s="199"/>
      <c r="F34" s="1543" t="str">
        <f>IF('数据-取费表'!B25=0,"",'数据-取费表'!E20)</f>
        <v/>
      </c>
      <c r="G34" s="179"/>
    </row>
    <row r="35" spans="1:7" ht="13.5" customHeight="1">
      <c r="A35" s="176" t="s">
        <v>2009</v>
      </c>
      <c r="B35" s="177" t="s">
        <v>2058</v>
      </c>
      <c r="C35" s="199">
        <f>ROUND(C34*F35,0)</f>
        <v>13903</v>
      </c>
      <c r="D35" s="199"/>
      <c r="E35" s="199"/>
      <c r="F35" s="1544">
        <f>'数据-取费表'!E21</f>
        <v>0.03</v>
      </c>
      <c r="G35" s="179" t="s">
        <v>2059</v>
      </c>
    </row>
    <row r="36" spans="1:7" ht="24">
      <c r="A36" s="176" t="s">
        <v>2011</v>
      </c>
      <c r="B36" s="177" t="s">
        <v>2060</v>
      </c>
      <c r="C36" s="199">
        <f>ROUND(IF('数据-取费表'!B10="住宅",C34*F36,0),0)</f>
        <v>23171</v>
      </c>
      <c r="D36" s="199"/>
      <c r="E36" s="199"/>
      <c r="F36" s="1544">
        <f>'数据-取费表'!E22</f>
        <v>0.05</v>
      </c>
      <c r="G36" s="207" t="s">
        <v>2061</v>
      </c>
    </row>
    <row r="37" spans="1:7" s="206" customFormat="1" ht="13.5" customHeight="1">
      <c r="A37" s="176" t="s">
        <v>2042</v>
      </c>
      <c r="B37" s="177" t="s">
        <v>2062</v>
      </c>
      <c r="C37" s="199">
        <f>ROUND(E37*D37,0)</f>
        <v>35648</v>
      </c>
      <c r="D37" s="1532">
        <f>IF(B1="仅计算典型户型",'数据-取费表'!E5,'数据-取费表'!B5)</f>
        <v>178.24</v>
      </c>
      <c r="E37" s="199">
        <f>'数据-取费表'!E23</f>
        <v>200</v>
      </c>
      <c r="F37" s="1544"/>
      <c r="G37" s="208" t="s">
        <v>2063</v>
      </c>
    </row>
    <row r="38" spans="1:7" ht="13.5" customHeight="1">
      <c r="A38" s="176" t="s">
        <v>2064</v>
      </c>
      <c r="B38" s="177" t="s">
        <v>2065</v>
      </c>
      <c r="C38" s="199">
        <f>ROUND(C34*F38,0)</f>
        <v>6951</v>
      </c>
      <c r="D38" s="199"/>
      <c r="E38" s="199"/>
      <c r="F38" s="1544">
        <f>'数据-取费表'!E24</f>
        <v>1.4999999999999999E-2</v>
      </c>
      <c r="G38" s="179" t="s">
        <v>2059</v>
      </c>
    </row>
    <row r="39" spans="1:7" s="175" customFormat="1" ht="13.5" customHeight="1">
      <c r="A39" s="204" t="s">
        <v>2024</v>
      </c>
      <c r="B39" s="173" t="s">
        <v>2027</v>
      </c>
      <c r="C39" s="183">
        <f>ROUND(C33*F20,0)</f>
        <v>10862</v>
      </c>
      <c r="D39" s="183"/>
      <c r="E39" s="183"/>
      <c r="F39" s="187"/>
      <c r="G39" s="184" t="s">
        <v>2066</v>
      </c>
    </row>
    <row r="40" spans="1:7" s="175" customFormat="1" ht="13.5" customHeight="1">
      <c r="A40" s="204" t="s">
        <v>2026</v>
      </c>
      <c r="B40" s="173" t="s">
        <v>2030</v>
      </c>
      <c r="C40" s="1818">
        <f>F21</f>
        <v>0.02</v>
      </c>
      <c r="D40" s="186" t="s">
        <v>2067</v>
      </c>
      <c r="E40" s="183"/>
      <c r="F40" s="187"/>
      <c r="G40" s="184" t="s">
        <v>2068</v>
      </c>
    </row>
    <row r="41" spans="1:7" s="175" customFormat="1" ht="13.5" customHeight="1">
      <c r="A41" s="204" t="s">
        <v>2029</v>
      </c>
      <c r="B41" s="173" t="s">
        <v>2034</v>
      </c>
      <c r="C41" s="183">
        <f ca="1">ROUND(SUM(C42:C43),0)</f>
        <v>19620</v>
      </c>
      <c r="D41" s="185">
        <f ca="1">C44</f>
        <v>6.9999999999999999E-4</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19235</v>
      </c>
      <c r="D42" s="188"/>
      <c r="E42" s="188"/>
      <c r="F42" s="189"/>
      <c r="G42" s="3016" t="s">
        <v>2069</v>
      </c>
    </row>
    <row r="43" spans="1:7" ht="13.5" customHeight="1">
      <c r="A43" s="176" t="s">
        <v>2009</v>
      </c>
      <c r="B43" s="177" t="s">
        <v>2038</v>
      </c>
      <c r="C43" s="188">
        <f ca="1">ROUND(IF('数据-取费表'!B23&lt;=1,C39*F22*'数据-取费表'!B22/2,C39*(POWER((1+F22),'数据-取费表'!B22/2)-1)),0)</f>
        <v>385</v>
      </c>
      <c r="D43" s="188"/>
      <c r="E43" s="188"/>
      <c r="F43" s="189"/>
      <c r="G43" s="3017"/>
    </row>
    <row r="44" spans="1:7" ht="13.5" customHeight="1">
      <c r="A44" s="176" t="s">
        <v>2011</v>
      </c>
      <c r="B44" s="177" t="s">
        <v>2040</v>
      </c>
      <c r="C44" s="188">
        <f ca="1">ROUND(IF('数据-取费表'!B23&lt;=1,C40*F22*'数据-取费表'!B22/2,C40*(POWER((1+F22),'数据-取费表'!B22/2)-1)),4)</f>
        <v>6.9999999999999999E-4</v>
      </c>
      <c r="D44" s="188"/>
      <c r="E44" s="188"/>
      <c r="F44" s="189"/>
      <c r="G44" s="3018"/>
    </row>
    <row r="45" spans="1:7" s="175" customFormat="1" ht="13.5" customHeight="1">
      <c r="A45" s="204" t="s">
        <v>2033</v>
      </c>
      <c r="B45" s="194" t="s">
        <v>2045</v>
      </c>
      <c r="C45" s="195">
        <f>C46</f>
        <v>110792</v>
      </c>
      <c r="D45" s="185">
        <f>C47</f>
        <v>4.0000000000000001E-3</v>
      </c>
      <c r="E45" s="186" t="s">
        <v>2067</v>
      </c>
      <c r="F45" s="196"/>
      <c r="G45" s="197" t="s">
        <v>2070</v>
      </c>
    </row>
    <row r="46" spans="1:7" s="175" customFormat="1" ht="13.5" customHeight="1">
      <c r="A46" s="176" t="s">
        <v>2035</v>
      </c>
      <c r="B46" s="198" t="s">
        <v>2071</v>
      </c>
      <c r="C46" s="199">
        <f>ROUND((C33+C39)*F27,0)</f>
        <v>110792</v>
      </c>
      <c r="D46" s="209"/>
      <c r="E46" s="186"/>
      <c r="F46" s="196"/>
      <c r="G46" s="197"/>
    </row>
    <row r="47" spans="1:7" s="175" customFormat="1" ht="13.5" customHeight="1">
      <c r="A47" s="176" t="s">
        <v>2009</v>
      </c>
      <c r="B47" s="198" t="s">
        <v>2072</v>
      </c>
      <c r="C47" s="188">
        <f>ROUND(C40*F27,4)</f>
        <v>4.0000000000000001E-3</v>
      </c>
      <c r="D47" s="209"/>
      <c r="E47" s="186"/>
      <c r="F47" s="196"/>
      <c r="G47" s="197"/>
    </row>
    <row r="48" spans="1:7" s="175" customFormat="1" ht="13.5" customHeight="1">
      <c r="A48" s="1304" t="s">
        <v>2044</v>
      </c>
      <c r="B48" s="173" t="s">
        <v>2073</v>
      </c>
      <c r="C48" s="1818">
        <f>ROUND(F30/(1+'数据-取费表'!F30),4)</f>
        <v>5.33E-2</v>
      </c>
      <c r="D48" s="186" t="s">
        <v>2067</v>
      </c>
      <c r="E48" s="183"/>
      <c r="F48" s="187"/>
      <c r="G48" s="184" t="s">
        <v>2074</v>
      </c>
    </row>
    <row r="49" spans="1:7" ht="16.5" customHeight="1">
      <c r="A49" s="1304" t="s">
        <v>2075</v>
      </c>
      <c r="B49" s="173" t="s">
        <v>2076</v>
      </c>
      <c r="C49" s="183">
        <f ca="1">ROUND((C33+C39+C41+C45)/(1-C40-D41-D45-C48),0)</f>
        <v>742268</v>
      </c>
      <c r="D49" s="183"/>
      <c r="E49" s="183"/>
      <c r="F49" s="210"/>
      <c r="G49" s="184" t="s">
        <v>2077</v>
      </c>
    </row>
    <row r="50" spans="1:7" s="206" customFormat="1" ht="24">
      <c r="A50" s="1304" t="s">
        <v>2078</v>
      </c>
      <c r="B50" s="173" t="s">
        <v>2079</v>
      </c>
      <c r="C50" s="183"/>
      <c r="D50" s="183"/>
      <c r="E50" s="183"/>
      <c r="F50" s="210">
        <f>IF('数据-取费表'!B25=0,'数据-取费表'!E20,1)</f>
        <v>0.81699999999999995</v>
      </c>
      <c r="G50" s="197" t="s">
        <v>2080</v>
      </c>
    </row>
    <row r="51" spans="1:7" ht="16.5" customHeight="1">
      <c r="A51" s="1304" t="s">
        <v>2081</v>
      </c>
      <c r="B51" s="173" t="s">
        <v>2082</v>
      </c>
      <c r="C51" s="183">
        <f ca="1">ROUND(C49*F50,0)</f>
        <v>606433</v>
      </c>
      <c r="D51" s="183"/>
      <c r="E51" s="183"/>
      <c r="F51" s="210"/>
      <c r="G51" s="184" t="s">
        <v>2083</v>
      </c>
    </row>
    <row r="52" spans="1:7" s="172" customFormat="1" ht="16.5" thickBot="1">
      <c r="A52" s="211" t="s">
        <v>2084</v>
      </c>
      <c r="B52" s="212"/>
      <c r="C52" s="213">
        <f ca="1">C31+C51</f>
        <v>10928028</v>
      </c>
      <c r="D52" s="212"/>
      <c r="E52" s="212"/>
      <c r="F52" s="212"/>
      <c r="G52" s="214"/>
    </row>
    <row r="55" spans="1:7" ht="15">
      <c r="B55" s="216" t="s">
        <v>2085</v>
      </c>
      <c r="C55" s="217"/>
    </row>
    <row r="56" spans="1:7">
      <c r="B56" s="219" t="s">
        <v>2086</v>
      </c>
      <c r="C56" s="220">
        <f ca="1">ROUND(C51/C52,3)</f>
        <v>5.5E-2</v>
      </c>
    </row>
    <row r="57" spans="1:7">
      <c r="B57" s="219" t="s">
        <v>2087</v>
      </c>
      <c r="C57" s="221">
        <f ca="1">1-C56</f>
        <v>0.94499999999999995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425</v>
      </c>
      <c r="C2" s="1968" t="str">
        <f>'数据-取费表'!B3</f>
        <v>万元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23850</v>
      </c>
      <c r="C3" s="1968" t="s">
        <v>1305</v>
      </c>
      <c r="D3" s="1210"/>
      <c r="E3" s="1210"/>
      <c r="F3" s="1210"/>
      <c r="G3" s="1210"/>
      <c r="H3" s="1210"/>
      <c r="I3" s="1210"/>
      <c r="J3" s="1210"/>
      <c r="K3" s="1210"/>
    </row>
    <row r="4" spans="1:33" s="227" customFormat="1" ht="16.5" customHeight="1">
      <c r="A4" s="224" t="s">
        <v>1306</v>
      </c>
      <c r="B4" s="225"/>
      <c r="C4" s="1450">
        <f>SUM(C8:K8)</f>
        <v>6238400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178.24</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6238400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463424</v>
      </c>
      <c r="D11" s="248"/>
      <c r="E11" s="70"/>
      <c r="F11" s="249">
        <f>1-'数据-取费表'!E20</f>
        <v>0.18300000000000005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13903</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23171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6524</v>
      </c>
      <c r="D14" s="248">
        <f>IF(C1="仅计算典型户型",'数据-取费表'!E5,'数据-取费表'!B5)</f>
        <v>178.24</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6951</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513973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178.24</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28518</v>
      </c>
      <c r="D19" s="248">
        <f>IF('数据-取费表'!B10="住宅",IF(C1="仅计算典型户型",'数据-取费表'!E5,'数据-取费表'!B5),0)</f>
        <v>178.24</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513973</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10279</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22833</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109417</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109417</v>
      </c>
      <c r="D30" s="277"/>
      <c r="E30" s="290"/>
      <c r="F30" s="287"/>
      <c r="G30" s="231"/>
      <c r="H30" s="254"/>
      <c r="I30" s="254"/>
      <c r="J30" s="254"/>
      <c r="K30" s="255"/>
    </row>
    <row r="31" spans="1:33" s="266" customFormat="1" ht="13.5" customHeight="1" thickBot="1">
      <c r="A31" s="1970" t="s">
        <v>1362</v>
      </c>
      <c r="B31" s="261" t="s">
        <v>1363</v>
      </c>
      <c r="C31" s="291">
        <f>ROUND(C4*F31/(1+'数据-取费表'!F30),0)</f>
        <v>332715</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4251039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北京市海淀区德胜门西大街15号1号楼预评估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D14" sqref="D14"/>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2588</v>
      </c>
      <c r="B1" s="2501"/>
      <c r="C1" s="162" t="s">
        <v>2589</v>
      </c>
      <c r="D1" s="2502">
        <f>SUM(D29:D30,D33:D39)</f>
        <v>178.24</v>
      </c>
      <c r="E1" s="2502"/>
      <c r="F1" s="2502"/>
      <c r="G1" s="2502"/>
      <c r="H1" s="2502"/>
      <c r="I1" s="2502"/>
      <c r="J1" s="2502"/>
      <c r="L1" s="2503" t="s">
        <v>2590</v>
      </c>
      <c r="M1" s="1118">
        <f>SUMPRODUCT((区片价!B5:B9=I2)*(区片价!C3:F3=E2)*(区片价!C5:F9))</f>
        <v>0</v>
      </c>
      <c r="N1" s="1121">
        <f>SUMPRODUCT((因素修正幅度!B5:B9=I2)*(因素修正幅度!C3:F3=E2)*(因素修正幅度!C5:F9))</f>
        <v>0</v>
      </c>
      <c r="O1" s="1461"/>
      <c r="P1" s="1461"/>
      <c r="Q1" s="1461"/>
      <c r="R1" s="1708" t="s">
        <v>2591</v>
      </c>
      <c r="S1" s="1708" t="s">
        <v>2592</v>
      </c>
      <c r="T1" s="1708" t="s">
        <v>2593</v>
      </c>
      <c r="U1" s="1708" t="s">
        <v>2594</v>
      </c>
      <c r="V1" s="1708" t="s">
        <v>2595</v>
      </c>
      <c r="W1" s="1712"/>
      <c r="X1" s="1712"/>
      <c r="Y1" s="1712"/>
      <c r="Z1" s="1712"/>
      <c r="AA1" s="1712"/>
      <c r="AB1" s="1712"/>
      <c r="AC1" s="1713"/>
      <c r="AD1" s="1714"/>
      <c r="AE1" s="1714"/>
      <c r="AF1" s="1714"/>
      <c r="AG1" s="1714"/>
      <c r="AH1" s="1714"/>
      <c r="AI1" s="1714"/>
      <c r="AJ1" s="1715"/>
    </row>
    <row r="2" spans="1:36" ht="24.75">
      <c r="A2" s="165" t="s">
        <v>2596</v>
      </c>
      <c r="B2" s="168">
        <f ca="1">C26</f>
        <v>7093596</v>
      </c>
      <c r="C2" s="2505" t="s">
        <v>2597</v>
      </c>
      <c r="D2" s="2506" t="s">
        <v>2598</v>
      </c>
      <c r="E2" s="2507" t="s">
        <v>2813</v>
      </c>
      <c r="F2" s="2506" t="s">
        <v>2599</v>
      </c>
      <c r="G2" s="2508" t="str">
        <f>项目基本情况!F9</f>
        <v>二级</v>
      </c>
      <c r="H2" s="2509" t="s">
        <v>2600</v>
      </c>
      <c r="I2" s="2508" t="str">
        <f>项目基本情况!F10</f>
        <v>Ⅱ—02</v>
      </c>
      <c r="J2" s="2510"/>
      <c r="L2" s="2511" t="s">
        <v>2601</v>
      </c>
      <c r="M2" s="1119">
        <f>SUMPRODUCT((区片价!B10:B28=I2)*(区片价!C3:F3=E2)*(区片价!C10:F28))</f>
        <v>22030</v>
      </c>
      <c r="N2" s="1122">
        <f>SUMPRODUCT((因素修正幅度!B10:B28=I2)*(因素修正幅度!C3:F3=E2)*(因素修正幅度!C10:F28))</f>
        <v>8.2000000000000003E-2</v>
      </c>
      <c r="O2" s="1461"/>
      <c r="P2" s="1461"/>
      <c r="Q2" s="1461"/>
      <c r="R2" s="1708">
        <v>1</v>
      </c>
      <c r="S2" s="1708">
        <f>ROUND(IF(G3&gt;1,IF(R2&lt;7,SUMPRODUCT((B93:B98=R2)*(C92:N92=G2)*(C93:N98)),SUMIF(C92:N92,G2,C100:N100)),IF(R2&lt;7,SUMPRODUCT((B102:B107=R2)*(C92:N92=G2)*(C102:N107)),SUMIF(C92:N92,G2,C109:N109))),4)</f>
        <v>1.9361999999999999</v>
      </c>
      <c r="T2" s="1708">
        <f ca="1">ROUND($C$5*$C$18*$C$19*$C$20*S2*$C$24,0)</f>
        <v>85052</v>
      </c>
      <c r="U2" s="1709"/>
      <c r="V2" s="1708">
        <f ca="1">ROUND(T2*U2/10000,0)</f>
        <v>0</v>
      </c>
      <c r="W2" s="1712"/>
      <c r="X2" s="1712"/>
      <c r="Y2" s="1712"/>
      <c r="Z2" s="1712"/>
      <c r="AA2" s="1712"/>
      <c r="AB2" s="1712"/>
      <c r="AC2" s="1713"/>
      <c r="AD2" s="1714"/>
      <c r="AE2" s="1714"/>
      <c r="AF2" s="1714"/>
      <c r="AG2" s="1714"/>
      <c r="AH2" s="1714"/>
      <c r="AI2" s="1714"/>
      <c r="AJ2" s="1715"/>
    </row>
    <row r="3" spans="1:36" ht="25.5">
      <c r="A3" s="167" t="s">
        <v>2602</v>
      </c>
      <c r="B3" s="168">
        <f ca="1">ROUND(B2/D1,0)</f>
        <v>39798</v>
      </c>
      <c r="C3" s="2505" t="s">
        <v>2603</v>
      </c>
      <c r="D3" s="2506" t="s">
        <v>2604</v>
      </c>
      <c r="E3" s="2512" t="s">
        <v>2851</v>
      </c>
      <c r="F3" s="2513" t="s">
        <v>2605</v>
      </c>
      <c r="G3" s="941">
        <f>项目基本情况!C15</f>
        <v>3.84</v>
      </c>
      <c r="H3" s="115" t="s">
        <v>2606</v>
      </c>
      <c r="I3" s="974"/>
      <c r="J3" s="2510" t="s">
        <v>2607</v>
      </c>
      <c r="L3" s="2511" t="s">
        <v>2608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62368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35"/>
      <c r="B4" s="3036"/>
      <c r="C4" s="3036"/>
      <c r="D4" s="3037"/>
      <c r="E4" s="3037"/>
      <c r="F4" s="3037"/>
      <c r="G4" s="3037"/>
      <c r="H4" s="3037"/>
      <c r="I4" s="3037"/>
      <c r="J4" s="3038"/>
      <c r="L4" s="2511" t="s">
        <v>2609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50929</v>
      </c>
      <c r="U4" s="1709"/>
      <c r="V4" s="1708">
        <f t="shared" ca="1" si="1"/>
        <v>0</v>
      </c>
      <c r="W4" s="1712"/>
      <c r="X4" s="1712"/>
      <c r="Y4" s="1712"/>
      <c r="Z4" s="1712"/>
      <c r="AA4" s="1712"/>
      <c r="AB4" s="1712"/>
      <c r="AC4" s="1713"/>
      <c r="AD4" s="1714"/>
      <c r="AE4" s="1714"/>
      <c r="AF4" s="1714"/>
      <c r="AG4" s="1714"/>
      <c r="AH4" s="1714"/>
      <c r="AI4" s="1714"/>
      <c r="AJ4" s="1715"/>
    </row>
    <row r="5" spans="1:36" s="2523" customFormat="1" ht="15.75" thickBot="1">
      <c r="A5" s="2514" t="s">
        <v>2610</v>
      </c>
      <c r="B5" s="2515" t="s">
        <v>2611</v>
      </c>
      <c r="C5" s="942">
        <f>ROUND(IF(E2="商业",IF(F16="增加",C6*C7+C16,C6*C7-C16),IF(E2="住宅",IF(F16="增加",C6*C12+C16,C6*C12-C16),IF(F16="增加",C6+C16,C6-C16))),0)</f>
        <v>29080</v>
      </c>
      <c r="D5" s="1876">
        <f>ROUND(IF(E2="商业",IF(F16="增加",C6+C16,C6-C16)),0)</f>
        <v>0</v>
      </c>
      <c r="E5" s="2516"/>
      <c r="F5" s="2516"/>
      <c r="G5" s="2517"/>
      <c r="H5" s="2517"/>
      <c r="I5" s="2517"/>
      <c r="J5" s="2518"/>
      <c r="K5" s="2519"/>
      <c r="L5" s="2511" t="s">
        <v>2612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42267</v>
      </c>
      <c r="U5" s="1709"/>
      <c r="V5" s="1708">
        <f t="shared" ca="1" si="1"/>
        <v>0</v>
      </c>
      <c r="W5" s="1712"/>
      <c r="X5" s="1712"/>
      <c r="Y5" s="1712"/>
      <c r="Z5" s="1712"/>
      <c r="AA5" s="1712"/>
      <c r="AB5" s="1712"/>
      <c r="AC5" s="2520"/>
      <c r="AD5" s="2521"/>
      <c r="AE5" s="2521"/>
      <c r="AF5" s="2521"/>
      <c r="AG5" s="2521"/>
      <c r="AH5" s="2521"/>
      <c r="AI5" s="2521"/>
      <c r="AJ5" s="2522"/>
    </row>
    <row r="6" spans="1:36" ht="15.75" thickBot="1">
      <c r="A6" s="2524">
        <v>1</v>
      </c>
      <c r="B6" s="2525" t="s">
        <v>2613</v>
      </c>
      <c r="C6" s="943">
        <f>SUMIF(L1:L12,G2,M1:M12)</f>
        <v>22030</v>
      </c>
      <c r="D6" s="2526" t="s">
        <v>2614</v>
      </c>
      <c r="E6" s="2527"/>
      <c r="F6" s="2527"/>
      <c r="G6" s="2528"/>
      <c r="H6" s="2528"/>
      <c r="I6" s="2528"/>
      <c r="J6" s="2529"/>
      <c r="K6" s="2530"/>
      <c r="L6" s="2511" t="s">
        <v>2615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36973</v>
      </c>
      <c r="U6" s="1709"/>
      <c r="V6" s="1708">
        <f t="shared" ca="1" si="1"/>
        <v>0</v>
      </c>
      <c r="W6" s="1712"/>
      <c r="X6" s="1712"/>
      <c r="Y6" s="1712"/>
      <c r="Z6" s="1712"/>
      <c r="AA6" s="1712"/>
      <c r="AB6" s="1712"/>
      <c r="AC6" s="2520"/>
      <c r="AD6" s="2521"/>
      <c r="AE6" s="2521"/>
      <c r="AF6" s="2521"/>
      <c r="AG6" s="2521"/>
      <c r="AH6" s="2521"/>
      <c r="AI6" s="2521"/>
      <c r="AJ6" s="2522"/>
    </row>
    <row r="7" spans="1:36" ht="24">
      <c r="A7" s="3019" t="str">
        <f>IF(E2="商业",IF(C8="不临58条商业街","",2),"")</f>
        <v/>
      </c>
      <c r="B7" s="2531" t="s">
        <v>2616</v>
      </c>
      <c r="C7" s="944" t="e">
        <f>IF(C8="不临58条商业街",1,ROUND(1+(1.6*E8+1.2*E9+0.8*E10+0.4*E11)*C9,4))</f>
        <v>#DIV/0!</v>
      </c>
      <c r="D7" s="2532" t="s">
        <v>2617</v>
      </c>
      <c r="E7" s="975"/>
      <c r="F7" s="2533"/>
      <c r="G7" s="2534"/>
      <c r="H7" s="2534"/>
      <c r="I7" s="2534"/>
      <c r="J7" s="2535"/>
      <c r="K7" s="2530"/>
      <c r="L7" s="2511" t="s">
        <v>2618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33420</v>
      </c>
      <c r="U7" s="1709"/>
      <c r="V7" s="1708">
        <f t="shared" ca="1" si="1"/>
        <v>0</v>
      </c>
      <c r="W7" s="1904" t="s">
        <v>2619</v>
      </c>
      <c r="X7" s="1710" t="str">
        <f>G2</f>
        <v>二级</v>
      </c>
      <c r="Y7" s="1710" t="s">
        <v>2620</v>
      </c>
      <c r="Z7" s="1711">
        <f>G3</f>
        <v>3.84</v>
      </c>
      <c r="AA7" s="1712"/>
      <c r="AB7" s="1712"/>
      <c r="AC7" s="1713"/>
      <c r="AD7" s="1714"/>
      <c r="AE7" s="1714"/>
      <c r="AF7" s="1714"/>
      <c r="AG7" s="1714"/>
      <c r="AH7" s="1714"/>
      <c r="AI7" s="1714"/>
      <c r="AJ7" s="1715"/>
    </row>
    <row r="8" spans="1:36" ht="15">
      <c r="A8" s="3020"/>
      <c r="B8" s="115" t="s">
        <v>2621</v>
      </c>
      <c r="C8" s="2536"/>
      <c r="D8" s="945" t="s">
        <v>89</v>
      </c>
      <c r="E8" s="946" t="e">
        <f>ROUND(C11/E7,4)</f>
        <v>#DIV/0!</v>
      </c>
      <c r="F8" s="2537" t="s">
        <v>2622</v>
      </c>
      <c r="G8" s="2538"/>
      <c r="H8" s="2538"/>
      <c r="I8" s="2538"/>
      <c r="J8" s="2539"/>
      <c r="L8" s="2511" t="s">
        <v>2623</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32" t="s">
        <v>2624</v>
      </c>
      <c r="X8" s="3033"/>
      <c r="Y8" s="1716" t="s">
        <v>2625</v>
      </c>
      <c r="Z8" s="1716" t="s">
        <v>2626</v>
      </c>
      <c r="AA8" s="1716" t="s">
        <v>2627</v>
      </c>
      <c r="AB8" s="1716" t="s">
        <v>2628</v>
      </c>
      <c r="AC8" s="1716" t="s">
        <v>2629</v>
      </c>
      <c r="AD8" s="1716" t="s">
        <v>2630</v>
      </c>
      <c r="AE8" s="1716" t="s">
        <v>2631</v>
      </c>
      <c r="AF8" s="1716" t="s">
        <v>2632</v>
      </c>
      <c r="AG8" s="1716" t="s">
        <v>2633</v>
      </c>
      <c r="AH8" s="1716" t="s">
        <v>2634</v>
      </c>
      <c r="AI8" s="1716" t="s">
        <v>2635</v>
      </c>
      <c r="AJ8" s="1716" t="s">
        <v>2636</v>
      </c>
    </row>
    <row r="9" spans="1:36" ht="15">
      <c r="A9" s="3020"/>
      <c r="B9" s="115" t="s">
        <v>2637</v>
      </c>
      <c r="C9" s="947">
        <f>SUMIF(修正!C59:C119,C8,修正!E59:E119)</f>
        <v>0</v>
      </c>
      <c r="D9" s="117" t="s">
        <v>90</v>
      </c>
      <c r="E9" s="117" t="e">
        <f>ROUND(C11/E7,4)</f>
        <v>#DIV/0!</v>
      </c>
      <c r="F9" s="2537" t="s">
        <v>2638</v>
      </c>
      <c r="G9" s="2538"/>
      <c r="H9" s="2538"/>
      <c r="I9" s="2538"/>
      <c r="J9" s="2539"/>
      <c r="L9" s="2511" t="s">
        <v>2639</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34" t="s">
        <v>2640</v>
      </c>
      <c r="X9" s="1717" t="s">
        <v>2641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20"/>
      <c r="B10" s="115" t="s">
        <v>2642</v>
      </c>
      <c r="C10" s="117">
        <f>SUMIF(修正!C59:C119,C8,修正!F59:F119)</f>
        <v>0</v>
      </c>
      <c r="D10" s="117" t="s">
        <v>91</v>
      </c>
      <c r="E10" s="117" t="e">
        <f>ROUND(C11/E7,4)</f>
        <v>#DIV/0!</v>
      </c>
      <c r="F10" s="2537" t="s">
        <v>2643</v>
      </c>
      <c r="G10" s="2538"/>
      <c r="H10" s="2538"/>
      <c r="I10" s="2538"/>
      <c r="J10" s="2539"/>
      <c r="L10" s="2511" t="s">
        <v>2644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3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20"/>
      <c r="B11" s="2540" t="s">
        <v>2645</v>
      </c>
      <c r="C11" s="948">
        <f>C10/4</f>
        <v>0</v>
      </c>
      <c r="D11" s="948" t="s">
        <v>92</v>
      </c>
      <c r="E11" s="948" t="e">
        <f>ROUND(C11/E7,4)</f>
        <v>#DIV/0!</v>
      </c>
      <c r="F11" s="2541" t="s">
        <v>2646</v>
      </c>
      <c r="G11" s="2542"/>
      <c r="H11" s="2542"/>
      <c r="I11" s="2542"/>
      <c r="J11" s="2543"/>
      <c r="L11" s="2511" t="s">
        <v>2647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34" t="s">
        <v>2648</v>
      </c>
      <c r="X11" s="1721" t="s">
        <v>2649</v>
      </c>
      <c r="Y11" s="1722">
        <f>$G$3</f>
        <v>3.84</v>
      </c>
      <c r="Z11" s="1722">
        <f t="shared" ref="Z11:AJ11" si="3">$G$3</f>
        <v>3.84</v>
      </c>
      <c r="AA11" s="1722">
        <f t="shared" si="3"/>
        <v>3.84</v>
      </c>
      <c r="AB11" s="1722">
        <f t="shared" si="3"/>
        <v>3.84</v>
      </c>
      <c r="AC11" s="1722">
        <f t="shared" si="3"/>
        <v>3.84</v>
      </c>
      <c r="AD11" s="1722">
        <f t="shared" si="3"/>
        <v>3.84</v>
      </c>
      <c r="AE11" s="1722">
        <f t="shared" si="3"/>
        <v>3.84</v>
      </c>
      <c r="AF11" s="1722">
        <f t="shared" si="3"/>
        <v>3.84</v>
      </c>
      <c r="AG11" s="1722">
        <f t="shared" si="3"/>
        <v>3.84</v>
      </c>
      <c r="AH11" s="1722">
        <f t="shared" si="3"/>
        <v>3.84</v>
      </c>
      <c r="AI11" s="1722">
        <f t="shared" si="3"/>
        <v>3.84</v>
      </c>
      <c r="AJ11" s="1722">
        <f t="shared" si="3"/>
        <v>3.84</v>
      </c>
    </row>
    <row r="12" spans="1:36" ht="25.5" thickBot="1">
      <c r="A12" s="3019">
        <f>IF(E2="住宅",2,"")</f>
        <v>2</v>
      </c>
      <c r="B12" s="2544" t="s">
        <v>2650</v>
      </c>
      <c r="C12" s="944">
        <f>ROUND(C15*D15*E15*F15*G15*H15*I15*J15,4)</f>
        <v>1.32</v>
      </c>
      <c r="D12" s="2545" t="s">
        <v>2651</v>
      </c>
      <c r="E12" s="2546"/>
      <c r="F12" s="2546"/>
      <c r="G12" s="2547"/>
      <c r="H12" s="2547"/>
      <c r="I12" s="2547"/>
      <c r="J12" s="2548"/>
      <c r="L12" s="2549" t="s">
        <v>2652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34"/>
      <c r="X12" s="1723" t="s">
        <v>2653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39"/>
      <c r="B13" s="2550" t="s">
        <v>2654</v>
      </c>
      <c r="C13" s="2551" t="s">
        <v>2655</v>
      </c>
      <c r="D13" s="2552" t="s">
        <v>2656</v>
      </c>
      <c r="E13" s="2552" t="s">
        <v>2657</v>
      </c>
      <c r="F13" s="20" t="s">
        <v>2658</v>
      </c>
      <c r="G13" s="2553" t="s">
        <v>2659</v>
      </c>
      <c r="H13" s="2553" t="s">
        <v>2659</v>
      </c>
      <c r="I13" s="2553" t="s">
        <v>2659</v>
      </c>
      <c r="J13" s="2554" t="s">
        <v>2659</v>
      </c>
      <c r="L13" s="1461"/>
      <c r="M13" s="1461"/>
      <c r="N13" s="1461"/>
      <c r="O13" s="1461"/>
      <c r="P13" s="1461"/>
      <c r="Q13" s="1461"/>
      <c r="R13" s="1708">
        <v>12</v>
      </c>
      <c r="S13" s="1709"/>
      <c r="T13" s="1708">
        <f t="shared" ca="1" si="0"/>
        <v>0</v>
      </c>
      <c r="U13" s="1709"/>
      <c r="V13" s="1708">
        <f t="shared" ca="1" si="1"/>
        <v>0</v>
      </c>
      <c r="W13" s="3034"/>
      <c r="X13" s="1723"/>
      <c r="Y13" s="1720">
        <f>(-0.163*(Y12^2)-0.59*Y12+7617)*(10^(-4))/Y11</f>
        <v>0.19835937500000003</v>
      </c>
      <c r="Z13" s="1720">
        <f t="shared" ref="Z13:AJ13" si="5">(-0.163*(Z12^2)-0.59*Z12+7617)*(10^(-4))/Z11</f>
        <v>0.19835937500000003</v>
      </c>
      <c r="AA13" s="1720">
        <f t="shared" si="5"/>
        <v>0.19835937500000003</v>
      </c>
      <c r="AB13" s="1720">
        <f t="shared" si="5"/>
        <v>0.19835937500000003</v>
      </c>
      <c r="AC13" s="1720">
        <f t="shared" si="5"/>
        <v>0.19835937500000003</v>
      </c>
      <c r="AD13" s="1720">
        <f t="shared" si="5"/>
        <v>0.19835937500000003</v>
      </c>
      <c r="AE13" s="1720">
        <f t="shared" si="5"/>
        <v>0.19835937500000003</v>
      </c>
      <c r="AF13" s="1720">
        <f t="shared" si="5"/>
        <v>0.19835937500000003</v>
      </c>
      <c r="AG13" s="1720">
        <f t="shared" si="5"/>
        <v>0.19835937500000003</v>
      </c>
      <c r="AH13" s="1720">
        <f t="shared" si="5"/>
        <v>0.19835937500000003</v>
      </c>
      <c r="AI13" s="1720">
        <f t="shared" si="5"/>
        <v>0.19835937500000003</v>
      </c>
      <c r="AJ13" s="1720">
        <f t="shared" si="5"/>
        <v>0.19835937500000003</v>
      </c>
    </row>
    <row r="14" spans="1:36" ht="15">
      <c r="A14" s="3039"/>
      <c r="B14" s="2555"/>
      <c r="C14" s="2556" t="s">
        <v>2852</v>
      </c>
      <c r="D14" s="2557" t="s">
        <v>2869</v>
      </c>
      <c r="E14" s="2557" t="s">
        <v>2660</v>
      </c>
      <c r="F14" s="2558" t="s">
        <v>2661</v>
      </c>
      <c r="G14" s="2559" t="s">
        <v>2662</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40"/>
      <c r="B15" s="2563" t="s">
        <v>2663</v>
      </c>
      <c r="C15" s="150">
        <f>IF(C14="有",1.1,1)</f>
        <v>1</v>
      </c>
      <c r="D15" s="150">
        <f>IF(D14="有",1.1,1)</f>
        <v>1.1000000000000001</v>
      </c>
      <c r="E15" s="150">
        <f>IF(E14="有",1.1,1)</f>
        <v>1</v>
      </c>
      <c r="F15" s="150">
        <f>IF(F14="500米范围内",1.2,IF(F14="500-1000米",1.1,1))</f>
        <v>1.2</v>
      </c>
      <c r="G15" s="976">
        <v>1</v>
      </c>
      <c r="H15" s="976">
        <v>1</v>
      </c>
      <c r="I15" s="976">
        <v>1</v>
      </c>
      <c r="J15" s="977">
        <v>1</v>
      </c>
      <c r="L15" s="2564" t="s">
        <v>2664</v>
      </c>
      <c r="M15" s="945" t="s">
        <v>2665</v>
      </c>
      <c r="N15" s="945" t="s">
        <v>2666</v>
      </c>
      <c r="O15" s="945" t="s">
        <v>2667</v>
      </c>
      <c r="P15" s="2565" t="s">
        <v>2668</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19">
        <f>IF(E2="办公",2,IF(E2="工业",2,IF(E2="住宅",3,IF(E2="商业",IF(C8="不临58条商业街",2,3)))))</f>
        <v>3</v>
      </c>
      <c r="B16" s="2531" t="s">
        <v>2669</v>
      </c>
      <c r="C16" s="1884">
        <f>ROUND(SUM(G17:J17)/C17,0)</f>
        <v>0</v>
      </c>
      <c r="D16" s="2566" t="s">
        <v>2670</v>
      </c>
      <c r="E16" s="2567" t="s">
        <v>2854</v>
      </c>
      <c r="F16" s="2568" t="s">
        <v>2855</v>
      </c>
      <c r="G16" s="2569"/>
      <c r="H16" s="2569"/>
      <c r="I16" s="2569"/>
      <c r="J16" s="2570"/>
      <c r="L16" s="1459" t="s">
        <v>2671</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20"/>
      <c r="B17" s="2571" t="s">
        <v>2672</v>
      </c>
      <c r="C17" s="949">
        <f>SUMPRODUCT((修正!A2:A5=E2)*(修正!B1:M1=G2)*(修正!B2:M5))</f>
        <v>2.5</v>
      </c>
      <c r="D17" s="2572" t="s">
        <v>2673</v>
      </c>
      <c r="E17" s="948" t="str">
        <f>IF(OR(G2="八级",G2="九级",G2="十级",G2="十一级",G2="十二级"),"五通一平","七通一平")</f>
        <v>七通一平</v>
      </c>
      <c r="F17" s="949" t="s">
        <v>2674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2676</v>
      </c>
      <c r="B18" s="2574" t="s">
        <v>2677</v>
      </c>
      <c r="C18" s="951">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2678</v>
      </c>
      <c r="B19" s="2574" t="s">
        <v>2679</v>
      </c>
      <c r="C19" s="952">
        <f>ROUND(IF(H19="按公示增长率计算",SUMPRODUCT((地价!A3:A22=YEAR(G19)&amp;"-"&amp;ROUNDUP(MONTH(G19)/3,0))*(地价!X2:AB2=E2)*(地价!X3:AB22)),IF(H19="地价指数",M20/M19,(1+I19)^O19)),4)</f>
        <v>1.5059</v>
      </c>
      <c r="D19" s="2582" t="s">
        <v>2680</v>
      </c>
      <c r="E19" s="953">
        <v>41640</v>
      </c>
      <c r="F19" s="2582" t="s">
        <v>2681</v>
      </c>
      <c r="G19" s="954">
        <f>'数据-取费表'!B2</f>
        <v>43256</v>
      </c>
      <c r="H19" s="2583" t="s">
        <v>2856</v>
      </c>
      <c r="I19" s="955" t="str">
        <f>IF(H19="季度增幅（自定义）",SUMIF(N21:N24,E2,O21:O24),"")</f>
        <v/>
      </c>
      <c r="J19" s="2579"/>
      <c r="K19" s="2580"/>
      <c r="L19" s="2584" t="s">
        <v>2682</v>
      </c>
      <c r="M19" s="1825">
        <f>ROUND(SUMIF(地价!B2:F2,E2,地价!B22:F22),0)</f>
        <v>423</v>
      </c>
      <c r="N19" s="1465" t="s">
        <v>2683</v>
      </c>
      <c r="O19" s="956">
        <f>ROUNDDOWN(DATEDIF(E19,G19,"M")/3,0)</f>
        <v>17</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2684</v>
      </c>
      <c r="B20" s="2589" t="s">
        <v>2685</v>
      </c>
      <c r="C20" s="957">
        <f ca="1">ROUND(POWER(1+G20,J20-I20)*(POWER(1+G20,I20)-1)/(POWER(1+G20,J20)-1),4)</f>
        <v>0.9546</v>
      </c>
      <c r="D20" s="2590" t="s">
        <v>2686</v>
      </c>
      <c r="E20" s="1855">
        <f ca="1">存贷款利率!D4/100</f>
        <v>4.3499999999999997E-2</v>
      </c>
      <c r="F20" s="2590" t="s">
        <v>2675</v>
      </c>
      <c r="G20" s="963">
        <f ca="1">SUMIF(M15:P15,E2,M17:P17)</f>
        <v>0.05</v>
      </c>
      <c r="H20" s="2590" t="s">
        <v>2687</v>
      </c>
      <c r="I20" s="964">
        <f>'数据-取费表'!B13</f>
        <v>52.61</v>
      </c>
      <c r="J20" s="965">
        <f>IF(E2="住宅",70,IF(E2="商业",40,50))</f>
        <v>70</v>
      </c>
      <c r="K20" s="2580"/>
      <c r="L20" s="2591" t="s">
        <v>2688</v>
      </c>
      <c r="M20" s="1826">
        <f>ROUND(SUMPRODUCT((地价!A4:A22=YEAR(G19)&amp;"-"&amp;ROUNDUP(MONTH(G19)/3,0))*(地价!B2:F2=E2)*(地价!B4:F22)),0)</f>
        <v>637</v>
      </c>
      <c r="N20" s="2592" t="s">
        <v>2689</v>
      </c>
      <c r="O20" s="2593" t="s">
        <v>2690</v>
      </c>
      <c r="P20" s="2594" t="s">
        <v>2691</v>
      </c>
      <c r="R20" s="1461"/>
      <c r="S20" s="1461"/>
      <c r="T20" s="1461"/>
      <c r="U20" s="1461"/>
      <c r="V20" s="1461"/>
      <c r="W20" s="1461"/>
      <c r="X20" s="1461"/>
      <c r="Y20" s="1461"/>
      <c r="Z20" s="1461"/>
      <c r="AA20" s="1461"/>
      <c r="AB20" s="1461"/>
      <c r="AC20" s="1461"/>
      <c r="AD20" s="1461"/>
      <c r="AE20" s="2580"/>
      <c r="AF20" s="2580"/>
    </row>
    <row r="21" spans="1:37" s="2523" customFormat="1" ht="14.25">
      <c r="A21" s="2595" t="s">
        <v>2692</v>
      </c>
      <c r="B21" s="2596" t="s">
        <v>2693</v>
      </c>
      <c r="C21" s="966">
        <f>IF(B21="容积率修正",IF(G3&lt;=10,D22,J22),C23)</f>
        <v>0.90600000000000003</v>
      </c>
      <c r="D21" s="2597"/>
      <c r="E21" s="2597"/>
      <c r="F21" s="2597"/>
      <c r="G21" s="2597"/>
      <c r="H21" s="2597"/>
      <c r="I21" s="2597"/>
      <c r="J21" s="2598"/>
      <c r="K21" s="2580"/>
      <c r="N21" s="2599" t="s">
        <v>2694</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2695</v>
      </c>
      <c r="C22" s="1898" t="s">
        <v>2696</v>
      </c>
      <c r="D22" s="1898">
        <f>IF(E22=G22,F22,IF(G3&lt;=10,ROUND(F22+(H22-F22)*(G3-E22)/(G22-E22),4),"——"))</f>
        <v>0.90600000000000003</v>
      </c>
      <c r="E22" s="941">
        <f>ROUNDDOWN(G3,1)</f>
        <v>3.8</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8" t="s">
        <v>104</v>
      </c>
      <c r="J22" s="967" t="str">
        <f>IF(G3&gt;10,D113,"——")</f>
        <v>——</v>
      </c>
      <c r="K22" s="2580"/>
      <c r="N22" s="2599" t="s">
        <v>2697</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0"/>
      <c r="AF22" s="2580"/>
    </row>
    <row r="23" spans="1:37" ht="27">
      <c r="A23" s="2600">
        <v>2</v>
      </c>
      <c r="B23" s="2601" t="s">
        <v>2698</v>
      </c>
      <c r="C23" s="958">
        <f>ROUND(IF(G3&gt;1,IF(I3&lt;7,SUMPRODUCT((B93:B98=I3)*(C92:N92=G2)*(C93:N98)),SUMIF(C92:N92,G2,C100:N100)),IF(I3&lt;7,SUMPRODUCT((B102:B107=I3)*(C92:N92=G2)*(C102:N107)),SUMIF(C92:N92,G2,C109:N109))),4)</f>
        <v>0</v>
      </c>
      <c r="D23" s="2560"/>
      <c r="E23" s="2560"/>
      <c r="F23" s="2602"/>
      <c r="G23" s="2603"/>
      <c r="H23" s="2604"/>
      <c r="I23" s="2605"/>
      <c r="J23" s="2606"/>
      <c r="N23" s="2599" t="s">
        <v>2699</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2700</v>
      </c>
      <c r="B24" s="2608" t="s">
        <v>2701</v>
      </c>
      <c r="C24" s="968">
        <f>SUMIF(A46:A88,E2,B46:B88)</f>
        <v>1.0508</v>
      </c>
      <c r="D24" s="2609"/>
      <c r="E24" s="2610"/>
      <c r="F24" s="2610"/>
      <c r="G24" s="2610"/>
      <c r="H24" s="2610"/>
      <c r="I24" s="2610"/>
      <c r="J24" s="2611"/>
      <c r="K24" s="2580"/>
      <c r="N24" s="2612" t="s">
        <v>2702</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0"/>
      <c r="AF24" s="2580"/>
    </row>
    <row r="25" spans="1:37" ht="15" thickBot="1">
      <c r="A25" s="2588" t="s">
        <v>2703</v>
      </c>
      <c r="B25" s="2613" t="s">
        <v>2704</v>
      </c>
      <c r="C25" s="959"/>
      <c r="D25" s="2534"/>
      <c r="E25" s="2534"/>
      <c r="F25" s="2614"/>
      <c r="G25" s="2534"/>
      <c r="H25" s="2534"/>
      <c r="I25" s="2534"/>
      <c r="J25" s="2535"/>
      <c r="L25" s="1461"/>
      <c r="M25" s="1461"/>
      <c r="N25" s="2615" t="s">
        <v>2705</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6"/>
      <c r="B26" s="2601" t="s">
        <v>2706</v>
      </c>
      <c r="C26" s="123">
        <f ca="1">E29+SUM(E33:E39)</f>
        <v>7093596</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2707</v>
      </c>
      <c r="C27" s="960" t="e">
        <f ca="1">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2708</v>
      </c>
      <c r="C28" s="2626" t="s">
        <v>2709</v>
      </c>
      <c r="D28" s="2626" t="s">
        <v>2710</v>
      </c>
      <c r="E28" s="2627" t="s">
        <v>2711</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2712</v>
      </c>
      <c r="C29" s="123">
        <f ca="1">ROUND(C5*C18*C19*C20*C21*C24,0)</f>
        <v>39798</v>
      </c>
      <c r="D29" s="2631">
        <f>项目基本情况!C12</f>
        <v>178.24</v>
      </c>
      <c r="E29" s="972">
        <f ca="1">ROUND(C29*D29,0)</f>
        <v>7093596</v>
      </c>
      <c r="F29" s="2632" t="s">
        <v>2713</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2714</v>
      </c>
      <c r="C30" s="150">
        <f ca="1">ROUND(IF(E2="工业",C29*M39,C29*M38),0)</f>
        <v>9950</v>
      </c>
      <c r="D30" s="2637"/>
      <c r="E30" s="972">
        <f ca="1">ROUND(C30*D30,0)</f>
        <v>0</v>
      </c>
      <c r="F30" s="2638" t="s">
        <v>2715</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2716</v>
      </c>
      <c r="C31" s="2643" t="s">
        <v>2717</v>
      </c>
      <c r="D31" s="2547"/>
      <c r="E31" s="2643"/>
      <c r="F31" s="2643"/>
      <c r="G31" s="2545" t="s">
        <v>2718</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2709</v>
      </c>
      <c r="D32" s="479" t="s">
        <v>2710</v>
      </c>
      <c r="E32" s="479" t="s">
        <v>2711</v>
      </c>
      <c r="F32" s="367" t="s">
        <v>2719</v>
      </c>
      <c r="G32" s="958" t="s">
        <v>2709</v>
      </c>
      <c r="H32" s="958" t="s">
        <v>2710</v>
      </c>
      <c r="I32" s="958" t="s">
        <v>2711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29" t="s">
        <v>2720</v>
      </c>
      <c r="B33" s="2646" t="s">
        <v>2721</v>
      </c>
      <c r="C33" s="123">
        <f ca="1">ROUND(D5*C19*C20*C24*F33,0)</f>
        <v>0</v>
      </c>
      <c r="D33" s="263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30"/>
      <c r="B34" s="2551" t="s">
        <v>2722</v>
      </c>
      <c r="C34" s="123">
        <f ca="1">ROUND(D5*C19*C20*C24*F34,0)</f>
        <v>0</v>
      </c>
      <c r="D34" s="2631"/>
      <c r="E34" s="117">
        <f t="shared" ca="1" si="6"/>
        <v>0</v>
      </c>
      <c r="F34" s="117">
        <f>SUMIF(修正!A45:A56,G2,修正!C45:C56)</f>
        <v>0.5</v>
      </c>
      <c r="G34" s="117">
        <f t="shared" ca="1" si="7"/>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30"/>
      <c r="B35" s="2551" t="s">
        <v>2723</v>
      </c>
      <c r="C35" s="123">
        <f ca="1">ROUND(D5*C19*C20*C24*F35,0)</f>
        <v>0</v>
      </c>
      <c r="D35" s="2631"/>
      <c r="E35" s="117">
        <f t="shared" ca="1" si="6"/>
        <v>0</v>
      </c>
      <c r="F35" s="117">
        <f>SUMIF(修正!A45:A56,G2,修正!D45:D56)</f>
        <v>0.36</v>
      </c>
      <c r="G35" s="117">
        <f t="shared" ca="1" si="7"/>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31"/>
      <c r="B36" s="2551" t="s">
        <v>2724</v>
      </c>
      <c r="C36" s="123">
        <f ca="1">ROUND(D5*C19*C20*C24*F36,0)</f>
        <v>0</v>
      </c>
      <c r="D36" s="2631"/>
      <c r="E36" s="117">
        <f t="shared" ca="1" si="6"/>
        <v>0</v>
      </c>
      <c r="F36" s="117">
        <f>SUMIF(修正!A45:A56,G2,修正!E45:E56)</f>
        <v>0.3</v>
      </c>
      <c r="G36" s="117">
        <f t="shared" ca="1" si="7"/>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2725</v>
      </c>
      <c r="C37" s="117">
        <f ca="1">ROUND(C5*C19*C20*C24*F37,0)</f>
        <v>13178</v>
      </c>
      <c r="D37" s="2631"/>
      <c r="E37" s="117">
        <f t="shared" ca="1" si="6"/>
        <v>0</v>
      </c>
      <c r="F37" s="123">
        <f>SUMIF(修正!A45:A56,G2,修正!F45:F56)</f>
        <v>0.3</v>
      </c>
      <c r="G37" s="117">
        <f t="shared" ca="1" si="7"/>
        <v>3295</v>
      </c>
      <c r="H37" s="117">
        <f t="shared" si="9"/>
        <v>0</v>
      </c>
      <c r="I37" s="117">
        <f t="shared" ca="1" si="8"/>
        <v>0</v>
      </c>
      <c r="J37" s="2647"/>
      <c r="L37" s="2650" t="s">
        <v>2726</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2727</v>
      </c>
      <c r="C38" s="117">
        <f ca="1">ROUND(C5*C19*C20*C24*F38,0)</f>
        <v>13178</v>
      </c>
      <c r="D38" s="2631"/>
      <c r="E38" s="117">
        <f t="shared" ca="1" si="6"/>
        <v>0</v>
      </c>
      <c r="F38" s="123">
        <f>SUMIF(修正!A45:A56,G2,修正!G45:G56)</f>
        <v>0.3</v>
      </c>
      <c r="G38" s="117">
        <f t="shared" ca="1" si="7"/>
        <v>3295</v>
      </c>
      <c r="H38" s="117">
        <f t="shared" si="9"/>
        <v>0</v>
      </c>
      <c r="I38" s="117">
        <f t="shared" ca="1" si="8"/>
        <v>0</v>
      </c>
      <c r="J38" s="2647"/>
      <c r="L38" s="2651" t="s">
        <v>2728</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2729</v>
      </c>
      <c r="C39" s="150">
        <f ca="1">ROUND(C5*C19*C20*C24*F39,0)</f>
        <v>10982</v>
      </c>
      <c r="D39" s="2637"/>
      <c r="E39" s="150">
        <f t="shared" ca="1" si="6"/>
        <v>0</v>
      </c>
      <c r="F39" s="961">
        <f>SUMIF(修正!A45:A56,G2,修正!H45:H56)</f>
        <v>0.25</v>
      </c>
      <c r="G39" s="150" t="e">
        <f t="shared" si="7"/>
        <v>#DIV/0!</v>
      </c>
      <c r="H39" s="150">
        <f t="shared" si="9"/>
        <v>0</v>
      </c>
      <c r="I39" s="150" t="e">
        <f t="shared" si="8"/>
        <v>#DIV/0!</v>
      </c>
      <c r="J39" s="2654"/>
      <c r="L39" s="2655" t="s">
        <v>2668</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2730</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2731</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2732</v>
      </c>
      <c r="B47" s="823" t="s">
        <v>2733</v>
      </c>
      <c r="C47" s="823" t="s">
        <v>2734</v>
      </c>
      <c r="D47" s="823" t="s">
        <v>2735</v>
      </c>
      <c r="E47" s="824" t="s">
        <v>2736</v>
      </c>
      <c r="F47" s="2668" t="s">
        <v>2737</v>
      </c>
      <c r="G47" s="823" t="s">
        <v>2738</v>
      </c>
      <c r="H47" s="2669" t="s">
        <v>2739</v>
      </c>
      <c r="I47" s="823" t="s">
        <v>2740</v>
      </c>
      <c r="J47" s="587" t="s">
        <v>2741</v>
      </c>
      <c r="K47" s="587" t="s">
        <v>2742</v>
      </c>
      <c r="L47" s="587" t="s">
        <v>2743</v>
      </c>
      <c r="M47" s="587" t="s">
        <v>2744</v>
      </c>
      <c r="N47" s="587" t="s">
        <v>2745</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2746</v>
      </c>
      <c r="B48" s="2670">
        <f>估价对象房地状况!C16</f>
        <v>0</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2747</v>
      </c>
      <c r="B49" s="2671" t="str">
        <f>估价对象房地状况!C18</f>
        <v>估价对象紧邻城市快速——北二环路，公共交通通达情况较好，有停车便捷程度一般，综合评价交通便捷度较好。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2748</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2749</v>
      </c>
      <c r="B51" s="2672" t="s">
        <v>2750</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2751</v>
      </c>
      <c r="B52" s="2671" t="str">
        <f>估价对象房地状况!C24</f>
        <v>城市快速路——北二环路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2752</v>
      </c>
      <c r="B53" s="2673" t="s">
        <v>2753</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127.5">
      <c r="A54" s="2674" t="s">
        <v>2754</v>
      </c>
      <c r="B5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2755</v>
      </c>
      <c r="B55" s="2671" t="str">
        <f>估价对象房地状况!C22</f>
        <v>估价对象所在区域基础设施水平达到“七通”。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2756</v>
      </c>
      <c r="B56" s="2677" t="str">
        <f>估价对象房地状况!C20</f>
        <v>区域自然环境：怡心园；人文环境：西城经济科学大学；综合评价环境状况较好。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2757</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2732</v>
      </c>
      <c r="B58" s="2671"/>
      <c r="C58" s="823" t="s">
        <v>2734</v>
      </c>
      <c r="D58" s="823" t="s">
        <v>2735</v>
      </c>
      <c r="E58" s="824" t="s">
        <v>2736</v>
      </c>
      <c r="F58" s="2668" t="s">
        <v>2737</v>
      </c>
      <c r="G58" s="823" t="s">
        <v>2758</v>
      </c>
      <c r="H58" s="2669" t="s">
        <v>2759</v>
      </c>
      <c r="I58" s="823" t="s">
        <v>2760</v>
      </c>
      <c r="J58" s="587" t="s">
        <v>2394</v>
      </c>
      <c r="K58" s="587" t="s">
        <v>2395</v>
      </c>
      <c r="L58" s="587" t="s">
        <v>2396</v>
      </c>
      <c r="M58" s="587" t="s">
        <v>2397</v>
      </c>
      <c r="N58" s="587" t="s">
        <v>2398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2761</v>
      </c>
      <c r="B59" s="2670">
        <f>估价对象房地状况!C17</f>
        <v>0</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2747</v>
      </c>
      <c r="B60" s="2671" t="str">
        <f>估价对象房地状况!C18</f>
        <v>估价对象紧邻城市快速——北二环路，公共交通通达情况较好，有停车便捷程度一般，综合评价交通便捷度较好。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2748</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2749</v>
      </c>
      <c r="B62" s="2672" t="s">
        <v>2750</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2751</v>
      </c>
      <c r="B63" s="2671" t="str">
        <f>估价对象房地状况!C24</f>
        <v>城市快速路——北二环路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2752</v>
      </c>
      <c r="B64" s="2673" t="s">
        <v>2753</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127.5">
      <c r="A65" s="2667" t="s">
        <v>2754</v>
      </c>
      <c r="B65"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2755</v>
      </c>
      <c r="B66" s="2675" t="str">
        <f>估价对象房地状况!C22</f>
        <v>估价对象所在区域基础设施水平达到“七通”。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2756</v>
      </c>
      <c r="B67" s="2679" t="str">
        <f>估价对象房地状况!C20</f>
        <v>区域自然环境：怡心园；人文环境：西城经济科学大学；综合评价环境状况较好。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2762</v>
      </c>
      <c r="B68" s="2678">
        <f>1+E70</f>
        <v>1.0508</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2732</v>
      </c>
      <c r="B69" s="2671"/>
      <c r="C69" s="823" t="s">
        <v>2734</v>
      </c>
      <c r="D69" s="823" t="s">
        <v>2735</v>
      </c>
      <c r="E69" s="824" t="s">
        <v>2736</v>
      </c>
      <c r="F69" s="2668" t="s">
        <v>2737</v>
      </c>
      <c r="G69" s="823" t="s">
        <v>2758</v>
      </c>
      <c r="H69" s="2669" t="s">
        <v>2759</v>
      </c>
      <c r="I69" s="823" t="s">
        <v>2760</v>
      </c>
      <c r="J69" s="587" t="s">
        <v>2394</v>
      </c>
      <c r="K69" s="587" t="s">
        <v>2395</v>
      </c>
      <c r="L69" s="587" t="s">
        <v>2396</v>
      </c>
      <c r="M69" s="587" t="s">
        <v>2397</v>
      </c>
      <c r="N69" s="587" t="s">
        <v>2398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63.75">
      <c r="A70" s="2667" t="s">
        <v>2763</v>
      </c>
      <c r="B70" s="2670" t="str">
        <f>估价对象房地状况!C15</f>
        <v>估价对象周边居住用地比例大、居住小区规模较大和社区发展完善程度好，综合评价居住社区成熟度好。</v>
      </c>
      <c r="C70" s="2557" t="s">
        <v>29</v>
      </c>
      <c r="D70" s="1375">
        <f t="shared" ref="D70:D78" si="20">SUMIF($J$69:$N$69,C70,J70:N70)</f>
        <v>1.14E-2</v>
      </c>
      <c r="E70" s="829">
        <f>ROUND(SUM(D70:D78),4)</f>
        <v>5.0799999999999998E-2</v>
      </c>
      <c r="F70" s="2274">
        <f>IF(E2="住宅",SUMIF(L1:L12,G2,N1:N12),"——")</f>
        <v>8.2000000000000003E-2</v>
      </c>
      <c r="G70" s="1376">
        <f>H70</f>
        <v>5.7000000000000002E-3</v>
      </c>
      <c r="H70" s="1380">
        <f t="shared" ref="H70:H78" si="21">IFERROR(ROUNDDOWN($F$70*I70/2,4),"——")</f>
        <v>5.7000000000000002E-3</v>
      </c>
      <c r="I70" s="828">
        <v>0.14000000000000001</v>
      </c>
      <c r="J70" s="1377">
        <f t="shared" ref="J70:J78" si="22">K70+$G70</f>
        <v>1.14E-2</v>
      </c>
      <c r="K70" s="1377">
        <f t="shared" ref="K70:K78" si="23">$L70+$G70</f>
        <v>5.7000000000000002E-3</v>
      </c>
      <c r="L70" s="1377">
        <v>0</v>
      </c>
      <c r="M70" s="1377">
        <f t="shared" ref="M70:N78" si="24">L70-$G70</f>
        <v>-5.7000000000000002E-3</v>
      </c>
      <c r="N70" s="1377">
        <f t="shared" si="24"/>
        <v>-1.14E-2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2747</v>
      </c>
      <c r="B71" s="2671" t="str">
        <f>估价对象房地状况!C18</f>
        <v>估价对象紧邻城市快速——北二环路，公共交通通达情况较好，有停车便捷程度一般，综合评价交通便捷度较好。</v>
      </c>
      <c r="C71" s="2557" t="s">
        <v>30</v>
      </c>
      <c r="D71" s="1375">
        <f t="shared" si="20"/>
        <v>1.23E-2</v>
      </c>
      <c r="E71" s="840"/>
      <c r="F71" s="2680"/>
      <c r="G71" s="1376">
        <f t="shared" ref="G71:G78" si="25">H71</f>
        <v>1.23E-2</v>
      </c>
      <c r="H71" s="1380">
        <f t="shared" si="21"/>
        <v>1.23E-2</v>
      </c>
      <c r="I71" s="828">
        <v>0.3</v>
      </c>
      <c r="J71" s="1377">
        <f t="shared" si="22"/>
        <v>2.46E-2</v>
      </c>
      <c r="K71" s="1377">
        <f t="shared" si="23"/>
        <v>1.23E-2</v>
      </c>
      <c r="L71" s="1377">
        <v>0</v>
      </c>
      <c r="M71" s="1377">
        <f t="shared" si="24"/>
        <v>-1.23E-2</v>
      </c>
      <c r="N71" s="1377">
        <f t="shared" si="24"/>
        <v>-2.46E-2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2748</v>
      </c>
      <c r="B72" s="2671">
        <f>估价对象房地状况!C19</f>
        <v>0</v>
      </c>
      <c r="C72" s="2557" t="s">
        <v>30</v>
      </c>
      <c r="D72" s="1375">
        <f t="shared" si="20"/>
        <v>3.2000000000000002E-3</v>
      </c>
      <c r="E72" s="840"/>
      <c r="F72" s="2680"/>
      <c r="G72" s="1376">
        <f t="shared" si="25"/>
        <v>3.2000000000000002E-3</v>
      </c>
      <c r="H72" s="1380">
        <f t="shared" si="21"/>
        <v>3.2000000000000002E-3</v>
      </c>
      <c r="I72" s="828">
        <v>0.08</v>
      </c>
      <c r="J72" s="1377">
        <f t="shared" si="22"/>
        <v>6.4000000000000003E-3</v>
      </c>
      <c r="K72" s="1377">
        <f t="shared" si="23"/>
        <v>3.2000000000000002E-3</v>
      </c>
      <c r="L72" s="1377">
        <v>0</v>
      </c>
      <c r="M72" s="1377">
        <f t="shared" si="24"/>
        <v>-3.2000000000000002E-3</v>
      </c>
      <c r="N72" s="1377">
        <f t="shared" si="24"/>
        <v>-6.4000000000000003E-3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2764</v>
      </c>
      <c r="B73" s="2671" t="str">
        <f>估价对象房地状况!C24</f>
        <v>城市快速路——北二环路</v>
      </c>
      <c r="C73" s="2557" t="s">
        <v>29</v>
      </c>
      <c r="D73" s="1375">
        <f t="shared" si="20"/>
        <v>3.2000000000000002E-3</v>
      </c>
      <c r="E73" s="840"/>
      <c r="F73" s="2680"/>
      <c r="G73" s="1376">
        <f t="shared" si="25"/>
        <v>1.6000000000000001E-3</v>
      </c>
      <c r="H73" s="1380">
        <f t="shared" si="21"/>
        <v>1.6000000000000001E-3</v>
      </c>
      <c r="I73" s="828">
        <v>0.04</v>
      </c>
      <c r="J73" s="1377">
        <f t="shared" si="22"/>
        <v>3.2000000000000002E-3</v>
      </c>
      <c r="K73" s="1377">
        <f t="shared" si="23"/>
        <v>1.6000000000000001E-3</v>
      </c>
      <c r="L73" s="1377">
        <v>0</v>
      </c>
      <c r="M73" s="1377">
        <f t="shared" si="24"/>
        <v>-1.6000000000000001E-3</v>
      </c>
      <c r="N73" s="1377">
        <f t="shared" si="24"/>
        <v>-3.2000000000000002E-3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127.5">
      <c r="A74" s="2667" t="s">
        <v>2754</v>
      </c>
      <c r="B7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7" t="s">
        <v>30</v>
      </c>
      <c r="D74" s="1375">
        <f t="shared" si="20"/>
        <v>3.2000000000000002E-3</v>
      </c>
      <c r="E74" s="840"/>
      <c r="F74" s="2680"/>
      <c r="G74" s="1376">
        <f t="shared" si="25"/>
        <v>3.2000000000000002E-3</v>
      </c>
      <c r="H74" s="1380">
        <f t="shared" si="21"/>
        <v>3.2000000000000002E-3</v>
      </c>
      <c r="I74" s="828">
        <v>0.08</v>
      </c>
      <c r="J74" s="1377">
        <f t="shared" si="22"/>
        <v>6.4000000000000003E-3</v>
      </c>
      <c r="K74" s="1377">
        <f t="shared" si="23"/>
        <v>3.2000000000000002E-3</v>
      </c>
      <c r="L74" s="1377">
        <v>0</v>
      </c>
      <c r="M74" s="1377">
        <f t="shared" si="24"/>
        <v>-3.2000000000000002E-3</v>
      </c>
      <c r="N74" s="1377">
        <f t="shared" si="24"/>
        <v>-6.4000000000000003E-3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2755</v>
      </c>
      <c r="B75" s="2675" t="str">
        <f>估价对象房地状况!C22</f>
        <v>估价对象所在区域基础设施水平达到“七通”。</v>
      </c>
      <c r="C75" s="2557" t="s">
        <v>29</v>
      </c>
      <c r="D75" s="1375">
        <f t="shared" si="20"/>
        <v>9.7999999999999997E-3</v>
      </c>
      <c r="E75" s="840"/>
      <c r="F75" s="2680"/>
      <c r="G75" s="1376">
        <f t="shared" si="25"/>
        <v>4.8999999999999998E-3</v>
      </c>
      <c r="H75" s="1380">
        <f t="shared" si="21"/>
        <v>4.8999999999999998E-3</v>
      </c>
      <c r="I75" s="828">
        <v>0.12</v>
      </c>
      <c r="J75" s="1377">
        <f t="shared" si="22"/>
        <v>9.7999999999999997E-3</v>
      </c>
      <c r="K75" s="1377">
        <f t="shared" si="23"/>
        <v>4.8999999999999998E-3</v>
      </c>
      <c r="L75" s="1377">
        <v>0</v>
      </c>
      <c r="M75" s="1377">
        <f t="shared" si="24"/>
        <v>-4.8999999999999998E-3</v>
      </c>
      <c r="N75" s="1377">
        <f t="shared" si="24"/>
        <v>-9.7999999999999997E-3</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2752</v>
      </c>
      <c r="B76" s="2673" t="s">
        <v>2753</v>
      </c>
      <c r="C76" s="2557" t="s">
        <v>31</v>
      </c>
      <c r="D76" s="1375">
        <f t="shared" si="20"/>
        <v>0</v>
      </c>
      <c r="E76" s="840"/>
      <c r="F76" s="2680"/>
      <c r="G76" s="1376">
        <f t="shared" si="25"/>
        <v>2E-3</v>
      </c>
      <c r="H76" s="1380">
        <f t="shared" si="21"/>
        <v>2E-3</v>
      </c>
      <c r="I76" s="828">
        <v>0.05</v>
      </c>
      <c r="J76" s="1377">
        <f t="shared" si="22"/>
        <v>4.0000000000000001E-3</v>
      </c>
      <c r="K76" s="1377">
        <f t="shared" si="23"/>
        <v>2E-3</v>
      </c>
      <c r="L76" s="1377">
        <v>0</v>
      </c>
      <c r="M76" s="1377">
        <f t="shared" si="24"/>
        <v>-2E-3</v>
      </c>
      <c r="N76" s="1377">
        <f t="shared" si="24"/>
        <v>-4.0000000000000001E-3</v>
      </c>
      <c r="Z76" s="2504"/>
      <c r="AA76" s="2581"/>
      <c r="AG76" s="2657"/>
      <c r="AK76" s="2581"/>
    </row>
    <row r="77" spans="1:37" ht="51">
      <c r="A77" s="2667" t="s">
        <v>2756</v>
      </c>
      <c r="B77" s="2670" t="str">
        <f>估价对象房地状况!C20</f>
        <v>区域自然环境：怡心园；人文环境：西城经济科学大学；综合评价环境状况较好。</v>
      </c>
      <c r="C77" s="2557" t="s">
        <v>30</v>
      </c>
      <c r="D77" s="1375">
        <f t="shared" si="20"/>
        <v>6.1000000000000004E-3</v>
      </c>
      <c r="E77" s="840"/>
      <c r="F77" s="2680"/>
      <c r="G77" s="1376">
        <f t="shared" si="25"/>
        <v>6.1000000000000004E-3</v>
      </c>
      <c r="H77" s="1380">
        <f t="shared" si="21"/>
        <v>6.1000000000000004E-3</v>
      </c>
      <c r="I77" s="828">
        <v>0.15</v>
      </c>
      <c r="J77" s="1377">
        <f t="shared" si="22"/>
        <v>1.2200000000000001E-2</v>
      </c>
      <c r="K77" s="1377">
        <f t="shared" si="23"/>
        <v>6.1000000000000004E-3</v>
      </c>
      <c r="L77" s="1377">
        <v>0</v>
      </c>
      <c r="M77" s="1377">
        <f t="shared" si="24"/>
        <v>-6.1000000000000004E-3</v>
      </c>
      <c r="N77" s="1377">
        <f t="shared" si="24"/>
        <v>-1.2200000000000001E-2</v>
      </c>
      <c r="Z77" s="2504"/>
      <c r="AA77" s="2581"/>
      <c r="AG77" s="2657"/>
      <c r="AK77" s="2581"/>
    </row>
    <row r="78" spans="1:37" ht="24.75" thickBot="1">
      <c r="A78" s="2676" t="s">
        <v>2765</v>
      </c>
      <c r="B78" s="2681"/>
      <c r="C78" s="2557" t="s">
        <v>30</v>
      </c>
      <c r="D78" s="1375">
        <f t="shared" si="20"/>
        <v>1.6000000000000001E-3</v>
      </c>
      <c r="E78" s="841"/>
      <c r="F78" s="2680"/>
      <c r="G78" s="1376">
        <f t="shared" si="25"/>
        <v>1.6000000000000001E-3</v>
      </c>
      <c r="H78" s="1380">
        <f t="shared" si="21"/>
        <v>1.6000000000000001E-3</v>
      </c>
      <c r="I78" s="837">
        <v>0.04</v>
      </c>
      <c r="J78" s="1377">
        <f t="shared" si="22"/>
        <v>3.2000000000000002E-3</v>
      </c>
      <c r="K78" s="1377">
        <f t="shared" si="23"/>
        <v>1.6000000000000001E-3</v>
      </c>
      <c r="L78" s="1377">
        <v>0</v>
      </c>
      <c r="M78" s="1377">
        <f t="shared" si="24"/>
        <v>-1.6000000000000001E-3</v>
      </c>
      <c r="N78" s="1377">
        <f t="shared" si="24"/>
        <v>-3.2000000000000002E-3</v>
      </c>
      <c r="Z78" s="2504"/>
      <c r="AA78" s="2581"/>
      <c r="AG78" s="2657"/>
      <c r="AK78" s="2581"/>
    </row>
    <row r="79" spans="1:37" ht="15">
      <c r="A79" s="2662" t="s">
        <v>2766</v>
      </c>
      <c r="B79" s="2678">
        <f>1+E81</f>
        <v>1</v>
      </c>
      <c r="C79" s="817"/>
      <c r="D79" s="817"/>
      <c r="E79" s="818"/>
      <c r="F79" s="2665"/>
      <c r="G79" s="7"/>
      <c r="H79" s="7"/>
      <c r="I79" s="7"/>
      <c r="J79" s="9"/>
      <c r="K79" s="9"/>
      <c r="L79" s="9"/>
      <c r="M79" s="9"/>
      <c r="N79" s="9"/>
      <c r="Z79" s="2504"/>
      <c r="AA79" s="2581"/>
      <c r="AG79" s="2657"/>
      <c r="AK79" s="2581"/>
    </row>
    <row r="80" spans="1:37" ht="24.75">
      <c r="A80" s="2667" t="s">
        <v>2732</v>
      </c>
      <c r="B80" s="2671"/>
      <c r="C80" s="823" t="s">
        <v>2734</v>
      </c>
      <c r="D80" s="823" t="s">
        <v>2735</v>
      </c>
      <c r="E80" s="824" t="s">
        <v>2736</v>
      </c>
      <c r="F80" s="2668" t="s">
        <v>2737</v>
      </c>
      <c r="G80" s="823" t="s">
        <v>2758</v>
      </c>
      <c r="H80" s="2669" t="s">
        <v>2759</v>
      </c>
      <c r="I80" s="823" t="s">
        <v>2760</v>
      </c>
      <c r="J80" s="587" t="s">
        <v>2394</v>
      </c>
      <c r="K80" s="587" t="s">
        <v>2395</v>
      </c>
      <c r="L80" s="587" t="s">
        <v>2396</v>
      </c>
      <c r="M80" s="587" t="s">
        <v>2397</v>
      </c>
      <c r="N80" s="587" t="s">
        <v>2398</v>
      </c>
      <c r="Z80" s="2504"/>
      <c r="AA80" s="2581"/>
      <c r="AG80" s="2657"/>
      <c r="AK80" s="2581"/>
    </row>
    <row r="81" spans="1:37" ht="38.25">
      <c r="A81" s="2667" t="s">
        <v>2767</v>
      </c>
      <c r="B81" s="2671" t="str">
        <f>估价对象房地状况!G15</f>
        <v>估价对象位于XX开发区，园区建设成熟度XX，产业集聚程度XX</v>
      </c>
      <c r="C81" s="2557"/>
      <c r="D81" s="1375">
        <f t="shared" ref="D81:D88" si="26">SUMIF($J$80:$N$80,C81,J81:N81)</f>
        <v>0</v>
      </c>
      <c r="E81" s="829">
        <f>ROUND(SUM(D81:D88),4)</f>
        <v>0</v>
      </c>
      <c r="F81" s="2274" t="str">
        <f>IF(E2="工业",SUMIF(L1:L12,G2,N1:N12),"——")</f>
        <v>——</v>
      </c>
      <c r="G81" s="1376"/>
      <c r="H81" s="1380" t="str">
        <f t="shared" ref="H81:H88" si="27">IFERROR(ROUNDDOWN($F$81*I81/2,4),"——")</f>
        <v>——</v>
      </c>
      <c r="I81" s="828">
        <v>0.26</v>
      </c>
      <c r="J81" s="1377">
        <f t="shared" ref="J81:J88" si="28">K81+$G81</f>
        <v>0</v>
      </c>
      <c r="K81" s="1377">
        <f t="shared" ref="K81:K88" si="29">$L81+$G81</f>
        <v>0</v>
      </c>
      <c r="L81" s="1377">
        <v>0</v>
      </c>
      <c r="M81" s="1377">
        <f t="shared" ref="M81:N88" si="30">L81-$G81</f>
        <v>0</v>
      </c>
      <c r="N81" s="1377">
        <f t="shared" si="30"/>
        <v>0</v>
      </c>
      <c r="Z81" s="2504"/>
      <c r="AA81" s="2581"/>
      <c r="AG81" s="2657"/>
      <c r="AK81" s="2581"/>
    </row>
    <row r="82" spans="1:37" ht="51">
      <c r="A82" s="2667" t="s">
        <v>2747</v>
      </c>
      <c r="B82" s="2671" t="str">
        <f>估价对象房地状况!G16</f>
        <v>估价对象周边道路状况、公共交通通达情况、停车便捷程度，综合评价交通便捷度较好</v>
      </c>
      <c r="C82" s="2557"/>
      <c r="D82" s="1375">
        <f t="shared" si="26"/>
        <v>0</v>
      </c>
      <c r="E82" s="840"/>
      <c r="F82" s="2680"/>
      <c r="G82" s="1376"/>
      <c r="H82" s="1380" t="str">
        <f t="shared" si="27"/>
        <v>——</v>
      </c>
      <c r="I82" s="828">
        <v>0.33</v>
      </c>
      <c r="J82" s="1377">
        <f t="shared" si="28"/>
        <v>0</v>
      </c>
      <c r="K82" s="1377">
        <f t="shared" si="29"/>
        <v>0</v>
      </c>
      <c r="L82" s="1377">
        <v>0</v>
      </c>
      <c r="M82" s="1377">
        <f t="shared" si="30"/>
        <v>0</v>
      </c>
      <c r="N82" s="1377">
        <f t="shared" si="30"/>
        <v>0</v>
      </c>
      <c r="Z82" s="2504"/>
      <c r="AA82" s="2581"/>
      <c r="AG82" s="2657"/>
      <c r="AK82" s="2581"/>
    </row>
    <row r="83" spans="1:37" ht="24">
      <c r="A83" s="2667" t="s">
        <v>2748</v>
      </c>
      <c r="B83" s="2671">
        <f>估价对象房地状况!G17</f>
        <v>0</v>
      </c>
      <c r="C83" s="2557"/>
      <c r="D83" s="1375">
        <f t="shared" si="26"/>
        <v>0</v>
      </c>
      <c r="E83" s="840"/>
      <c r="F83" s="2680"/>
      <c r="G83" s="1376"/>
      <c r="H83" s="1380" t="str">
        <f t="shared" si="27"/>
        <v>——</v>
      </c>
      <c r="I83" s="828">
        <v>0.05</v>
      </c>
      <c r="J83" s="1377">
        <f t="shared" si="28"/>
        <v>0</v>
      </c>
      <c r="K83" s="1377">
        <f t="shared" si="29"/>
        <v>0</v>
      </c>
      <c r="L83" s="1377">
        <v>0</v>
      </c>
      <c r="M83" s="1377">
        <f t="shared" si="30"/>
        <v>0</v>
      </c>
      <c r="N83" s="1377">
        <f t="shared" si="30"/>
        <v>0</v>
      </c>
      <c r="Z83" s="2504"/>
      <c r="AA83" s="2581"/>
      <c r="AG83" s="2657"/>
      <c r="AK83" s="2581"/>
    </row>
    <row r="84" spans="1:37" ht="14.25">
      <c r="A84" s="2667" t="s">
        <v>2764</v>
      </c>
      <c r="B84" s="2671">
        <f>估价对象房地状况!G22</f>
        <v>0</v>
      </c>
      <c r="C84" s="2557"/>
      <c r="D84" s="1375">
        <f t="shared" si="26"/>
        <v>0</v>
      </c>
      <c r="E84" s="840"/>
      <c r="F84" s="2680"/>
      <c r="G84" s="1376"/>
      <c r="H84" s="1380" t="str">
        <f t="shared" si="27"/>
        <v>——</v>
      </c>
      <c r="I84" s="828">
        <v>0.04</v>
      </c>
      <c r="J84" s="1377">
        <f t="shared" si="28"/>
        <v>0</v>
      </c>
      <c r="K84" s="1377">
        <f t="shared" si="29"/>
        <v>0</v>
      </c>
      <c r="L84" s="1377">
        <v>0</v>
      </c>
      <c r="M84" s="1377">
        <f t="shared" si="30"/>
        <v>0</v>
      </c>
      <c r="N84" s="1377">
        <f t="shared" si="30"/>
        <v>0</v>
      </c>
      <c r="Z84" s="2504"/>
      <c r="AA84" s="2581"/>
      <c r="AG84" s="2657"/>
      <c r="AK84" s="2581"/>
    </row>
    <row r="85" spans="1:37" ht="25.5">
      <c r="A85" s="2667" t="s">
        <v>2754</v>
      </c>
      <c r="B85" s="2675" t="str">
        <f>估价对象房地状况!G19</f>
        <v>估价对象所在区域公共配套设施齐备情况</v>
      </c>
      <c r="C85" s="2557"/>
      <c r="D85" s="1375">
        <f t="shared" si="26"/>
        <v>0</v>
      </c>
      <c r="E85" s="840"/>
      <c r="F85" s="2680"/>
      <c r="G85" s="1376"/>
      <c r="H85" s="1380" t="str">
        <f t="shared" si="27"/>
        <v>——</v>
      </c>
      <c r="I85" s="828">
        <v>0.06</v>
      </c>
      <c r="J85" s="1377">
        <f t="shared" si="28"/>
        <v>0</v>
      </c>
      <c r="K85" s="1377">
        <f t="shared" si="29"/>
        <v>0</v>
      </c>
      <c r="L85" s="1377">
        <v>0</v>
      </c>
      <c r="M85" s="1377">
        <f t="shared" si="30"/>
        <v>0</v>
      </c>
      <c r="N85" s="1377">
        <f t="shared" si="30"/>
        <v>0</v>
      </c>
      <c r="Z85" s="2504"/>
      <c r="AA85" s="2581"/>
      <c r="AG85" s="2657"/>
      <c r="AK85" s="2581"/>
    </row>
    <row r="86" spans="1:37" ht="25.5">
      <c r="A86" s="2667" t="s">
        <v>2755</v>
      </c>
      <c r="B86" s="2675" t="str">
        <f>估价对象房地状况!G20</f>
        <v>估价对象所在区域基础设施水平</v>
      </c>
      <c r="C86" s="2557"/>
      <c r="D86" s="1375">
        <f t="shared" si="26"/>
        <v>0</v>
      </c>
      <c r="E86" s="840"/>
      <c r="F86" s="2680"/>
      <c r="G86" s="1376"/>
      <c r="H86" s="1380" t="str">
        <f t="shared" si="27"/>
        <v>——</v>
      </c>
      <c r="I86" s="828">
        <v>0.15</v>
      </c>
      <c r="J86" s="1377">
        <f t="shared" si="28"/>
        <v>0</v>
      </c>
      <c r="K86" s="1377">
        <f t="shared" si="29"/>
        <v>0</v>
      </c>
      <c r="L86" s="1377">
        <v>0</v>
      </c>
      <c r="M86" s="1377">
        <f t="shared" si="30"/>
        <v>0</v>
      </c>
      <c r="N86" s="1377">
        <f t="shared" si="30"/>
        <v>0</v>
      </c>
      <c r="Z86" s="2504"/>
      <c r="AA86" s="2581"/>
      <c r="AG86" s="2657"/>
      <c r="AK86" s="2581"/>
    </row>
    <row r="87" spans="1:37" ht="24">
      <c r="A87" s="2667" t="s">
        <v>2752</v>
      </c>
      <c r="B87" s="2673" t="s">
        <v>2753</v>
      </c>
      <c r="C87" s="2557"/>
      <c r="D87" s="1375">
        <f t="shared" si="26"/>
        <v>0</v>
      </c>
      <c r="E87" s="840"/>
      <c r="F87" s="2680"/>
      <c r="G87" s="1376"/>
      <c r="H87" s="1380" t="str">
        <f t="shared" si="27"/>
        <v>——</v>
      </c>
      <c r="I87" s="828">
        <v>0.05</v>
      </c>
      <c r="J87" s="1377">
        <f t="shared" si="28"/>
        <v>0</v>
      </c>
      <c r="K87" s="1377">
        <f t="shared" si="29"/>
        <v>0</v>
      </c>
      <c r="L87" s="1377">
        <v>0</v>
      </c>
      <c r="M87" s="1377">
        <f t="shared" si="30"/>
        <v>0</v>
      </c>
      <c r="N87" s="1377">
        <f t="shared" si="30"/>
        <v>0</v>
      </c>
      <c r="Z87" s="2504"/>
      <c r="AA87" s="2581"/>
      <c r="AG87" s="2657"/>
      <c r="AK87" s="2581"/>
    </row>
    <row r="88" spans="1:37" ht="39" thickBot="1">
      <c r="A88" s="2676" t="s">
        <v>2768</v>
      </c>
      <c r="B88" s="2682" t="str">
        <f>估价对象房地状况!G18</f>
        <v>该园区内是否有污染型企业，绿化情况，卫生条件，整体环境状况判断</v>
      </c>
      <c r="C88" s="2683"/>
      <c r="D88" s="1381">
        <f t="shared" si="26"/>
        <v>0</v>
      </c>
      <c r="E88" s="841"/>
      <c r="F88" s="2680"/>
      <c r="G88" s="1376"/>
      <c r="H88" s="1380" t="str">
        <f t="shared" si="27"/>
        <v>——</v>
      </c>
      <c r="I88" s="837">
        <v>0.06</v>
      </c>
      <c r="J88" s="1377">
        <f t="shared" si="28"/>
        <v>0</v>
      </c>
      <c r="K88" s="1377">
        <f t="shared" si="29"/>
        <v>0</v>
      </c>
      <c r="L88" s="1377">
        <v>0</v>
      </c>
      <c r="M88" s="1377">
        <f t="shared" si="30"/>
        <v>0</v>
      </c>
      <c r="N88" s="1377">
        <f t="shared" si="30"/>
        <v>0</v>
      </c>
      <c r="Z88" s="2504"/>
      <c r="AA88" s="2581"/>
      <c r="AG88" s="2657"/>
      <c r="AK88" s="2581"/>
    </row>
    <row r="90" spans="1:37">
      <c r="A90" s="3021" t="s">
        <v>2769</v>
      </c>
      <c r="B90" s="3021"/>
      <c r="C90" s="3021"/>
      <c r="D90" s="3021"/>
      <c r="E90" s="3021"/>
      <c r="F90" s="3021"/>
      <c r="G90" s="3021"/>
      <c r="H90" s="3021"/>
      <c r="I90" s="3021"/>
      <c r="J90" s="3021"/>
      <c r="K90" s="2684"/>
      <c r="L90" s="2684"/>
      <c r="M90" s="2684"/>
      <c r="N90" s="2684"/>
    </row>
    <row r="91" spans="1:37">
      <c r="A91" s="3023" t="s">
        <v>2770</v>
      </c>
      <c r="B91" s="3023" t="s">
        <v>2771</v>
      </c>
      <c r="C91" s="2632" t="s">
        <v>2772</v>
      </c>
      <c r="D91" s="2633"/>
      <c r="E91" s="2633"/>
      <c r="F91" s="2633"/>
      <c r="G91" s="2633"/>
      <c r="H91" s="2633"/>
      <c r="I91" s="2633"/>
      <c r="J91" s="2685"/>
      <c r="K91" s="2686"/>
      <c r="L91" s="2686"/>
      <c r="M91" s="2686"/>
      <c r="N91" s="2686"/>
    </row>
    <row r="92" spans="1:37">
      <c r="A92" s="3023"/>
      <c r="B92" s="3023"/>
      <c r="C92" s="972" t="s">
        <v>2625</v>
      </c>
      <c r="D92" s="972" t="s">
        <v>2626</v>
      </c>
      <c r="E92" s="972" t="s">
        <v>2627</v>
      </c>
      <c r="F92" s="972" t="s">
        <v>2628</v>
      </c>
      <c r="G92" s="972" t="s">
        <v>2629</v>
      </c>
      <c r="H92" s="972" t="s">
        <v>2630</v>
      </c>
      <c r="I92" s="972" t="s">
        <v>2631</v>
      </c>
      <c r="J92" s="972" t="s">
        <v>2632</v>
      </c>
      <c r="K92" s="972" t="s">
        <v>2633</v>
      </c>
      <c r="L92" s="972" t="s">
        <v>2634</v>
      </c>
      <c r="M92" s="972" t="s">
        <v>2635</v>
      </c>
      <c r="N92" s="972" t="s">
        <v>2636</v>
      </c>
    </row>
    <row r="93" spans="1:37">
      <c r="A93" s="3024" t="s">
        <v>2773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25"/>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25"/>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25"/>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25"/>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25"/>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25"/>
      <c r="B99" s="2687" t="s">
        <v>2641</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26"/>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24" t="s">
        <v>2774</v>
      </c>
      <c r="B101" s="2691" t="s">
        <v>2775</v>
      </c>
      <c r="C101" s="2692">
        <f>$G$3</f>
        <v>3.84</v>
      </c>
      <c r="D101" s="2692">
        <f t="shared" ref="D101:N101" si="32">$G$3</f>
        <v>3.84</v>
      </c>
      <c r="E101" s="2692">
        <f t="shared" si="32"/>
        <v>3.84</v>
      </c>
      <c r="F101" s="2692">
        <f t="shared" si="32"/>
        <v>3.84</v>
      </c>
      <c r="G101" s="2692">
        <f t="shared" si="32"/>
        <v>3.84</v>
      </c>
      <c r="H101" s="2692">
        <f t="shared" si="32"/>
        <v>3.84</v>
      </c>
      <c r="I101" s="2692">
        <f t="shared" si="32"/>
        <v>3.84</v>
      </c>
      <c r="J101" s="2692">
        <f t="shared" si="32"/>
        <v>3.84</v>
      </c>
      <c r="K101" s="2692">
        <f t="shared" si="32"/>
        <v>3.84</v>
      </c>
      <c r="L101" s="2692">
        <f t="shared" si="32"/>
        <v>3.84</v>
      </c>
      <c r="M101" s="2692">
        <f t="shared" si="32"/>
        <v>3.84</v>
      </c>
      <c r="N101" s="2692">
        <f t="shared" si="32"/>
        <v>3.84</v>
      </c>
    </row>
    <row r="102" spans="1:14">
      <c r="A102" s="3025"/>
      <c r="B102" s="2687">
        <v>1</v>
      </c>
      <c r="C102" s="2688">
        <f>1.9362/C101</f>
        <v>0.50421875000000005</v>
      </c>
      <c r="D102" s="2688">
        <f>1.9362/D101</f>
        <v>0.50421875000000005</v>
      </c>
      <c r="E102" s="2688">
        <f>1.8629/E101</f>
        <v>0.48513020833333337</v>
      </c>
      <c r="F102" s="2688">
        <f>1.8629/F101</f>
        <v>0.48513020833333337</v>
      </c>
      <c r="G102" s="2688">
        <f>1.8629/G101</f>
        <v>0.48513020833333337</v>
      </c>
      <c r="H102" s="2688">
        <f>1.8629/H101</f>
        <v>0.48513020833333337</v>
      </c>
      <c r="I102" s="2688">
        <f>1.8629/I101</f>
        <v>0.48513020833333337</v>
      </c>
      <c r="J102" s="2688">
        <f>1.942/J101</f>
        <v>0.50572916666666667</v>
      </c>
      <c r="K102" s="2688">
        <f>1.942/K101</f>
        <v>0.50572916666666667</v>
      </c>
      <c r="L102" s="2688">
        <f>1.942/L101</f>
        <v>0.50572916666666667</v>
      </c>
      <c r="M102" s="2688">
        <f>1.942/M101</f>
        <v>0.50572916666666667</v>
      </c>
      <c r="N102" s="2688">
        <f>1.942/N101</f>
        <v>0.50572916666666667</v>
      </c>
    </row>
    <row r="103" spans="1:14">
      <c r="A103" s="3025"/>
      <c r="B103" s="2687">
        <v>2</v>
      </c>
      <c r="C103" s="2688">
        <f>1.4198/C101</f>
        <v>0.36973958333333334</v>
      </c>
      <c r="D103" s="2688">
        <f>1.4198/D101</f>
        <v>0.36973958333333334</v>
      </c>
      <c r="E103" s="2688">
        <f>1.3372/E101</f>
        <v>0.34822916666666665</v>
      </c>
      <c r="F103" s="2688">
        <f>1.3372/F101</f>
        <v>0.34822916666666665</v>
      </c>
      <c r="G103" s="2688">
        <f>1.3372/G101</f>
        <v>0.34822916666666665</v>
      </c>
      <c r="H103" s="2688">
        <f>1.3372/H101</f>
        <v>0.34822916666666665</v>
      </c>
      <c r="I103" s="2688">
        <f>1.3372/I101</f>
        <v>0.34822916666666665</v>
      </c>
      <c r="J103" s="2688">
        <f>1.2799/J101</f>
        <v>0.33330729166666667</v>
      </c>
      <c r="K103" s="2688">
        <f>1.2799/K101</f>
        <v>0.33330729166666667</v>
      </c>
      <c r="L103" s="2688">
        <f>1.2799/L101</f>
        <v>0.33330729166666667</v>
      </c>
      <c r="M103" s="2688">
        <f>1.2799/M101</f>
        <v>0.33330729166666667</v>
      </c>
      <c r="N103" s="2688">
        <f>1.2799/N101</f>
        <v>0.33330729166666667</v>
      </c>
    </row>
    <row r="104" spans="1:14">
      <c r="A104" s="3025"/>
      <c r="B104" s="2687">
        <v>3</v>
      </c>
      <c r="C104" s="2688">
        <f>1.1594/C101</f>
        <v>0.30192708333333335</v>
      </c>
      <c r="D104" s="2688">
        <f>1.1594/D101</f>
        <v>0.30192708333333335</v>
      </c>
      <c r="E104" s="2688">
        <f>1.0788/E101</f>
        <v>0.28093750000000001</v>
      </c>
      <c r="F104" s="2688">
        <f>1.0788/F101</f>
        <v>0.28093750000000001</v>
      </c>
      <c r="G104" s="2688">
        <f>1.0788/G101</f>
        <v>0.28093750000000001</v>
      </c>
      <c r="H104" s="2688">
        <f>1.0788/H101</f>
        <v>0.28093750000000001</v>
      </c>
      <c r="I104" s="2688">
        <f>1.0788/I101</f>
        <v>0.28093750000000001</v>
      </c>
      <c r="J104" s="2688">
        <f>1.0072/J101</f>
        <v>0.2622916666666667</v>
      </c>
      <c r="K104" s="2688">
        <f>1.0072/K101</f>
        <v>0.2622916666666667</v>
      </c>
      <c r="L104" s="2688">
        <f>1.0072/L101</f>
        <v>0.2622916666666667</v>
      </c>
      <c r="M104" s="2688">
        <f>1.0072/M101</f>
        <v>0.2622916666666667</v>
      </c>
      <c r="N104" s="2688">
        <f>1.0072/N101</f>
        <v>0.2622916666666667</v>
      </c>
    </row>
    <row r="105" spans="1:14">
      <c r="A105" s="3025"/>
      <c r="B105" s="2687">
        <v>4</v>
      </c>
      <c r="C105" s="2688">
        <f>0.9622/C101</f>
        <v>0.2505729166666667</v>
      </c>
      <c r="D105" s="2688">
        <f>0.9622/D101</f>
        <v>0.2505729166666667</v>
      </c>
      <c r="E105" s="2688">
        <f>0.8656/E101</f>
        <v>0.22541666666666668</v>
      </c>
      <c r="F105" s="2688">
        <f>0.8656/F101</f>
        <v>0.22541666666666668</v>
      </c>
      <c r="G105" s="2688">
        <f>0.8656/G101</f>
        <v>0.22541666666666668</v>
      </c>
      <c r="H105" s="2688">
        <f>0.8656/H101</f>
        <v>0.22541666666666668</v>
      </c>
      <c r="I105" s="2688">
        <f>0.8656/I101</f>
        <v>0.22541666666666668</v>
      </c>
      <c r="J105" s="2688">
        <f>0.7525/J101</f>
        <v>0.19596354166666666</v>
      </c>
      <c r="K105" s="2688">
        <f>0.7525/K101</f>
        <v>0.19596354166666666</v>
      </c>
      <c r="L105" s="2688">
        <f>0.7525/L101</f>
        <v>0.19596354166666666</v>
      </c>
      <c r="M105" s="2688">
        <f>0.7525/M101</f>
        <v>0.19596354166666666</v>
      </c>
      <c r="N105" s="2688">
        <f>0.7525/N101</f>
        <v>0.19596354166666666</v>
      </c>
    </row>
    <row r="106" spans="1:14">
      <c r="A106" s="3025"/>
      <c r="B106" s="2687">
        <v>5</v>
      </c>
      <c r="C106" s="2688">
        <f>0.8417/C101</f>
        <v>0.21919270833333335</v>
      </c>
      <c r="D106" s="2688">
        <f>0.8417/D101</f>
        <v>0.21919270833333335</v>
      </c>
      <c r="E106" s="2688">
        <f>0.7371/E101</f>
        <v>0.191953125</v>
      </c>
      <c r="F106" s="2688">
        <f>0.7371/F101</f>
        <v>0.191953125</v>
      </c>
      <c r="G106" s="2688">
        <f>0.7371/G101</f>
        <v>0.191953125</v>
      </c>
      <c r="H106" s="2688">
        <f>0.7371/H101</f>
        <v>0.191953125</v>
      </c>
      <c r="I106" s="2688">
        <f>0.7371/I101</f>
        <v>0.191953125</v>
      </c>
      <c r="J106" s="2688">
        <f>0.5659/J101</f>
        <v>0.14736979166666667</v>
      </c>
      <c r="K106" s="2688">
        <f>0.5659/K101</f>
        <v>0.14736979166666667</v>
      </c>
      <c r="L106" s="2688">
        <f>0.5659/L101</f>
        <v>0.14736979166666667</v>
      </c>
      <c r="M106" s="2688">
        <f>0.5659/M101</f>
        <v>0.14736979166666667</v>
      </c>
      <c r="N106" s="2688">
        <f>0.5659/N101</f>
        <v>0.14736979166666667</v>
      </c>
    </row>
    <row r="107" spans="1:14">
      <c r="A107" s="3025"/>
      <c r="B107" s="2687">
        <v>6</v>
      </c>
      <c r="C107" s="2688">
        <f>0.7608/C101</f>
        <v>0.19812500000000002</v>
      </c>
      <c r="D107" s="2688">
        <f>0.7608/D101</f>
        <v>0.19812500000000002</v>
      </c>
      <c r="E107" s="2688">
        <f>0.6482/E101</f>
        <v>0.16880208333333335</v>
      </c>
      <c r="F107" s="2688">
        <f>0.6482/F101</f>
        <v>0.16880208333333335</v>
      </c>
      <c r="G107" s="2688">
        <f>0.6482/G101</f>
        <v>0.16880208333333335</v>
      </c>
      <c r="H107" s="2688">
        <f>0.6482/H101</f>
        <v>0.16880208333333335</v>
      </c>
      <c r="I107" s="2688">
        <f>0.6482/I101</f>
        <v>0.16880208333333335</v>
      </c>
      <c r="J107" s="2688">
        <f>0.4525/J101</f>
        <v>0.11783854166666667</v>
      </c>
      <c r="K107" s="2688">
        <f>0.4525/K101</f>
        <v>0.11783854166666667</v>
      </c>
      <c r="L107" s="2688">
        <f>0.4525/L101</f>
        <v>0.11783854166666667</v>
      </c>
      <c r="M107" s="2688">
        <f>0.4525/M101</f>
        <v>0.11783854166666667</v>
      </c>
      <c r="N107" s="2688">
        <f>0.4525/N101</f>
        <v>0.11783854166666667</v>
      </c>
    </row>
    <row r="108" spans="1:14">
      <c r="A108" s="3025"/>
      <c r="B108" s="3027" t="s">
        <v>2776</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26"/>
      <c r="B109" s="3028"/>
      <c r="C109" s="2690">
        <f>(-0.163*(C108^2)-0.59*C108+7617)*(10^(-4))/C101</f>
        <v>0.19835937500000003</v>
      </c>
      <c r="D109" s="2690">
        <f>(-0.163*(D108^2)-0.59*D108+7617)*(10^(-4))/D101</f>
        <v>0.19835937500000003</v>
      </c>
      <c r="E109" s="2690">
        <f>(-0.161*(E108^2)-7.509*E108+6533)*(10^(-4))/E101</f>
        <v>0.17013020833333334</v>
      </c>
      <c r="F109" s="2690">
        <f>(-0.161*(F108^2)-7.509*F108+6533)*(10^(-4))/F101</f>
        <v>0.17013020833333334</v>
      </c>
      <c r="G109" s="2690">
        <f>(-0.161*(G108^2)-7.509*G108+6533)*(10^(-4))/G101</f>
        <v>0.17013020833333334</v>
      </c>
      <c r="H109" s="2690">
        <f>(-0.161*(H108^2)-7.509*H108+6533)*(10^(-4))/H101</f>
        <v>0.17013020833333334</v>
      </c>
      <c r="I109" s="2690">
        <f>(-0.161*(I108^2)-7.509*I108+6533)*(10^(-4))/I101</f>
        <v>0.17013020833333334</v>
      </c>
      <c r="J109" s="2690">
        <f>(-0.214*(J108^2)-21.991*J108+4665)*(10^(-4))/J101</f>
        <v>0.12148437500000001</v>
      </c>
      <c r="K109" s="2690">
        <f>(-0.214*(K108^2)-21.991*K108+4665)*(10^(-4))/K101</f>
        <v>0.12148437500000001</v>
      </c>
      <c r="L109" s="2690">
        <f>(-0.214*(L108^2)-21.991*L108+4665)*(10^(-4))/L101</f>
        <v>0.12148437500000001</v>
      </c>
      <c r="M109" s="2690">
        <f>(-0.214*(M108^2)-21.991*M108+4665)*(10^(-4))/M101</f>
        <v>0.12148437500000001</v>
      </c>
      <c r="N109" s="2690">
        <f>(-0.214*(N108^2)-21.991*N108+4665)*(10^(-4))/N101</f>
        <v>0.12148437500000001</v>
      </c>
    </row>
    <row r="110" spans="1:14">
      <c r="A110" s="3022" t="s">
        <v>2777</v>
      </c>
      <c r="B110" s="3022"/>
      <c r="C110" s="3022"/>
      <c r="D110" s="3022"/>
      <c r="E110" s="3022"/>
      <c r="F110" s="3022"/>
      <c r="G110" s="3022"/>
      <c r="H110" s="3022"/>
      <c r="I110" s="3022"/>
      <c r="J110" s="3022"/>
      <c r="K110" s="2693"/>
      <c r="L110" s="2693"/>
      <c r="M110" s="2693"/>
      <c r="N110" s="2693"/>
    </row>
    <row r="112" spans="1:14" ht="13.5" thickBot="1"/>
    <row r="113" spans="1:13" ht="25.5" thickBot="1">
      <c r="A113" s="928" t="s">
        <v>2778</v>
      </c>
      <c r="B113" s="1378">
        <f>G3</f>
        <v>3.84</v>
      </c>
      <c r="C113" s="929" t="s">
        <v>2779</v>
      </c>
      <c r="D113" s="930">
        <f>SUMPRODUCT((A115:A118=F113)*(B114:M114=H113)*B115:M118)</f>
        <v>0.85780000000000001</v>
      </c>
      <c r="E113" s="2695" t="s">
        <v>2664</v>
      </c>
      <c r="F113" s="2696" t="str">
        <f>E2</f>
        <v>住宅</v>
      </c>
      <c r="G113" s="2695" t="s">
        <v>2599</v>
      </c>
      <c r="H113" s="2696" t="str">
        <f>G2</f>
        <v>二级</v>
      </c>
      <c r="I113" s="2695"/>
      <c r="J113" s="2697"/>
      <c r="K113" s="2697"/>
      <c r="L113" s="2697"/>
      <c r="M113" s="2697"/>
    </row>
    <row r="114" spans="1:13">
      <c r="A114" s="933"/>
      <c r="B114" s="2698" t="s">
        <v>2780</v>
      </c>
      <c r="C114" s="2698" t="s">
        <v>2781</v>
      </c>
      <c r="D114" s="2698" t="s">
        <v>2782</v>
      </c>
      <c r="E114" s="2699" t="s">
        <v>2783</v>
      </c>
      <c r="F114" s="2699" t="s">
        <v>2784</v>
      </c>
      <c r="G114" s="2699" t="s">
        <v>2785</v>
      </c>
      <c r="H114" s="2700" t="s">
        <v>2786</v>
      </c>
      <c r="I114" s="2700" t="s">
        <v>2787</v>
      </c>
      <c r="J114" s="2701" t="s">
        <v>2788</v>
      </c>
      <c r="K114" s="2701" t="s">
        <v>2789</v>
      </c>
      <c r="L114" s="2701" t="s">
        <v>2790</v>
      </c>
      <c r="M114" s="2702" t="s">
        <v>2791</v>
      </c>
    </row>
    <row r="115" spans="1:13">
      <c r="A115" s="934" t="s">
        <v>2665</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2666</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2667</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2668</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D35" sqref="D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2088</v>
      </c>
      <c r="B1" s="306"/>
      <c r="C1" s="730"/>
      <c r="D1" s="2703" t="s">
        <v>2823</v>
      </c>
      <c r="E1" s="2704" t="s">
        <v>1253</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1998</v>
      </c>
      <c r="B2" s="765">
        <f ca="1">IF(C2="元",IF('数据-取费表'!B28="租赁期内按合同租金",C40+L47+J29,C40+L47),ROUND(IF('数据-取费表'!B28="租赁期内按合同租金",(C40+L47+J29)/10000,(C40+L47)/10000),0))</f>
        <v>990</v>
      </c>
      <c r="C2" s="2333" t="str">
        <f>'数据-取费表'!B3</f>
        <v>万元</v>
      </c>
      <c r="D2" s="1213"/>
      <c r="E2" s="1214"/>
      <c r="F2" s="1214"/>
      <c r="G2" s="1239"/>
      <c r="H2" s="729"/>
      <c r="I2" s="1215"/>
      <c r="J2" s="1215"/>
      <c r="K2" s="1216"/>
      <c r="L2" s="1215"/>
      <c r="M2" s="1215"/>
    </row>
    <row r="3" spans="1:37" ht="18" customHeight="1" thickBot="1">
      <c r="A3" s="310" t="s">
        <v>1999</v>
      </c>
      <c r="B3" s="766">
        <f ca="1">ROUND(IF('数据-取费表'!B28="租赁期内按合同租金",(C40+L47+J29)/F43,(C40+L47)/F43),0)</f>
        <v>55543</v>
      </c>
      <c r="C3" s="2333" t="s">
        <v>2089</v>
      </c>
      <c r="D3" s="1213"/>
      <c r="E3" s="1214"/>
      <c r="F3" s="1214"/>
      <c r="G3" s="1239"/>
      <c r="H3" s="311" t="s">
        <v>2090</v>
      </c>
      <c r="I3" s="1215"/>
      <c r="J3" s="1215"/>
      <c r="K3" s="1216"/>
      <c r="L3" s="1215"/>
      <c r="M3" s="1215"/>
    </row>
    <row r="4" spans="1:37" ht="18" customHeight="1">
      <c r="A4" s="312" t="s">
        <v>2091</v>
      </c>
      <c r="B4" s="313" t="s">
        <v>2092</v>
      </c>
      <c r="C4" s="313" t="s">
        <v>2093</v>
      </c>
      <c r="D4" s="313" t="s">
        <v>2094</v>
      </c>
      <c r="E4" s="314" t="s">
        <v>2095</v>
      </c>
      <c r="F4" s="315"/>
      <c r="G4" s="1237"/>
      <c r="H4" s="312" t="s">
        <v>2091</v>
      </c>
      <c r="I4" s="313" t="s">
        <v>2092</v>
      </c>
      <c r="J4" s="313" t="s">
        <v>2093</v>
      </c>
      <c r="K4" s="313" t="s">
        <v>2094</v>
      </c>
      <c r="L4" s="314" t="s">
        <v>2095</v>
      </c>
      <c r="M4" s="315"/>
    </row>
    <row r="5" spans="1:37" ht="18" customHeight="1">
      <c r="A5" s="316">
        <v>1</v>
      </c>
      <c r="B5" s="317" t="s">
        <v>2096</v>
      </c>
      <c r="C5" s="318">
        <f ca="1">C6+C10+C12</f>
        <v>309410</v>
      </c>
      <c r="D5" s="2334" t="s">
        <v>2097</v>
      </c>
      <c r="E5" s="1213"/>
      <c r="F5" s="1382"/>
      <c r="G5" s="1237"/>
      <c r="H5" s="316">
        <v>1</v>
      </c>
      <c r="I5" s="317" t="s">
        <v>2096</v>
      </c>
      <c r="J5" s="318">
        <f ca="1">J6+J10+J12</f>
        <v>0</v>
      </c>
      <c r="K5" s="2334" t="s">
        <v>2097</v>
      </c>
      <c r="L5" s="1213"/>
      <c r="M5" s="1382"/>
    </row>
    <row r="6" spans="1:37" ht="18" customHeight="1">
      <c r="A6" s="1383" t="s">
        <v>2098</v>
      </c>
      <c r="B6" s="2022" t="s">
        <v>2099</v>
      </c>
      <c r="C6" s="318">
        <f>ROUND(F6*F8*F7*(1-F9),0)</f>
        <v>309024</v>
      </c>
      <c r="D6" s="80" t="s">
        <v>2793</v>
      </c>
      <c r="E6" s="319" t="s">
        <v>2100</v>
      </c>
      <c r="F6" s="320">
        <f>'数据-取费表'!B29</f>
        <v>5</v>
      </c>
      <c r="G6" s="1237"/>
      <c r="H6" s="1383" t="s">
        <v>2098</v>
      </c>
      <c r="I6" s="2022" t="s">
        <v>2099</v>
      </c>
      <c r="J6" s="318">
        <f>ROUND(M6*M8*M7*(1-M9),0)</f>
        <v>0</v>
      </c>
      <c r="K6" s="80" t="s">
        <v>2793</v>
      </c>
      <c r="L6" s="319" t="s">
        <v>2100</v>
      </c>
      <c r="M6" s="320">
        <f>'数据-取费表'!B36</f>
        <v>0</v>
      </c>
    </row>
    <row r="7" spans="1:37" ht="18" customHeight="1">
      <c r="A7" s="1446"/>
      <c r="B7" s="322"/>
      <c r="C7" s="323"/>
      <c r="D7" s="324"/>
      <c r="E7" s="319" t="s">
        <v>2101</v>
      </c>
      <c r="F7" s="320">
        <f>IF('数据-取费表'!B41="",IF(D1="仅计算典型户型",'数据-取费表'!E5,'数据-取费表'!B5),'数据-取费表'!B41)</f>
        <v>178.24</v>
      </c>
      <c r="G7" s="1237"/>
      <c r="H7" s="321"/>
      <c r="I7" s="322"/>
      <c r="J7" s="323"/>
      <c r="K7" s="324"/>
      <c r="L7" s="319" t="s">
        <v>2101</v>
      </c>
      <c r="M7" s="320">
        <f>IF('数据-取费表'!B41="",IF(D1="仅计算典型户型",'数据-取费表'!E5,'数据-取费表'!B5),'数据-取费表'!B41)</f>
        <v>178.24</v>
      </c>
    </row>
    <row r="8" spans="1:37" ht="18" customHeight="1">
      <c r="A8" s="1446"/>
      <c r="B8" s="322"/>
      <c r="C8" s="323"/>
      <c r="D8" s="324"/>
      <c r="E8" s="319" t="s">
        <v>2102</v>
      </c>
      <c r="F8" s="320">
        <f>'数据-取费表'!B42</f>
        <v>365</v>
      </c>
      <c r="G8" s="1237"/>
      <c r="H8" s="321"/>
      <c r="I8" s="322"/>
      <c r="J8" s="323"/>
      <c r="K8" s="324"/>
      <c r="L8" s="319" t="s">
        <v>2103</v>
      </c>
      <c r="M8" s="320">
        <f>'数据-取费表'!B42</f>
        <v>365</v>
      </c>
    </row>
    <row r="9" spans="1:37" ht="18" customHeight="1">
      <c r="A9" s="1446"/>
      <c r="B9" s="322"/>
      <c r="C9" s="323"/>
      <c r="D9" s="328"/>
      <c r="E9" s="319" t="s">
        <v>2104</v>
      </c>
      <c r="F9" s="329">
        <f>'数据-取费表'!B32</f>
        <v>0.05</v>
      </c>
      <c r="G9" s="1237"/>
      <c r="H9" s="321"/>
      <c r="I9" s="322"/>
      <c r="J9" s="1385"/>
      <c r="K9" s="95"/>
      <c r="L9" s="330" t="s">
        <v>2104</v>
      </c>
      <c r="M9" s="329">
        <f>'数据-取费表'!B38</f>
        <v>0</v>
      </c>
    </row>
    <row r="10" spans="1:37" ht="18" customHeight="1">
      <c r="A10" s="1383" t="s">
        <v>2105</v>
      </c>
      <c r="B10" s="2335" t="s">
        <v>2106</v>
      </c>
      <c r="C10" s="1384">
        <f ca="1">ROUND(IF(F10="押一",C6/12*F11,IF(F10="押二",C6/12*2*F11,IF(F10="押三",C6/12*3*F11,C11*F11))),0)</f>
        <v>386</v>
      </c>
      <c r="D10" s="2336" t="s">
        <v>2801</v>
      </c>
      <c r="E10" s="330" t="s">
        <v>2107</v>
      </c>
      <c r="F10" s="2337" t="s">
        <v>2108</v>
      </c>
      <c r="G10" s="1237"/>
      <c r="H10" s="1383" t="s">
        <v>2105</v>
      </c>
      <c r="I10" s="2335" t="s">
        <v>2106</v>
      </c>
      <c r="J10" s="1384">
        <f ca="1">ROUND(IF(M10="押一",J6/12*M11,IF(M10="押二",J6/12*2*M11,IF(M10="押三",J6/12*3*M11,J11*M11))),0)</f>
        <v>0</v>
      </c>
      <c r="K10" s="80" t="s">
        <v>2801</v>
      </c>
      <c r="L10" s="330" t="s">
        <v>2107</v>
      </c>
      <c r="M10" s="2337"/>
    </row>
    <row r="11" spans="1:37" s="341" customFormat="1" ht="18" customHeight="1">
      <c r="A11" s="348"/>
      <c r="B11" s="2338" t="s">
        <v>2109</v>
      </c>
      <c r="C11" s="1417"/>
      <c r="D11" s="324"/>
      <c r="E11" s="330" t="s">
        <v>2110</v>
      </c>
      <c r="F11" s="331">
        <f ca="1">'数据-取费表'!B30</f>
        <v>1.4999999999999999E-2</v>
      </c>
      <c r="G11" s="1238"/>
      <c r="H11" s="325"/>
      <c r="I11" s="2338" t="s">
        <v>2111</v>
      </c>
      <c r="J11" s="1417"/>
      <c r="K11" s="324"/>
      <c r="L11" s="330" t="s">
        <v>2110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2112</v>
      </c>
      <c r="B12" s="2339" t="s">
        <v>2113</v>
      </c>
      <c r="C12" s="1424"/>
      <c r="D12" s="2340"/>
      <c r="E12" s="1430"/>
      <c r="F12" s="1425"/>
      <c r="G12" s="1237"/>
      <c r="H12" s="1423" t="s">
        <v>2112</v>
      </c>
      <c r="I12" s="2339" t="s">
        <v>2113</v>
      </c>
      <c r="J12" s="1424"/>
      <c r="K12" s="1440"/>
      <c r="L12" s="1430"/>
      <c r="M12" s="1441"/>
    </row>
    <row r="13" spans="1:37" s="341" customFormat="1" ht="18" customHeight="1" thickTop="1">
      <c r="A13" s="1419">
        <v>2</v>
      </c>
      <c r="B13" s="1420" t="s">
        <v>2114</v>
      </c>
      <c r="C13" s="327">
        <f ca="1">ROUND(C29*F13,0)</f>
        <v>606433</v>
      </c>
      <c r="D13" s="1421" t="s">
        <v>2115</v>
      </c>
      <c r="E13" s="1421" t="s">
        <v>2116</v>
      </c>
      <c r="F13" s="1422">
        <f>'数据-取费表'!E20</f>
        <v>0.81699999999999995</v>
      </c>
      <c r="G13" s="1238"/>
      <c r="H13" s="1419">
        <v>2</v>
      </c>
      <c r="I13" s="1420" t="s">
        <v>2114</v>
      </c>
      <c r="J13" s="1385">
        <f ca="1">ROUND(J14*J15,0)</f>
        <v>0</v>
      </c>
      <c r="K13" s="1426" t="s">
        <v>2115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2117</v>
      </c>
      <c r="B14" s="319" t="s">
        <v>2118</v>
      </c>
      <c r="C14" s="338">
        <f>IF(D1="仅计算典型户型",'数据-取费表'!F18,'数据-取费表'!E18)</f>
        <v>463424</v>
      </c>
      <c r="D14" s="1887" t="s">
        <v>2119</v>
      </c>
      <c r="E14" s="1888"/>
      <c r="F14" s="979"/>
      <c r="G14" s="1238"/>
      <c r="H14" s="337" t="s">
        <v>2098</v>
      </c>
      <c r="I14" s="319" t="s">
        <v>2120</v>
      </c>
      <c r="J14" s="14">
        <f ca="1">C29</f>
        <v>742268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2121</v>
      </c>
      <c r="B15" s="319" t="s">
        <v>2122</v>
      </c>
      <c r="C15" s="14">
        <f>ROUND(C14*F15,0)</f>
        <v>13903</v>
      </c>
      <c r="D15" s="339" t="s">
        <v>2123</v>
      </c>
      <c r="E15" s="339" t="s">
        <v>2124</v>
      </c>
      <c r="F15" s="340">
        <f>'数据-取费表'!E21</f>
        <v>0.03</v>
      </c>
      <c r="G15" s="1237"/>
      <c r="H15" s="1429" t="s">
        <v>2125</v>
      </c>
      <c r="I15" s="1430" t="s">
        <v>2126</v>
      </c>
      <c r="J15" s="1442">
        <f>'数据-取费表'!B39</f>
        <v>0</v>
      </c>
      <c r="K15" s="1443"/>
      <c r="L15" s="1444"/>
      <c r="M15" s="1445"/>
    </row>
    <row r="16" spans="1:37" s="341" customFormat="1" ht="18" customHeight="1" thickTop="1">
      <c r="A16" s="337" t="s">
        <v>2127</v>
      </c>
      <c r="B16" s="319" t="s">
        <v>2128</v>
      </c>
      <c r="C16" s="14">
        <f>ROUND(C14*F16,0)</f>
        <v>23171</v>
      </c>
      <c r="D16" s="319" t="s">
        <v>2123</v>
      </c>
      <c r="E16" s="319" t="s">
        <v>2124</v>
      </c>
      <c r="F16" s="342">
        <f>IF('数据-取费表'!B10="住宅",'数据-取费表'!E22,0)</f>
        <v>0.05</v>
      </c>
      <c r="G16" s="1238"/>
      <c r="H16" s="1419" t="s">
        <v>14</v>
      </c>
      <c r="I16" s="1420" t="s">
        <v>2129</v>
      </c>
      <c r="J16" s="327">
        <f ca="1">ROUND(J17+J22+J23+J24,0)</f>
        <v>11134</v>
      </c>
      <c r="K16" s="1426" t="s">
        <v>2130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2131</v>
      </c>
      <c r="B17" s="319" t="s">
        <v>2132</v>
      </c>
      <c r="C17" s="14">
        <f>ROUND(F17*IF(D1="仅计算典型户型",'数据-取费表'!E5,'数据-取费表'!B5),0)</f>
        <v>35648</v>
      </c>
      <c r="D17" s="319" t="s">
        <v>2133</v>
      </c>
      <c r="E17" s="319" t="s">
        <v>2134</v>
      </c>
      <c r="F17" s="16">
        <f>'数据-取费表'!E23</f>
        <v>200</v>
      </c>
      <c r="G17" s="1238"/>
      <c r="H17" s="337" t="s">
        <v>2135</v>
      </c>
      <c r="I17" s="319" t="s">
        <v>2136</v>
      </c>
      <c r="J17" s="14">
        <f ca="1">ROUND(IF(项目基本情况!B7="自然人",J5*M17,J18+J19+J20),0)</f>
        <v>0</v>
      </c>
      <c r="K17" s="1887" t="s">
        <v>2137</v>
      </c>
      <c r="L17" s="1892" t="s">
        <v>2138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2139</v>
      </c>
      <c r="B18" s="319" t="s">
        <v>2140</v>
      </c>
      <c r="C18" s="14">
        <f>ROUND(C14*F18,0)</f>
        <v>6951</v>
      </c>
      <c r="D18" s="319" t="s">
        <v>2123</v>
      </c>
      <c r="E18" s="319" t="s">
        <v>2124</v>
      </c>
      <c r="F18" s="342">
        <f>'数据-取费表'!E24</f>
        <v>1.4999999999999999E-2</v>
      </c>
      <c r="G18" s="1237"/>
      <c r="H18" s="337" t="s">
        <v>2141</v>
      </c>
      <c r="I18" s="319" t="s">
        <v>2142</v>
      </c>
      <c r="J18" s="14" t="str">
        <f>IF(项目基本情况!B7="自然人","——",ROUND(J5*M18/(1+'数据-取费表'!F30),0))</f>
        <v>——</v>
      </c>
      <c r="K18" s="1892" t="s">
        <v>2143</v>
      </c>
      <c r="L18" s="319" t="s">
        <v>2124</v>
      </c>
      <c r="M18" s="342">
        <f>'数据-取费表'!E29</f>
        <v>5.6000000000000001E-2</v>
      </c>
    </row>
    <row r="19" spans="1:37" s="341" customFormat="1" ht="18" customHeight="1">
      <c r="A19" s="337" t="s">
        <v>2135</v>
      </c>
      <c r="B19" s="319" t="s">
        <v>2144</v>
      </c>
      <c r="C19" s="14">
        <f>SUM(C14:C18)</f>
        <v>543097</v>
      </c>
      <c r="D19" s="56" t="s">
        <v>2145</v>
      </c>
      <c r="E19" s="1897"/>
      <c r="F19" s="16"/>
      <c r="G19" s="1238"/>
      <c r="H19" s="337" t="s">
        <v>2121</v>
      </c>
      <c r="I19" s="319" t="s">
        <v>2146</v>
      </c>
      <c r="J19" s="14" t="str">
        <f>IF(项目基本情况!B7="自然人","——",IF(K19="按租金收入计税",ROUND(J5*M19,1),ROUND(C29*M19*0.7,1)))</f>
        <v>——</v>
      </c>
      <c r="K19" s="2012" t="s">
        <v>2147</v>
      </c>
      <c r="L19" s="319" t="s">
        <v>2124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2105</v>
      </c>
      <c r="B20" s="319" t="s">
        <v>2148</v>
      </c>
      <c r="C20" s="14">
        <f>ROUND(C19*F20,0)</f>
        <v>10862</v>
      </c>
      <c r="D20" s="344" t="s">
        <v>2149</v>
      </c>
      <c r="E20" s="319" t="s">
        <v>2150</v>
      </c>
      <c r="F20" s="342">
        <f>'数据-取费表'!E25</f>
        <v>0.02</v>
      </c>
      <c r="G20" s="1238"/>
      <c r="H20" s="337" t="s">
        <v>2127</v>
      </c>
      <c r="I20" s="80" t="s">
        <v>2151</v>
      </c>
      <c r="J20" s="15" t="str">
        <f>IF(项目基本情况!B7="自然人","——",ROUND(M20*M21,0))</f>
        <v>——</v>
      </c>
      <c r="K20" s="346" t="s">
        <v>2152</v>
      </c>
      <c r="L20" s="319" t="s">
        <v>2153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7"/>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7"/>
      <c r="F22" s="16"/>
      <c r="G22" s="1237"/>
      <c r="H22" s="337" t="s">
        <v>2125</v>
      </c>
      <c r="I22" s="319" t="s">
        <v>2161</v>
      </c>
      <c r="J22" s="14">
        <f ca="1">ROUND(J14*M22,0)</f>
        <v>11134</v>
      </c>
      <c r="K22" s="1892" t="s">
        <v>2162</v>
      </c>
      <c r="L22" s="319" t="s">
        <v>2124</v>
      </c>
      <c r="M22" s="350">
        <f>'数据-取费表'!B44</f>
        <v>1.4999999999999999E-2</v>
      </c>
    </row>
    <row r="23" spans="1:37" ht="18" customHeight="1">
      <c r="A23" s="337" t="s">
        <v>2141</v>
      </c>
      <c r="B23" s="319" t="s">
        <v>2163</v>
      </c>
      <c r="C23" s="14">
        <f ca="1">IF('数据-取费表'!B23&lt;=1,ROUND(C19*F24*F23/2,0)+ROUND(C20*F24*F23/2,0),ROUND(C19*(POWER((1+F24),F23/2)-1),0)+ROUND(C20*(POWER((1+F24),F23/2)-1),0))</f>
        <v>19620</v>
      </c>
      <c r="D23" s="2006" t="str">
        <f>IF(F23&lt;=1,"(建造成本+管理费用)×利率×(建设周期÷2)","(建造成本+管理费用)×((1+利率)^(建设周期÷2)-1)")</f>
        <v>(建造成本+管理费用)×((1+利率)^(建设周期÷2)-1)</v>
      </c>
      <c r="E23" s="319" t="s">
        <v>2164</v>
      </c>
      <c r="F23" s="347">
        <f>'数据-取费表'!B21</f>
        <v>1.5</v>
      </c>
      <c r="G23" s="1237"/>
      <c r="H23" s="337" t="s">
        <v>2154</v>
      </c>
      <c r="I23" s="319" t="s">
        <v>2165</v>
      </c>
      <c r="J23" s="14">
        <f ca="1">ROUND(J13*M23,0)</f>
        <v>0</v>
      </c>
      <c r="K23" s="1892" t="s">
        <v>2166</v>
      </c>
      <c r="L23" s="319" t="s">
        <v>2167</v>
      </c>
      <c r="M23" s="351">
        <f>'数据-取费表'!B45</f>
        <v>1.5E-3</v>
      </c>
    </row>
    <row r="24" spans="1:37" s="341" customFormat="1" ht="18" customHeight="1" thickBot="1">
      <c r="A24" s="337" t="s">
        <v>2168</v>
      </c>
      <c r="B24" s="319" t="s">
        <v>2169</v>
      </c>
      <c r="C24" s="14">
        <f ca="1">ROUND(IF('数据-取费表'!B23&lt;=1,F21*F24*F23/2,F21*(POWER((1+F24),F23/2)-1)),4)</f>
        <v>6.9999999999999999E-4</v>
      </c>
      <c r="D24" s="2006" t="str">
        <f>IF(F23&lt;=1,"销售费用×利率×(建设周期÷2)","销售费用×((1+利率)^(建设周期÷2)-1)")</f>
        <v>销售费用×((1+利率)^(建设周期÷2)-1)</v>
      </c>
      <c r="E24" s="319" t="s">
        <v>2170</v>
      </c>
      <c r="F24" s="352">
        <f ca="1">'数据-取费表'!E27</f>
        <v>4.7500000000000001E-2</v>
      </c>
      <c r="G24" s="1238"/>
      <c r="H24" s="1429" t="s">
        <v>2159</v>
      </c>
      <c r="I24" s="1430" t="s">
        <v>2148</v>
      </c>
      <c r="J24" s="1431">
        <f ca="1">ROUND(J5*M24,0)</f>
        <v>0</v>
      </c>
      <c r="K24" s="1432" t="s">
        <v>2171</v>
      </c>
      <c r="L24" s="1430" t="s">
        <v>2167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7"/>
      <c r="F25" s="16"/>
      <c r="G25" s="1238"/>
      <c r="H25" s="1419" t="s">
        <v>22</v>
      </c>
      <c r="I25" s="1434" t="s">
        <v>2175</v>
      </c>
      <c r="J25" s="327">
        <f ca="1">J5-J16</f>
        <v>-11134</v>
      </c>
      <c r="K25" s="1435" t="s">
        <v>2176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2117</v>
      </c>
      <c r="B26" s="319" t="s">
        <v>2177</v>
      </c>
      <c r="C26" s="14">
        <f>ROUND((C19+C20)*F26,0)</f>
        <v>110792</v>
      </c>
      <c r="D26" s="344" t="s">
        <v>2178</v>
      </c>
      <c r="E26" s="330" t="s">
        <v>2179</v>
      </c>
      <c r="F26" s="329">
        <f>'数据-取费表'!E28</f>
        <v>0.2</v>
      </c>
      <c r="G26" s="791"/>
      <c r="H26" s="316" t="s">
        <v>23</v>
      </c>
      <c r="I26" s="317" t="s">
        <v>2180</v>
      </c>
      <c r="J26" s="318">
        <f ca="1">IF(J5&lt;&gt;0,ROUND(J25*(1-((1+M28)/(1+M26))^M27)/(M26-M28),0),0)</f>
        <v>0</v>
      </c>
      <c r="K26" s="346" t="s">
        <v>2181</v>
      </c>
      <c r="L26" s="319" t="s">
        <v>2182</v>
      </c>
      <c r="M26" s="329">
        <f>'数据-取费表'!B16</f>
        <v>4.4999999999999998E-2</v>
      </c>
    </row>
    <row r="27" spans="1:37" ht="18" customHeight="1">
      <c r="A27" s="337" t="s">
        <v>2183</v>
      </c>
      <c r="B27" s="319" t="s">
        <v>2184</v>
      </c>
      <c r="C27" s="14">
        <f>ROUND(F21*F26,4)</f>
        <v>4.0000000000000001E-3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9" t="s">
        <v>2192</v>
      </c>
      <c r="B29" s="1430" t="s">
        <v>2193</v>
      </c>
      <c r="C29" s="1431">
        <f ca="1">ROUND((C19+C20+C23+C26)/(1-F21-C24-C27-C28),0)</f>
        <v>742268</v>
      </c>
      <c r="D29" s="1432"/>
      <c r="E29" s="1430"/>
      <c r="F29" s="1433"/>
      <c r="G29" s="791"/>
      <c r="H29" s="356" t="s">
        <v>24</v>
      </c>
      <c r="I29" s="357" t="s">
        <v>2194</v>
      </c>
      <c r="J29" s="358">
        <f ca="1">ROUND(J26/(1+F40)^F41,0)</f>
        <v>0</v>
      </c>
      <c r="K29" s="359" t="s">
        <v>2195</v>
      </c>
      <c r="L29" s="360"/>
      <c r="M29" s="361">
        <f>IF(D1="仅计算典型户型",'数据-取费表'!E5,'数据-取费表'!B5)</f>
        <v>178.24</v>
      </c>
    </row>
    <row r="30" spans="1:37" ht="18" customHeight="1" thickTop="1">
      <c r="A30" s="1419" t="s">
        <v>14</v>
      </c>
      <c r="B30" s="1420" t="s">
        <v>2196</v>
      </c>
      <c r="C30" s="327">
        <f ca="1">ROUND(C31+C36+C37+C38,0)</f>
        <v>30609</v>
      </c>
      <c r="D30" s="1426" t="s">
        <v>2197</v>
      </c>
      <c r="E30" s="1427"/>
      <c r="F30" s="1428"/>
      <c r="G30" s="791"/>
      <c r="H30" s="1217"/>
      <c r="I30" s="1218"/>
      <c r="J30" s="1219"/>
      <c r="K30" s="1220"/>
      <c r="L30" s="1221"/>
      <c r="M30" s="1222"/>
    </row>
    <row r="31" spans="1:37" ht="18" customHeight="1">
      <c r="A31" s="337" t="s">
        <v>2098</v>
      </c>
      <c r="B31" s="319" t="s">
        <v>2136</v>
      </c>
      <c r="C31" s="14">
        <f ca="1">ROUND(IF(项目基本情况!B7="自然人",C5*F31,C32+C33+C34),1)</f>
        <v>15470.5</v>
      </c>
      <c r="D31" s="1887" t="s">
        <v>2198</v>
      </c>
      <c r="E31" s="1892" t="s">
        <v>2199</v>
      </c>
      <c r="F31" s="343">
        <f>IF(项目基本情况!B7="企业","",IF('数据-取费表'!B10="住宅",5%,IF(F6*F7*F8/12/(1+'数据-取费表'!F30)&gt;20000,12%,7%)))</f>
        <v>0.05</v>
      </c>
      <c r="G31" s="791"/>
      <c r="H31" s="1217"/>
      <c r="I31" s="1218"/>
      <c r="J31" s="1219"/>
      <c r="K31" s="1220"/>
      <c r="L31" s="1221"/>
      <c r="M31" s="1222"/>
    </row>
    <row r="32" spans="1:37" ht="18" customHeight="1">
      <c r="A32" s="337" t="s">
        <v>2117</v>
      </c>
      <c r="B32" s="319" t="s">
        <v>2200</v>
      </c>
      <c r="C32" s="14" t="str">
        <f>IF(项目基本情况!B7="自然人","——",ROUND(C5*F32/(1+'数据-取费表'!F30),0))</f>
        <v>——</v>
      </c>
      <c r="D32" s="1892" t="s">
        <v>2201</v>
      </c>
      <c r="E32" s="319" t="s">
        <v>2150</v>
      </c>
      <c r="F32" s="352">
        <f>'数据-取费表'!E29</f>
        <v>5.6000000000000001E-2</v>
      </c>
      <c r="G32" s="791"/>
      <c r="H32" s="1223"/>
      <c r="I32" s="1224"/>
      <c r="J32" s="1225"/>
      <c r="K32" s="1226"/>
      <c r="L32" s="1227"/>
      <c r="M32" s="1228"/>
    </row>
    <row r="33" spans="1:18" ht="18" customHeight="1">
      <c r="A33" s="337" t="s">
        <v>2121</v>
      </c>
      <c r="B33" s="319" t="s">
        <v>2146</v>
      </c>
      <c r="C33" s="14" t="str">
        <f>IF(项目基本情况!B7="自然人","——",IF(D33="按租金收入计税",ROUND(C5*F33,1),IF(D33="按房产原值计税",ROUND(C29*F33*0.7,1),'数据-取费表'!B43)))</f>
        <v>——</v>
      </c>
      <c r="D33" s="2012" t="s">
        <v>2837</v>
      </c>
      <c r="E33" s="319" t="s">
        <v>2124</v>
      </c>
      <c r="F33" s="342">
        <f>IF(D33="按票据","——",IF(D33="按租金收入计税",'数据-取费表'!E39,'数据-取费表'!E38))</f>
        <v>0.12</v>
      </c>
      <c r="G33" s="791"/>
      <c r="H33" s="1229"/>
      <c r="I33" s="363" t="s">
        <v>2202</v>
      </c>
      <c r="J33" s="364"/>
      <c r="K33" s="1230"/>
      <c r="L33" s="1229"/>
      <c r="M33" s="1229"/>
    </row>
    <row r="34" spans="1:18" ht="18" customHeight="1">
      <c r="A34" s="1383" t="s">
        <v>2127</v>
      </c>
      <c r="B34" s="80" t="s">
        <v>2151</v>
      </c>
      <c r="C34" s="15" t="str">
        <f>IF(项目基本情况!B7="自然人","——",ROUND(F34*F35,0))</f>
        <v>——</v>
      </c>
      <c r="D34" s="346" t="s">
        <v>2152</v>
      </c>
      <c r="E34" s="319" t="s">
        <v>2153</v>
      </c>
      <c r="F34" s="347">
        <f>'数据-取费表'!E40</f>
        <v>0</v>
      </c>
      <c r="G34" s="791"/>
      <c r="H34" s="1217"/>
      <c r="I34" s="365" t="s">
        <v>2203</v>
      </c>
      <c r="J34" s="366">
        <f ca="1">ROUND(C13*J35,0)</f>
        <v>51547</v>
      </c>
      <c r="K34" s="1231"/>
      <c r="L34" s="1232"/>
      <c r="M34" s="1232"/>
    </row>
    <row r="35" spans="1:18" ht="24.6" customHeight="1">
      <c r="A35" s="1387"/>
      <c r="B35" s="328"/>
      <c r="C35" s="19"/>
      <c r="D35" s="349"/>
      <c r="E35" s="319" t="s">
        <v>2158</v>
      </c>
      <c r="F35" s="320">
        <f>IF(D1="仅计算典型户型",'数据-取费表'!E6,'数据-取费表'!B6)</f>
        <v>0</v>
      </c>
      <c r="G35" s="791"/>
      <c r="H35" s="1217"/>
      <c r="I35" s="367" t="s">
        <v>2204</v>
      </c>
      <c r="J35" s="368">
        <f>'数据-取费表'!B17</f>
        <v>8.5000000000000006E-2</v>
      </c>
      <c r="K35" s="1230"/>
      <c r="L35" s="1229"/>
      <c r="M35" s="1229"/>
    </row>
    <row r="36" spans="1:18" ht="18" customHeight="1">
      <c r="A36" s="1386" t="s">
        <v>2105</v>
      </c>
      <c r="B36" s="319" t="s">
        <v>2205</v>
      </c>
      <c r="C36" s="14">
        <f ca="1">ROUND(C29*F36,0)</f>
        <v>11134</v>
      </c>
      <c r="D36" s="1892" t="s">
        <v>2206</v>
      </c>
      <c r="E36" s="319" t="s">
        <v>2150</v>
      </c>
      <c r="F36" s="350">
        <f>'数据-取费表'!B44</f>
        <v>1.4999999999999999E-2</v>
      </c>
      <c r="G36" s="791"/>
      <c r="H36" s="1229"/>
      <c r="I36" s="369" t="s">
        <v>2207</v>
      </c>
      <c r="J36" s="370"/>
      <c r="K36" s="1233"/>
      <c r="L36" s="1229"/>
      <c r="M36" s="1229"/>
    </row>
    <row r="37" spans="1:18" ht="18" customHeight="1">
      <c r="A37" s="337" t="s">
        <v>2154</v>
      </c>
      <c r="B37" s="319" t="s">
        <v>2165</v>
      </c>
      <c r="C37" s="14">
        <f ca="1">ROUND(C13*F37,0)</f>
        <v>910</v>
      </c>
      <c r="D37" s="1892" t="s">
        <v>2166</v>
      </c>
      <c r="E37" s="319" t="s">
        <v>2167</v>
      </c>
      <c r="F37" s="351">
        <f>'数据-取费表'!B45</f>
        <v>1.5E-3</v>
      </c>
      <c r="G37" s="791"/>
      <c r="H37" s="1229"/>
      <c r="I37" s="216" t="s">
        <v>2208</v>
      </c>
      <c r="J37" s="371"/>
      <c r="K37" s="1233"/>
      <c r="L37" s="1229"/>
      <c r="M37" s="1229"/>
    </row>
    <row r="38" spans="1:18" ht="18" customHeight="1" thickBot="1">
      <c r="A38" s="1429" t="s">
        <v>2159</v>
      </c>
      <c r="B38" s="1430" t="s">
        <v>2148</v>
      </c>
      <c r="C38" s="1431">
        <f ca="1">ROUND(C5*F38,0)</f>
        <v>3094</v>
      </c>
      <c r="D38" s="1432" t="s">
        <v>2171</v>
      </c>
      <c r="E38" s="1430" t="s">
        <v>2167</v>
      </c>
      <c r="F38" s="1425">
        <f>'数据-取费表'!B46</f>
        <v>0.01</v>
      </c>
      <c r="G38" s="791"/>
      <c r="H38" s="1229"/>
      <c r="I38" s="365" t="s">
        <v>2209</v>
      </c>
      <c r="J38" s="220">
        <f ca="1">ROUND(J34/C39,3)</f>
        <v>0.185</v>
      </c>
      <c r="K38" s="1234"/>
      <c r="L38" s="1229"/>
      <c r="M38" s="1229"/>
    </row>
    <row r="39" spans="1:18" ht="18" customHeight="1" thickTop="1">
      <c r="A39" s="1419" t="s">
        <v>22</v>
      </c>
      <c r="B39" s="1434" t="s">
        <v>2210</v>
      </c>
      <c r="C39" s="327">
        <f ca="1">C5-C30</f>
        <v>278801</v>
      </c>
      <c r="D39" s="1435" t="s">
        <v>2211</v>
      </c>
      <c r="E39" s="1436"/>
      <c r="F39" s="1437"/>
      <c r="G39" s="791"/>
      <c r="H39" s="1229"/>
      <c r="I39" s="365" t="s">
        <v>2212</v>
      </c>
      <c r="J39" s="220">
        <f ca="1">1-J38</f>
        <v>0.81499999999999995</v>
      </c>
      <c r="K39" s="1234"/>
      <c r="L39" s="1229"/>
      <c r="M39" s="1229"/>
    </row>
    <row r="40" spans="1:18" s="791" customFormat="1" ht="18" customHeight="1">
      <c r="A40" s="316" t="s">
        <v>23</v>
      </c>
      <c r="B40" s="317" t="s">
        <v>2213</v>
      </c>
      <c r="C40" s="318">
        <f ca="1">ROUND(C39*(1-((1+F42)/(1+F40))^F41)/(F40-F42),0)</f>
        <v>9899901</v>
      </c>
      <c r="D40" s="346" t="s">
        <v>2181</v>
      </c>
      <c r="E40" s="319" t="s">
        <v>2182</v>
      </c>
      <c r="F40" s="329">
        <f>'数据-取费表'!B16</f>
        <v>4.4999999999999998E-2</v>
      </c>
      <c r="H40" s="1235"/>
      <c r="I40" s="216" t="s">
        <v>2214</v>
      </c>
      <c r="J40" s="217"/>
      <c r="K40" s="1234"/>
      <c r="L40" s="1235"/>
      <c r="M40" s="1235"/>
      <c r="Q40" s="795"/>
    </row>
    <row r="41" spans="1:18" s="791" customFormat="1" ht="18" customHeight="1">
      <c r="A41" s="321"/>
      <c r="B41" s="322"/>
      <c r="C41" s="323"/>
      <c r="D41" s="354" t="s">
        <v>2215</v>
      </c>
      <c r="E41" s="1824" t="s">
        <v>2826</v>
      </c>
      <c r="F41" s="355">
        <f>IF('数据-取费表'!B28="租赁期内按合同租金",'数据-取费表'!B34,IF(E41="收益年期(n)",'数据-取费表'!B33,'数据-取费表'!B13))</f>
        <v>52.61</v>
      </c>
      <c r="H41" s="1236"/>
      <c r="I41" s="219" t="s">
        <v>2086</v>
      </c>
      <c r="J41" s="220">
        <f ca="1">ROUND(C13/C40,3)</f>
        <v>6.0999999999999999E-2</v>
      </c>
      <c r="K41" s="1233"/>
      <c r="L41" s="1236"/>
      <c r="M41" s="1236"/>
      <c r="Q41" s="795"/>
    </row>
    <row r="42" spans="1:18" s="791" customFormat="1" ht="18" customHeight="1">
      <c r="A42" s="325"/>
      <c r="B42" s="326"/>
      <c r="C42" s="327"/>
      <c r="D42" s="349"/>
      <c r="E42" s="319" t="s">
        <v>2191</v>
      </c>
      <c r="F42" s="329">
        <f>'数据-取费表'!B31</f>
        <v>0.03</v>
      </c>
      <c r="H42" s="1236"/>
      <c r="I42" s="219" t="s">
        <v>2087</v>
      </c>
      <c r="J42" s="221">
        <f ca="1">1-J41</f>
        <v>0.93900000000000006</v>
      </c>
      <c r="K42" s="1233"/>
      <c r="L42" s="1236"/>
      <c r="M42" s="1236"/>
      <c r="Q42" s="795"/>
    </row>
    <row r="43" spans="1:18" s="791" customFormat="1" ht="18" customHeight="1" thickBot="1">
      <c r="A43" s="356" t="s">
        <v>24</v>
      </c>
      <c r="B43" s="357" t="s">
        <v>2216</v>
      </c>
      <c r="C43" s="358">
        <f ca="1">ROUND(C40/F43,0)</f>
        <v>55543</v>
      </c>
      <c r="D43" s="359" t="s">
        <v>2217</v>
      </c>
      <c r="E43" s="360" t="s">
        <v>2218</v>
      </c>
      <c r="F43" s="361">
        <f>IF(D1="仅计算典型户型",'数据-取费表'!E5,'数据-取费表'!B5)</f>
        <v>178.24</v>
      </c>
      <c r="G43" s="793"/>
      <c r="H43" s="1236"/>
      <c r="I43" s="1236"/>
      <c r="J43" s="1236"/>
      <c r="K43" s="1233"/>
      <c r="L43" s="1236"/>
      <c r="M43" s="1236"/>
      <c r="O43" s="1360" t="s">
        <v>2219</v>
      </c>
      <c r="P43" s="1361"/>
      <c r="Q43" s="1357"/>
      <c r="R43" s="1361"/>
    </row>
    <row r="44" spans="1:18" s="791" customFormat="1" ht="18" customHeight="1" thickBot="1">
      <c r="A44" s="776"/>
      <c r="B44" s="776"/>
      <c r="C44" s="790"/>
      <c r="D44" s="776"/>
      <c r="E44" s="776"/>
      <c r="F44" s="776"/>
      <c r="G44" s="793"/>
      <c r="K44" s="792"/>
      <c r="O44" s="1362" t="s">
        <v>2220</v>
      </c>
      <c r="P44" s="1363" t="s">
        <v>2221</v>
      </c>
      <c r="Q44" s="1364" t="s">
        <v>2222</v>
      </c>
      <c r="R44" s="1365" t="s">
        <v>2223</v>
      </c>
    </row>
    <row r="45" spans="1:18" s="791" customFormat="1" ht="18" customHeight="1" thickBot="1">
      <c r="A45" s="776"/>
      <c r="B45" s="776"/>
      <c r="C45" s="790"/>
      <c r="D45" s="776"/>
      <c r="E45" s="776"/>
      <c r="F45" s="776"/>
      <c r="G45" s="794"/>
      <c r="K45" s="792"/>
      <c r="O45" s="1366" t="s">
        <v>957</v>
      </c>
      <c r="P45" s="1367" t="s">
        <v>2224</v>
      </c>
      <c r="Q45" s="1368">
        <f ca="1">C40+J29</f>
        <v>9899901</v>
      </c>
      <c r="R45" s="1369" t="s">
        <v>2225</v>
      </c>
    </row>
    <row r="46" spans="1:18" s="791" customFormat="1" ht="18" customHeight="1" thickBot="1">
      <c r="A46" s="776"/>
      <c r="D46" s="776"/>
      <c r="E46" s="776"/>
      <c r="F46" s="776"/>
      <c r="K46" s="792"/>
      <c r="O46" s="1366" t="s">
        <v>958</v>
      </c>
      <c r="P46" s="1367" t="s">
        <v>2226</v>
      </c>
      <c r="Q46" s="1368" t="str">
        <f>J61</f>
        <v>0</v>
      </c>
      <c r="R46" s="1369" t="s">
        <v>2227</v>
      </c>
    </row>
    <row r="47" spans="1:18" s="791" customFormat="1" ht="21.75" thickBot="1">
      <c r="A47" s="2341" t="s">
        <v>2228</v>
      </c>
      <c r="C47" s="1302">
        <f ca="1">IF(C2="元",C69-C40,ROUND((C69-C40)/10000,0))</f>
        <v>-1014</v>
      </c>
      <c r="D47" s="2342" t="str">
        <f>C2</f>
        <v>万元</v>
      </c>
      <c r="E47" s="776"/>
      <c r="F47" s="776"/>
      <c r="I47" s="2343" t="s">
        <v>2229</v>
      </c>
      <c r="J47" s="1342"/>
      <c r="K47" s="1343"/>
      <c r="L47" s="1356">
        <f>IF(M48="住宅",0,IF(L49&gt;J52,L61,J61))</f>
        <v>0</v>
      </c>
      <c r="O47" s="1370" t="s">
        <v>959</v>
      </c>
      <c r="P47" s="1367" t="s">
        <v>2230</v>
      </c>
      <c r="Q47" s="1368">
        <f ca="1">C29</f>
        <v>742268</v>
      </c>
      <c r="R47" s="1369" t="s">
        <v>2225</v>
      </c>
    </row>
    <row r="48" spans="1:18" s="791" customFormat="1" ht="15.75" thickBot="1">
      <c r="A48" s="312" t="s">
        <v>2231</v>
      </c>
      <c r="B48" s="313" t="s">
        <v>2232</v>
      </c>
      <c r="C48" s="313" t="s">
        <v>2233</v>
      </c>
      <c r="D48" s="313" t="s">
        <v>2234</v>
      </c>
      <c r="E48" s="1296" t="s">
        <v>2235</v>
      </c>
      <c r="F48" s="1297"/>
      <c r="I48" s="2344" t="s">
        <v>2236</v>
      </c>
      <c r="J48" s="2345" t="s">
        <v>2824</v>
      </c>
      <c r="K48" s="2346" t="s">
        <v>2237</v>
      </c>
      <c r="L48" s="1344">
        <f>'数据-取费表'!B11</f>
        <v>70</v>
      </c>
      <c r="M48" s="1357" t="str">
        <f>IF('数据-取费表'!B10="住宅","住宅","非住宅")</f>
        <v>住宅</v>
      </c>
      <c r="O48" s="1370" t="s">
        <v>960</v>
      </c>
      <c r="P48" s="1367" t="s">
        <v>2238</v>
      </c>
      <c r="Q48" s="1371" t="e">
        <f>J59</f>
        <v>#VALUE!</v>
      </c>
      <c r="R48" s="1369"/>
    </row>
    <row r="49" spans="1:18" s="791" customFormat="1" ht="15.75" thickBot="1">
      <c r="A49" s="1456" t="s">
        <v>1030</v>
      </c>
      <c r="B49" s="317" t="s">
        <v>2239</v>
      </c>
      <c r="C49" s="1457">
        <f ca="1">C50+C54+C56</f>
        <v>0</v>
      </c>
      <c r="D49" s="1458"/>
      <c r="E49" s="101"/>
      <c r="F49" s="16"/>
      <c r="I49" s="2347" t="s">
        <v>2240</v>
      </c>
      <c r="J49" s="2348" t="s">
        <v>2825</v>
      </c>
      <c r="K49" s="2349" t="s">
        <v>2241</v>
      </c>
      <c r="L49" s="1127">
        <f>'数据-取费表'!B13</f>
        <v>52.61</v>
      </c>
      <c r="O49" s="1370" t="s">
        <v>961</v>
      </c>
      <c r="P49" s="1367" t="s">
        <v>2242</v>
      </c>
      <c r="Q49" s="1371">
        <f>J53</f>
        <v>0.09</v>
      </c>
      <c r="R49" s="1369"/>
    </row>
    <row r="50" spans="1:18" s="791" customFormat="1" ht="15.75" thickBot="1">
      <c r="A50" s="345" t="s">
        <v>2098</v>
      </c>
      <c r="B50" s="2022" t="s">
        <v>2243</v>
      </c>
      <c r="C50" s="318">
        <f>ROUND(F50*F52*F51*(1-F53),0)</f>
        <v>0</v>
      </c>
      <c r="D50" s="93" t="s">
        <v>2794</v>
      </c>
      <c r="E50" s="2350" t="s">
        <v>2244</v>
      </c>
      <c r="F50" s="1298"/>
      <c r="I50" s="2347" t="s">
        <v>2245</v>
      </c>
      <c r="J50" s="1127">
        <f>'数据-取费表'!B26</f>
        <v>2002</v>
      </c>
      <c r="K50" s="2351" t="s">
        <v>2246</v>
      </c>
      <c r="L50" s="1345"/>
      <c r="O50" s="1370" t="s">
        <v>962</v>
      </c>
      <c r="P50" s="1367" t="s">
        <v>2247</v>
      </c>
      <c r="Q50" s="1368">
        <f>J54</f>
        <v>44</v>
      </c>
      <c r="R50" s="1369" t="s">
        <v>2248</v>
      </c>
    </row>
    <row r="51" spans="1:18" s="791" customFormat="1" ht="15.75" thickBot="1">
      <c r="A51" s="321"/>
      <c r="B51" s="322"/>
      <c r="C51" s="323"/>
      <c r="D51" s="324"/>
      <c r="E51" s="339" t="s">
        <v>2101</v>
      </c>
      <c r="F51" s="1295">
        <f>F7</f>
        <v>178.24</v>
      </c>
      <c r="I51" s="2347" t="s">
        <v>2249</v>
      </c>
      <c r="J51" s="1346">
        <f>SUMPRODUCT((I64:I66=J48)*(J63:L63=J49)*(J64:L66))</f>
        <v>60</v>
      </c>
      <c r="K51" s="2351" t="s">
        <v>2250</v>
      </c>
      <c r="L51" s="1345"/>
      <c r="O51" s="1366" t="s">
        <v>963</v>
      </c>
      <c r="P51" s="1367" t="str">
        <f>IF(C2="元","收益价值(元)","收益价值(万元)")</f>
        <v>收益价值(万元)</v>
      </c>
      <c r="Q51" s="1368">
        <f ca="1">ROUND(IF(C2="元",Q45+Q46,(Q45+Q46)/10000),0)</f>
        <v>990</v>
      </c>
      <c r="R51" s="1369" t="s">
        <v>964</v>
      </c>
    </row>
    <row r="52" spans="1:18" s="791" customFormat="1" ht="16.5" thickBot="1">
      <c r="A52" s="321"/>
      <c r="B52" s="322"/>
      <c r="C52" s="323"/>
      <c r="D52" s="324"/>
      <c r="E52" s="319" t="s">
        <v>2103</v>
      </c>
      <c r="F52" s="320">
        <f>F8</f>
        <v>365</v>
      </c>
      <c r="I52" s="2352" t="s">
        <v>2251</v>
      </c>
      <c r="J52" s="1347">
        <f>IF(J50="",J51,J50+J51-YEAR('数据-取费表'!B2))</f>
        <v>44</v>
      </c>
      <c r="K52" s="2353" t="s">
        <v>2252</v>
      </c>
      <c r="L52" s="1348">
        <f ca="1">ROUND(-PV('数据-取费表'!B15,L49,(C40-C13*J35)),0)</f>
        <v>214935124</v>
      </c>
      <c r="O52" s="1360" t="s">
        <v>2253</v>
      </c>
      <c r="P52" s="1361"/>
      <c r="Q52" s="1357"/>
      <c r="R52" s="1361"/>
    </row>
    <row r="53" spans="1:18" s="791" customFormat="1" ht="15.75" thickBot="1">
      <c r="A53" s="325"/>
      <c r="B53" s="326"/>
      <c r="C53" s="327"/>
      <c r="D53" s="328"/>
      <c r="E53" s="319" t="s">
        <v>2104</v>
      </c>
      <c r="F53" s="1355"/>
      <c r="I53" s="2354" t="s">
        <v>2254</v>
      </c>
      <c r="J53" s="1349">
        <v>0.09</v>
      </c>
      <c r="K53" s="2354" t="s">
        <v>2255</v>
      </c>
      <c r="L53" s="1349">
        <v>0.05</v>
      </c>
      <c r="O53" s="1362" t="s">
        <v>2220</v>
      </c>
      <c r="P53" s="1363" t="s">
        <v>2221</v>
      </c>
      <c r="Q53" s="1364" t="s">
        <v>2222</v>
      </c>
      <c r="R53" s="1365" t="s">
        <v>2223</v>
      </c>
    </row>
    <row r="54" spans="1:18" s="791" customFormat="1" ht="29.25" customHeight="1" thickBot="1">
      <c r="A54" s="1383" t="s">
        <v>2105</v>
      </c>
      <c r="B54" s="2335" t="s">
        <v>2106</v>
      </c>
      <c r="C54" s="1384">
        <f ca="1">ROUND(IF(F54="押一",C50/12*F11,IF(F54="押二",C50/12*2*F11,IF(F54="押三",C50/12*3*F11,C55*F11))),0)</f>
        <v>0</v>
      </c>
      <c r="D54" s="2336" t="s">
        <v>2802</v>
      </c>
      <c r="E54" s="330" t="s">
        <v>2107</v>
      </c>
      <c r="F54" s="2337"/>
      <c r="I54" s="2355" t="s">
        <v>2256</v>
      </c>
      <c r="J54" s="1350">
        <f>IF(M48="住宅",J52,IF(E1="——",MIN(J52,L49),IF(E1="在建（套用方法）",MIN(J52,L49-'数据-取费表'!B25),IF(E1="土地（套用方法）",MIN(J52,L49-'数据-取费表'!B21)))))</f>
        <v>44</v>
      </c>
      <c r="K54" s="3041" t="s">
        <v>2792</v>
      </c>
      <c r="L54" s="3042"/>
      <c r="O54" s="1366" t="s">
        <v>957</v>
      </c>
      <c r="P54" s="1367" t="s">
        <v>2224</v>
      </c>
      <c r="Q54" s="1368">
        <f ca="1">C40+J29</f>
        <v>9899901</v>
      </c>
      <c r="R54" s="1369" t="s">
        <v>2225</v>
      </c>
    </row>
    <row r="55" spans="1:18" s="791" customFormat="1" ht="20.25" thickBot="1">
      <c r="A55" s="1383"/>
      <c r="B55" s="2356" t="s">
        <v>2111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958</v>
      </c>
      <c r="P55" s="1367" t="s">
        <v>2257</v>
      </c>
      <c r="Q55" s="1368">
        <f>L61</f>
        <v>0</v>
      </c>
      <c r="R55" s="1369" t="s">
        <v>2258</v>
      </c>
    </row>
    <row r="56" spans="1:18" s="791" customFormat="1" ht="20.25" thickBot="1">
      <c r="A56" s="1423" t="s">
        <v>2112</v>
      </c>
      <c r="B56" s="2339" t="s">
        <v>2113</v>
      </c>
      <c r="C56" s="1424"/>
      <c r="D56" s="1440"/>
      <c r="E56" s="2359"/>
      <c r="F56" s="1500"/>
      <c r="I56" s="2360" t="s">
        <v>2259</v>
      </c>
      <c r="J56" s="1870" t="e">
        <f>ROUND(IF(J48="钢混",J58/J51,1-(1-2%)*(J51-J58)/J51),3)</f>
        <v>#VALUE!</v>
      </c>
      <c r="K56" s="2361" t="s">
        <v>2260</v>
      </c>
      <c r="L56" s="1351"/>
      <c r="O56" s="1370" t="s">
        <v>959</v>
      </c>
      <c r="P56" s="1367" t="s">
        <v>2261</v>
      </c>
      <c r="Q56" s="1368">
        <f>IF(L56="比较法",L50,IF(L56="基准地价",L51,0))</f>
        <v>0</v>
      </c>
      <c r="R56" s="1369" t="s">
        <v>2225</v>
      </c>
    </row>
    <row r="57" spans="1:18" s="791" customFormat="1" ht="44.25" thickTop="1" thickBot="1">
      <c r="A57" s="1419">
        <v>2</v>
      </c>
      <c r="B57" s="1420" t="s">
        <v>2114</v>
      </c>
      <c r="C57" s="1499">
        <f ca="1">C13</f>
        <v>606433</v>
      </c>
      <c r="D57" s="1293"/>
      <c r="E57" s="1294"/>
      <c r="F57" s="1301"/>
      <c r="I57" s="2362" t="s">
        <v>2262</v>
      </c>
      <c r="J57" s="1354"/>
      <c r="K57" s="2347" t="s">
        <v>2263</v>
      </c>
      <c r="L57" s="1127">
        <f>IF(L49&lt;J52,"——",L49-J52)</f>
        <v>8.61</v>
      </c>
      <c r="O57" s="1370" t="s">
        <v>960</v>
      </c>
      <c r="P57" s="1367" t="s">
        <v>2264</v>
      </c>
      <c r="Q57" s="1371">
        <f>L53</f>
        <v>0.05</v>
      </c>
      <c r="R57" s="1369"/>
    </row>
    <row r="58" spans="1:18" s="791" customFormat="1" ht="29.25" thickBot="1">
      <c r="A58" s="1300"/>
      <c r="B58" s="319" t="s">
        <v>2193</v>
      </c>
      <c r="C58" s="188">
        <f ca="1">C29</f>
        <v>742268</v>
      </c>
      <c r="D58" s="1293"/>
      <c r="E58" s="1294"/>
      <c r="F58" s="1301"/>
      <c r="I58" s="2363" t="s">
        <v>2265</v>
      </c>
      <c r="J58" s="1353" t="str">
        <f>IF(OR(M48="住宅",J52&lt;L49,J57="是"),"——",J52-L49)</f>
        <v>——</v>
      </c>
      <c r="K58" s="2347" t="s">
        <v>2266</v>
      </c>
      <c r="L58" s="1127">
        <f ca="1">IF(L49&lt;J52,"——",IF(L56="比较法",L50,IF(L56="基准地价",L51,L52)))</f>
        <v>214935124</v>
      </c>
      <c r="O58" s="1370" t="s">
        <v>961</v>
      </c>
      <c r="P58" s="1367" t="s">
        <v>2267</v>
      </c>
      <c r="Q58" s="1368">
        <f>L59</f>
        <v>0.9546</v>
      </c>
      <c r="R58" s="1369" t="s">
        <v>2268</v>
      </c>
    </row>
    <row r="59" spans="1:18" s="791" customFormat="1" ht="29.25" thickBot="1">
      <c r="A59" s="332" t="s">
        <v>14</v>
      </c>
      <c r="B59" s="333" t="s">
        <v>2196</v>
      </c>
      <c r="C59" s="334">
        <f ca="1">ROUND(C60+C65+C66+C67,0)</f>
        <v>12044</v>
      </c>
      <c r="D59" s="12" t="s">
        <v>2197</v>
      </c>
      <c r="E59" s="1897"/>
      <c r="F59" s="16"/>
      <c r="I59" s="2363" t="s">
        <v>2269</v>
      </c>
      <c r="J59" s="1869" t="e">
        <f>IF(J56&lt;0.4,0.4,J56)</f>
        <v>#VALUE!</v>
      </c>
      <c r="K59" s="2353" t="s">
        <v>2270</v>
      </c>
      <c r="L59" s="1127">
        <f>ROUND(POWER(1+L53,L48-L49)*(POWER(1+L53,L49)-1)/(POWER(1+L53,L48)-1),4)</f>
        <v>0.9546</v>
      </c>
      <c r="O59" s="1370" t="s">
        <v>962</v>
      </c>
      <c r="P59" s="1367" t="str">
        <f>K60</f>
        <v>建筑物剩余耐用年限下的土地年期修正系数Kn</v>
      </c>
      <c r="Q59" s="1368">
        <f>L60</f>
        <v>0.91320000000000001</v>
      </c>
      <c r="R59" s="1369" t="s">
        <v>2271</v>
      </c>
    </row>
    <row r="60" spans="1:18" s="791" customFormat="1" ht="29.25" thickBot="1">
      <c r="A60" s="337" t="s">
        <v>15</v>
      </c>
      <c r="B60" s="319" t="s">
        <v>2136</v>
      </c>
      <c r="C60" s="14">
        <f ca="1">ROUND(IF(项目基本情况!B7="自然人",C49*F60,C61+C62+C63),1)</f>
        <v>0</v>
      </c>
      <c r="D60" s="1887" t="s">
        <v>2198</v>
      </c>
      <c r="E60" s="1892" t="s">
        <v>2199</v>
      </c>
      <c r="F60" s="343">
        <f>IF(项目基本情况!B7="企业","",IF('数据-取费表'!B10="住宅",5%,IF(F50*F51*F52/12/(1+'数据-取费表'!F30)&gt;20000,12%,7%)))</f>
        <v>0.05</v>
      </c>
      <c r="I60" s="2363" t="s">
        <v>2272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f>ROUND(IF(E1="在建（套用方法）",M60,IF(E1="土地（套用方法）",N60,POWER(1+L53,L48-J52)*(POWER(1+L53,J52)-1)/(POWER(1+L53,L48)-1))),4)</f>
        <v>0.91320000000000001</v>
      </c>
      <c r="M60" s="1361">
        <f>ROUND(POWER(1+L53,L48-(J52+'数据-取费表'!B25))*(POWER(1+L53,(J52+'数据-取费表'!B25))-1)/(POWER(1+L53,L48)-1),4)</f>
        <v>0.91320000000000001</v>
      </c>
      <c r="N60" s="1361">
        <f>ROUND(POWER(1+L53,L48-(J52+'数据-取费表'!B21))*(POWER(1+L53,(J52+'数据-取费表'!B21))-1)/(POWER(1+L53,L48)-1),4)</f>
        <v>0.92169999999999996</v>
      </c>
      <c r="O60" s="1366" t="s">
        <v>963</v>
      </c>
      <c r="P60" s="1367" t="str">
        <f>IF(C2="元","收益价值(元)","收益价值(万元)")</f>
        <v>收益价值(万元)</v>
      </c>
      <c r="Q60" s="1368">
        <f ca="1">ROUND(IF(C2="元",Q54+Q55,(Q54+Q55)/10000),0)</f>
        <v>990</v>
      </c>
      <c r="R60" s="1369" t="s">
        <v>964</v>
      </c>
    </row>
    <row r="61" spans="1:18" s="791" customFormat="1" ht="16.5" thickBot="1">
      <c r="A61" s="337" t="s">
        <v>16</v>
      </c>
      <c r="B61" s="319" t="s">
        <v>2200</v>
      </c>
      <c r="C61" s="14" t="str">
        <f>IF(项目基本情况!B7="自然人","——",ROUND(C49*F61/(1+'数据-取费表'!F30),0))</f>
        <v>——</v>
      </c>
      <c r="D61" s="1892" t="s">
        <v>2201</v>
      </c>
      <c r="E61" s="319" t="s">
        <v>2150</v>
      </c>
      <c r="F61" s="352">
        <f t="shared" ref="F61:F67" si="0">F32</f>
        <v>5.6000000000000001E-2</v>
      </c>
      <c r="I61" s="2364" t="s">
        <v>2273</v>
      </c>
      <c r="J61" s="1352" t="str">
        <f>IF(OR(M48="住宅",J52&lt;L49,J57="是"),"0",ROUND(J60/(1+J53)^J54,0))</f>
        <v>0</v>
      </c>
      <c r="K61" s="2365" t="s">
        <v>2274</v>
      </c>
      <c r="L61" s="1352">
        <f>IF(OR(M48="住宅",L49&lt;J52),0,ROUND(L58*(L59/L60-1),0))</f>
        <v>0</v>
      </c>
      <c r="O61" s="1360" t="s">
        <v>2275</v>
      </c>
      <c r="P61" s="1361"/>
      <c r="Q61" s="1357"/>
      <c r="R61" s="1361"/>
    </row>
    <row r="62" spans="1:18" s="791" customFormat="1" ht="15.75" thickBot="1">
      <c r="A62" s="337" t="s">
        <v>17</v>
      </c>
      <c r="B62" s="319" t="s">
        <v>2276</v>
      </c>
      <c r="C62" s="14" t="str">
        <f>IF(项目基本情况!B7="自然人","——",IF(D62="按租金收入计税",ROUND(C49*F62,1),IF(D62="按房产原值计税",ROUND(C58*F62*0.7,1),'数据-取费表'!B43)))</f>
        <v>——</v>
      </c>
      <c r="D62" s="2012" t="s">
        <v>2147</v>
      </c>
      <c r="E62" s="319" t="s">
        <v>2150</v>
      </c>
      <c r="F62" s="342">
        <f t="shared" si="0"/>
        <v>0.12</v>
      </c>
      <c r="O62" s="1362" t="s">
        <v>2220</v>
      </c>
      <c r="P62" s="1363" t="s">
        <v>2221</v>
      </c>
      <c r="Q62" s="1364" t="s">
        <v>2222</v>
      </c>
      <c r="R62" s="1365" t="s">
        <v>2223</v>
      </c>
    </row>
    <row r="63" spans="1:18" s="791" customFormat="1" ht="15.75" thickBot="1">
      <c r="A63" s="345" t="s">
        <v>18</v>
      </c>
      <c r="B63" s="80" t="s">
        <v>2277</v>
      </c>
      <c r="C63" s="15" t="str">
        <f>IF(项目基本情况!B7="自然人","——",ROUND(F63*F64,0))</f>
        <v>——</v>
      </c>
      <c r="D63" s="346" t="s">
        <v>2278</v>
      </c>
      <c r="E63" s="319" t="s">
        <v>2279</v>
      </c>
      <c r="F63" s="347">
        <f t="shared" si="0"/>
        <v>0</v>
      </c>
      <c r="I63" s="2366" t="s">
        <v>2280</v>
      </c>
      <c r="J63" s="1873" t="s">
        <v>2281</v>
      </c>
      <c r="K63" s="1873" t="s">
        <v>2282</v>
      </c>
      <c r="L63" s="1873" t="s">
        <v>2283</v>
      </c>
      <c r="M63" s="1872" t="s">
        <v>2284</v>
      </c>
      <c r="O63" s="1366" t="s">
        <v>957</v>
      </c>
      <c r="P63" s="1367" t="s">
        <v>2224</v>
      </c>
      <c r="Q63" s="1368">
        <f ca="1">C40+J29</f>
        <v>9899901</v>
      </c>
      <c r="R63" s="1369" t="s">
        <v>2225</v>
      </c>
    </row>
    <row r="64" spans="1:18" s="791" customFormat="1" ht="20.25" thickBot="1">
      <c r="A64" s="348"/>
      <c r="B64" s="328"/>
      <c r="C64" s="19"/>
      <c r="D64" s="349"/>
      <c r="E64" s="319" t="s">
        <v>2285</v>
      </c>
      <c r="F64" s="320">
        <f t="shared" si="0"/>
        <v>0</v>
      </c>
      <c r="I64" s="2366" t="s">
        <v>2286</v>
      </c>
      <c r="J64" s="1873">
        <v>70</v>
      </c>
      <c r="K64" s="1873">
        <v>50</v>
      </c>
      <c r="L64" s="1873">
        <v>80</v>
      </c>
      <c r="M64" s="1871">
        <v>0.02</v>
      </c>
      <c r="O64" s="1366" t="s">
        <v>958</v>
      </c>
      <c r="P64" s="1367" t="s">
        <v>2257</v>
      </c>
      <c r="Q64" s="1368">
        <f>L61</f>
        <v>0</v>
      </c>
      <c r="R64" s="1369" t="s">
        <v>2258</v>
      </c>
    </row>
    <row r="65" spans="1:18" s="791" customFormat="1" ht="23.25" thickBot="1">
      <c r="A65" s="337" t="s">
        <v>19</v>
      </c>
      <c r="B65" s="319" t="s">
        <v>2205</v>
      </c>
      <c r="C65" s="14">
        <f ca="1">ROUND(C58*F65,0)</f>
        <v>11134</v>
      </c>
      <c r="D65" s="1892" t="s">
        <v>2206</v>
      </c>
      <c r="E65" s="319" t="s">
        <v>2150</v>
      </c>
      <c r="F65" s="350">
        <f t="shared" si="0"/>
        <v>1.4999999999999999E-2</v>
      </c>
      <c r="I65" s="2366" t="s">
        <v>2287</v>
      </c>
      <c r="J65" s="1873">
        <v>50</v>
      </c>
      <c r="K65" s="1873">
        <v>35</v>
      </c>
      <c r="L65" s="1873">
        <v>60</v>
      </c>
      <c r="M65" s="1872">
        <v>0</v>
      </c>
      <c r="O65" s="1370" t="s">
        <v>959</v>
      </c>
      <c r="P65" s="1367" t="s">
        <v>2261</v>
      </c>
      <c r="Q65" s="1372">
        <f ca="1">L52</f>
        <v>214935124</v>
      </c>
      <c r="R65" s="1373" t="s">
        <v>2288</v>
      </c>
    </row>
    <row r="66" spans="1:18" s="791" customFormat="1" ht="20.25" thickBot="1">
      <c r="A66" s="337" t="s">
        <v>20</v>
      </c>
      <c r="B66" s="319" t="s">
        <v>2165</v>
      </c>
      <c r="C66" s="14">
        <f ca="1">ROUND(C57*F66,0)</f>
        <v>910</v>
      </c>
      <c r="D66" s="1892" t="s">
        <v>2166</v>
      </c>
      <c r="E66" s="319" t="s">
        <v>2167</v>
      </c>
      <c r="F66" s="351">
        <f t="shared" si="0"/>
        <v>1.5E-3</v>
      </c>
      <c r="I66" s="2366" t="s">
        <v>2289</v>
      </c>
      <c r="J66" s="1873">
        <v>40</v>
      </c>
      <c r="K66" s="1873">
        <v>30</v>
      </c>
      <c r="L66" s="1873">
        <v>50</v>
      </c>
      <c r="M66" s="1871">
        <v>0.02</v>
      </c>
      <c r="O66" s="1370" t="s">
        <v>960</v>
      </c>
      <c r="P66" s="1374" t="s">
        <v>2290</v>
      </c>
      <c r="Q66" s="1368">
        <f ca="1">ROUND(Q67-Q68*Q69,0)</f>
        <v>227254</v>
      </c>
      <c r="R66" s="1369"/>
    </row>
    <row r="67" spans="1:18" s="791" customFormat="1" ht="15.75" thickBot="1">
      <c r="A67" s="337" t="s">
        <v>21</v>
      </c>
      <c r="B67" s="319" t="s">
        <v>2148</v>
      </c>
      <c r="C67" s="14">
        <f ca="1">ROUND(C49*F67,0)</f>
        <v>0</v>
      </c>
      <c r="D67" s="1892" t="s">
        <v>2171</v>
      </c>
      <c r="E67" s="319" t="s">
        <v>2167</v>
      </c>
      <c r="F67" s="329">
        <f t="shared" si="0"/>
        <v>0.01</v>
      </c>
      <c r="O67" s="1370" t="s">
        <v>965</v>
      </c>
      <c r="P67" s="1374" t="s">
        <v>2291</v>
      </c>
      <c r="Q67" s="1368">
        <f ca="1">C39</f>
        <v>278801</v>
      </c>
      <c r="R67" s="1369" t="s">
        <v>2225</v>
      </c>
    </row>
    <row r="68" spans="1:18" ht="15.75" thickBot="1">
      <c r="A68" s="332" t="s">
        <v>22</v>
      </c>
      <c r="B68" s="89" t="s">
        <v>2175</v>
      </c>
      <c r="C68" s="334">
        <f ca="1">C49-C59</f>
        <v>-12044</v>
      </c>
      <c r="D68" s="1887" t="s">
        <v>2176</v>
      </c>
      <c r="E68" s="1891"/>
      <c r="F68" s="353"/>
      <c r="H68" s="791"/>
      <c r="I68" s="791"/>
      <c r="J68" s="791"/>
      <c r="K68" s="791"/>
      <c r="L68" s="791"/>
      <c r="M68" s="791"/>
      <c r="O68" s="1370" t="s">
        <v>966</v>
      </c>
      <c r="P68" s="1374" t="s">
        <v>2292</v>
      </c>
      <c r="Q68" s="1368">
        <f ca="1">C13</f>
        <v>606433</v>
      </c>
      <c r="R68" s="1369" t="s">
        <v>2225</v>
      </c>
    </row>
    <row r="69" spans="1:18" ht="15.75" thickBot="1">
      <c r="A69" s="316" t="s">
        <v>23</v>
      </c>
      <c r="B69" s="317" t="s">
        <v>2213</v>
      </c>
      <c r="C69" s="318">
        <f ca="1">ROUND(C68*(1-((1+F71)/(1+F69))^F70)/(F69-F71),0)</f>
        <v>-241229</v>
      </c>
      <c r="D69" s="346" t="s">
        <v>2181</v>
      </c>
      <c r="E69" s="319" t="s">
        <v>2182</v>
      </c>
      <c r="F69" s="329">
        <f>F40</f>
        <v>4.4999999999999998E-2</v>
      </c>
      <c r="H69" s="791"/>
      <c r="I69" s="791"/>
      <c r="J69" s="791"/>
      <c r="K69" s="791"/>
      <c r="L69" s="791"/>
      <c r="M69" s="791"/>
      <c r="O69" s="1370" t="s">
        <v>967</v>
      </c>
      <c r="P69" s="1374" t="s">
        <v>2293</v>
      </c>
      <c r="Q69" s="1371">
        <f>J35</f>
        <v>8.5000000000000006E-2</v>
      </c>
      <c r="R69" s="1369"/>
    </row>
    <row r="70" spans="1:18" ht="15.75" thickBot="1">
      <c r="A70" s="321"/>
      <c r="B70" s="322"/>
      <c r="C70" s="323"/>
      <c r="D70" s="354" t="s">
        <v>2215</v>
      </c>
      <c r="E70" s="319" t="s">
        <v>2187</v>
      </c>
      <c r="F70" s="355">
        <f>F41</f>
        <v>52.61</v>
      </c>
      <c r="H70" s="791"/>
      <c r="I70" s="791"/>
      <c r="J70" s="791"/>
      <c r="K70" s="791"/>
      <c r="L70" s="791"/>
      <c r="M70" s="791"/>
      <c r="O70" s="1370" t="s">
        <v>961</v>
      </c>
      <c r="P70" s="1367" t="s">
        <v>2264</v>
      </c>
      <c r="Q70" s="1371">
        <f>L53</f>
        <v>0.05</v>
      </c>
      <c r="R70" s="1369"/>
    </row>
    <row r="71" spans="1:18" ht="20.25" thickBot="1">
      <c r="A71" s="325"/>
      <c r="B71" s="326"/>
      <c r="C71" s="327"/>
      <c r="D71" s="349"/>
      <c r="E71" s="319" t="s">
        <v>2191</v>
      </c>
      <c r="F71" s="1355"/>
      <c r="H71" s="791"/>
      <c r="M71" s="791"/>
      <c r="O71" s="1370" t="s">
        <v>962</v>
      </c>
      <c r="P71" s="1367" t="s">
        <v>2267</v>
      </c>
      <c r="Q71" s="1368">
        <f>L59</f>
        <v>0.9546</v>
      </c>
      <c r="R71" s="1369" t="s">
        <v>2268</v>
      </c>
    </row>
    <row r="72" spans="1:18" ht="15.75" thickBot="1">
      <c r="A72" s="356" t="s">
        <v>24</v>
      </c>
      <c r="B72" s="357" t="s">
        <v>2216</v>
      </c>
      <c r="C72" s="358">
        <f ca="1">ROUND(C69/F72,0)</f>
        <v>-1353</v>
      </c>
      <c r="D72" s="359" t="s">
        <v>2217</v>
      </c>
      <c r="E72" s="360" t="s">
        <v>2218</v>
      </c>
      <c r="F72" s="361">
        <f>F43</f>
        <v>178.24</v>
      </c>
      <c r="O72" s="1370" t="s">
        <v>968</v>
      </c>
      <c r="P72" s="1367" t="str">
        <f>K60</f>
        <v>建筑物剩余耐用年限下的土地年期修正系数Kn</v>
      </c>
      <c r="Q72" s="1368">
        <f>L60</f>
        <v>0.91320000000000001</v>
      </c>
      <c r="R72" s="1369" t="s">
        <v>2271</v>
      </c>
    </row>
    <row r="73" spans="1:18" ht="15.75" thickBot="1">
      <c r="A73" s="791"/>
      <c r="B73" s="795"/>
      <c r="C73" s="795"/>
      <c r="D73" s="791"/>
      <c r="E73" s="791"/>
      <c r="F73" s="791"/>
      <c r="O73" s="1366" t="s">
        <v>963</v>
      </c>
      <c r="P73" s="1367" t="str">
        <f>IF(C2="元","收益价值(元)","收益价值(万元)")</f>
        <v>收益价值(万元)</v>
      </c>
      <c r="Q73" s="1368">
        <f ca="1">ROUND(IF(C2="元",Q63+Q64,(Q63+Q64)/10000),0)</f>
        <v>990</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3" t="s">
        <v>1024</v>
      </c>
      <c r="B1" s="3044"/>
      <c r="C1" s="3045"/>
      <c r="D1" s="3046">
        <f>SUM(I10,I15,I20,I21,I23)</f>
        <v>0</v>
      </c>
      <c r="E1" s="3046"/>
      <c r="F1" s="3046"/>
      <c r="G1" s="3046"/>
      <c r="H1" s="3046"/>
      <c r="I1" s="3047"/>
    </row>
    <row r="2" spans="1:9">
      <c r="A2" s="3048" t="s">
        <v>1025</v>
      </c>
      <c r="B2" s="3049" t="s">
        <v>974</v>
      </c>
      <c r="C2" s="3049"/>
      <c r="D2" s="1388" t="s">
        <v>975</v>
      </c>
      <c r="E2" s="1388" t="s">
        <v>976</v>
      </c>
      <c r="F2" s="1388" t="s">
        <v>977</v>
      </c>
      <c r="G2" s="1388" t="s">
        <v>978</v>
      </c>
      <c r="H2" s="1388" t="s">
        <v>979</v>
      </c>
      <c r="I2" s="1389" t="s">
        <v>980</v>
      </c>
    </row>
    <row r="3" spans="1:9">
      <c r="A3" s="3048"/>
      <c r="B3" s="3049" t="s">
        <v>981</v>
      </c>
      <c r="C3" s="3049"/>
      <c r="D3" s="1390"/>
      <c r="E3" s="1388"/>
      <c r="F3" s="1391"/>
      <c r="G3" s="1391"/>
      <c r="H3" s="1392"/>
      <c r="I3" s="1393">
        <f>ROUND(D3*E3*F3*G3*H3/10000,0)</f>
        <v>0</v>
      </c>
    </row>
    <row r="4" spans="1:9">
      <c r="A4" s="3048"/>
      <c r="B4" s="3049" t="s">
        <v>982</v>
      </c>
      <c r="C4" s="3049"/>
      <c r="D4" s="1390"/>
      <c r="E4" s="1388"/>
      <c r="F4" s="1391"/>
      <c r="G4" s="1391"/>
      <c r="H4" s="1392"/>
      <c r="I4" s="1393">
        <f t="shared" ref="I4:I9" si="0">ROUND(D4*E4*F4*G4*H4/10000,0)</f>
        <v>0</v>
      </c>
    </row>
    <row r="5" spans="1:9">
      <c r="A5" s="3048"/>
      <c r="B5" s="3049" t="s">
        <v>983</v>
      </c>
      <c r="C5" s="3049"/>
      <c r="D5" s="1390"/>
      <c r="E5" s="1388"/>
      <c r="F5" s="1391"/>
      <c r="G5" s="1391"/>
      <c r="H5" s="1392"/>
      <c r="I5" s="1393">
        <f t="shared" si="0"/>
        <v>0</v>
      </c>
    </row>
    <row r="6" spans="1:9">
      <c r="A6" s="3048"/>
      <c r="B6" s="3049" t="s">
        <v>984</v>
      </c>
      <c r="C6" s="3049"/>
      <c r="D6" s="1390"/>
      <c r="E6" s="1388"/>
      <c r="F6" s="1391"/>
      <c r="G6" s="1391"/>
      <c r="H6" s="1392"/>
      <c r="I6" s="1393">
        <f t="shared" si="0"/>
        <v>0</v>
      </c>
    </row>
    <row r="7" spans="1:9">
      <c r="A7" s="3048"/>
      <c r="B7" s="3049" t="s">
        <v>985</v>
      </c>
      <c r="C7" s="3049"/>
      <c r="D7" s="1390"/>
      <c r="E7" s="1388"/>
      <c r="F7" s="1391"/>
      <c r="G7" s="1391"/>
      <c r="H7" s="1392"/>
      <c r="I7" s="1393">
        <f t="shared" si="0"/>
        <v>0</v>
      </c>
    </row>
    <row r="8" spans="1:9">
      <c r="A8" s="3048"/>
      <c r="B8" s="3049" t="s">
        <v>986</v>
      </c>
      <c r="C8" s="3049"/>
      <c r="D8" s="1390"/>
      <c r="E8" s="1388"/>
      <c r="F8" s="1391"/>
      <c r="G8" s="1391"/>
      <c r="H8" s="1392"/>
      <c r="I8" s="1393">
        <f t="shared" si="0"/>
        <v>0</v>
      </c>
    </row>
    <row r="9" spans="1:9">
      <c r="A9" s="3048"/>
      <c r="B9" s="3049" t="s">
        <v>987</v>
      </c>
      <c r="C9" s="3049"/>
      <c r="D9" s="1390"/>
      <c r="E9" s="1388"/>
      <c r="F9" s="1391"/>
      <c r="G9" s="1391"/>
      <c r="H9" s="1392"/>
      <c r="I9" s="1393">
        <f t="shared" si="0"/>
        <v>0</v>
      </c>
    </row>
    <row r="10" spans="1:9">
      <c r="A10" s="3048"/>
      <c r="B10" s="3050" t="s">
        <v>988</v>
      </c>
      <c r="C10" s="3050"/>
      <c r="D10" s="1394">
        <v>527</v>
      </c>
      <c r="E10" s="1394" t="e">
        <f>ROUND(D1*10000/D10/H9,0)</f>
        <v>#DIV/0!</v>
      </c>
      <c r="F10" s="1395"/>
      <c r="G10" s="1395"/>
      <c r="H10" s="1396"/>
      <c r="I10" s="1397">
        <f>SUM(I3:I9)</f>
        <v>0</v>
      </c>
    </row>
    <row r="11" spans="1:9" ht="14.25">
      <c r="A11" s="3048" t="s">
        <v>1026</v>
      </c>
      <c r="B11" s="3049" t="s">
        <v>989</v>
      </c>
      <c r="C11" s="3049"/>
      <c r="D11" s="1390" t="s">
        <v>990</v>
      </c>
      <c r="E11" s="1390" t="s">
        <v>991</v>
      </c>
      <c r="F11" s="1391" t="s">
        <v>992</v>
      </c>
      <c r="G11" s="1391" t="s">
        <v>979</v>
      </c>
      <c r="H11" s="1398" t="s">
        <v>993</v>
      </c>
      <c r="I11" s="1389" t="s">
        <v>980</v>
      </c>
    </row>
    <row r="12" spans="1:9">
      <c r="A12" s="3048"/>
      <c r="B12" s="3049" t="s">
        <v>994</v>
      </c>
      <c r="C12" s="3049"/>
      <c r="D12" s="1390"/>
      <c r="E12" s="1390"/>
      <c r="F12" s="1391"/>
      <c r="G12" s="1392"/>
      <c r="H12" s="1399"/>
      <c r="I12" s="1389">
        <f>ROUND(D12*E12*F12*G12/10000,0)</f>
        <v>0</v>
      </c>
    </row>
    <row r="13" spans="1:9">
      <c r="A13" s="3048"/>
      <c r="B13" s="3049" t="s">
        <v>995</v>
      </c>
      <c r="C13" s="3049"/>
      <c r="D13" s="1390"/>
      <c r="E13" s="1390"/>
      <c r="F13" s="1391"/>
      <c r="G13" s="1392"/>
      <c r="H13" s="1399"/>
      <c r="I13" s="1389">
        <f>ROUND(D13*E13*F13*G13/10000,0)</f>
        <v>0</v>
      </c>
    </row>
    <row r="14" spans="1:9">
      <c r="A14" s="3048"/>
      <c r="B14" s="3049" t="s">
        <v>996</v>
      </c>
      <c r="C14" s="3049"/>
      <c r="D14" s="1390"/>
      <c r="E14" s="1390"/>
      <c r="F14" s="1391"/>
      <c r="G14" s="1392"/>
      <c r="H14" s="1399"/>
      <c r="I14" s="1389">
        <f>ROUND(D14*E14*F14*G14/10000,0)</f>
        <v>0</v>
      </c>
    </row>
    <row r="15" spans="1:9">
      <c r="A15" s="3048"/>
      <c r="B15" s="3050" t="s">
        <v>988</v>
      </c>
      <c r="C15" s="3050"/>
      <c r="D15" s="1394"/>
      <c r="E15" s="1394">
        <f>SUM(E12:E14)</f>
        <v>0</v>
      </c>
      <c r="F15" s="1395"/>
      <c r="G15" s="1392"/>
      <c r="H15" s="1399"/>
      <c r="I15" s="1400">
        <f>SUM(I12:I14)</f>
        <v>0</v>
      </c>
    </row>
    <row r="16" spans="1:9" ht="24">
      <c r="A16" s="3048" t="s">
        <v>1027</v>
      </c>
      <c r="B16" s="3049" t="s">
        <v>997</v>
      </c>
      <c r="C16" s="3049"/>
      <c r="D16" s="1390" t="s">
        <v>975</v>
      </c>
      <c r="E16" s="1401" t="s">
        <v>998</v>
      </c>
      <c r="F16" s="1391" t="s">
        <v>999</v>
      </c>
      <c r="G16" s="1392" t="s">
        <v>979</v>
      </c>
      <c r="H16" s="1398" t="s">
        <v>993</v>
      </c>
      <c r="I16" s="1389" t="s">
        <v>980</v>
      </c>
    </row>
    <row r="17" spans="1:9" ht="14.25">
      <c r="A17" s="3048"/>
      <c r="B17" s="3049" t="s">
        <v>1000</v>
      </c>
      <c r="C17" s="3049"/>
      <c r="D17" s="1390"/>
      <c r="E17" s="1390"/>
      <c r="F17" s="1391"/>
      <c r="G17" s="1392"/>
      <c r="H17" s="1402"/>
      <c r="I17" s="1403">
        <f>ROUND(D17*E17*F17*G17/10000,0)</f>
        <v>0</v>
      </c>
    </row>
    <row r="18" spans="1:9" ht="14.25">
      <c r="A18" s="3048"/>
      <c r="B18" s="3049" t="s">
        <v>1001</v>
      </c>
      <c r="C18" s="3049"/>
      <c r="D18" s="1390"/>
      <c r="E18" s="1390"/>
      <c r="F18" s="1391"/>
      <c r="G18" s="1392"/>
      <c r="H18" s="1402"/>
      <c r="I18" s="1403">
        <f>ROUND(D18*E18*F18*G18/10000,0)</f>
        <v>0</v>
      </c>
    </row>
    <row r="19" spans="1:9" ht="14.25">
      <c r="A19" s="3048"/>
      <c r="B19" s="3049" t="s">
        <v>1002</v>
      </c>
      <c r="C19" s="3049"/>
      <c r="D19" s="1390"/>
      <c r="E19" s="1390"/>
      <c r="F19" s="1391"/>
      <c r="G19" s="1392"/>
      <c r="H19" s="1402"/>
      <c r="I19" s="1403">
        <f>ROUND(D19*E19*F19*G19/10000,0)</f>
        <v>0</v>
      </c>
    </row>
    <row r="20" spans="1:9">
      <c r="A20" s="3048"/>
      <c r="B20" s="3050" t="s">
        <v>988</v>
      </c>
      <c r="C20" s="3050"/>
      <c r="D20" s="1394">
        <f>SUM(D17:D19)</f>
        <v>0</v>
      </c>
      <c r="E20" s="1394"/>
      <c r="F20" s="1395"/>
      <c r="G20" s="1392"/>
      <c r="H20" s="1399"/>
      <c r="I20" s="1400">
        <f>SUM(I17:I19)</f>
        <v>0</v>
      </c>
    </row>
    <row r="21" spans="1:9">
      <c r="A21" s="3048" t="s">
        <v>1028</v>
      </c>
      <c r="B21" s="3052"/>
      <c r="C21" s="3052"/>
      <c r="D21" s="3052"/>
      <c r="E21" s="3052"/>
      <c r="F21" s="3052"/>
      <c r="G21" s="3052"/>
      <c r="H21" s="1404">
        <v>0.1</v>
      </c>
      <c r="I21" s="1397">
        <f>ROUND(I10*H21,0)</f>
        <v>0</v>
      </c>
    </row>
    <row r="22" spans="1:9" ht="14.25">
      <c r="A22" s="3053" t="s">
        <v>1029</v>
      </c>
      <c r="B22" s="3054"/>
      <c r="C22" s="3055"/>
      <c r="D22" s="1405" t="s">
        <v>1003</v>
      </c>
      <c r="E22" s="1405" t="s">
        <v>1004</v>
      </c>
      <c r="F22" s="1406" t="s">
        <v>979</v>
      </c>
      <c r="G22" s="1406" t="s">
        <v>1005</v>
      </c>
      <c r="H22" s="1398" t="s">
        <v>993</v>
      </c>
      <c r="I22" s="1389" t="s">
        <v>980</v>
      </c>
    </row>
    <row r="23" spans="1:9" ht="14.25" thickBot="1">
      <c r="A23" s="3056"/>
      <c r="B23" s="3057"/>
      <c r="C23" s="3058"/>
      <c r="D23" s="1407"/>
      <c r="E23" s="1407"/>
      <c r="F23" s="1407"/>
      <c r="G23" s="1408"/>
      <c r="H23" s="1409"/>
      <c r="I23" s="1410">
        <f>ROUND(E23*D23*F23*(1-G23)/10000,0)</f>
        <v>0</v>
      </c>
    </row>
    <row r="26" spans="1:9">
      <c r="A26" s="1411" t="s">
        <v>1006</v>
      </c>
      <c r="B26" s="1411"/>
      <c r="C26" s="1411"/>
      <c r="D26" s="1411"/>
      <c r="E26" s="3059">
        <f>C27-C30-C31-C32</f>
        <v>0</v>
      </c>
      <c r="F26" s="3059"/>
      <c r="G26" s="3059"/>
      <c r="H26" s="1828" t="s">
        <v>1219</v>
      </c>
    </row>
    <row r="27" spans="1:9">
      <c r="A27" s="1412">
        <v>1</v>
      </c>
      <c r="B27" s="1413" t="s">
        <v>1007</v>
      </c>
      <c r="C27" s="1413">
        <f>C28+C29</f>
        <v>0</v>
      </c>
      <c r="D27" s="1413"/>
      <c r="E27" s="3060"/>
      <c r="F27" s="3060"/>
      <c r="G27" s="3060"/>
    </row>
    <row r="28" spans="1:9">
      <c r="A28" s="1414" t="s">
        <v>1008</v>
      </c>
      <c r="B28" s="1413" t="s">
        <v>1009</v>
      </c>
      <c r="C28" s="1413"/>
      <c r="D28" s="1413"/>
      <c r="E28" s="3060"/>
      <c r="F28" s="3060"/>
      <c r="G28" s="306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51"/>
      <c r="F32" s="3051"/>
      <c r="G32" s="3051"/>
    </row>
    <row r="33" spans="1:7" hidden="1">
      <c r="A33" s="3061" t="s">
        <v>1018</v>
      </c>
      <c r="B33" s="3062"/>
      <c r="C33" s="3062"/>
      <c r="D33" s="3063"/>
      <c r="E33" s="3059"/>
      <c r="F33" s="3059"/>
      <c r="G33" s="3059"/>
    </row>
    <row r="34" spans="1:7" hidden="1">
      <c r="A34" s="1416">
        <v>1</v>
      </c>
      <c r="B34" s="1413" t="s">
        <v>1019</v>
      </c>
      <c r="C34" s="1413"/>
      <c r="D34" s="1413"/>
      <c r="E34" s="3060"/>
      <c r="F34" s="3060"/>
      <c r="G34" s="3060"/>
    </row>
    <row r="35" spans="1:7" hidden="1">
      <c r="A35" s="1416">
        <v>2</v>
      </c>
      <c r="B35" s="1413" t="s">
        <v>1020</v>
      </c>
      <c r="C35" s="1413"/>
      <c r="D35" s="1413"/>
      <c r="E35" s="3060"/>
      <c r="F35" s="3060"/>
      <c r="G35" s="3060"/>
    </row>
    <row r="36" spans="1:7" hidden="1">
      <c r="A36" s="1416">
        <v>3</v>
      </c>
      <c r="B36" s="1413" t="s">
        <v>1021</v>
      </c>
      <c r="C36" s="1413"/>
      <c r="D36" s="1413"/>
      <c r="E36" s="3060"/>
      <c r="F36" s="3060"/>
      <c r="G36" s="3060"/>
    </row>
    <row r="37" spans="1:7" hidden="1">
      <c r="A37" s="1416">
        <v>4</v>
      </c>
      <c r="B37" s="1413" t="s">
        <v>1022</v>
      </c>
      <c r="C37" s="1413"/>
      <c r="D37" s="1413"/>
      <c r="E37" s="3060"/>
      <c r="F37" s="3060"/>
      <c r="G37" s="3060"/>
    </row>
    <row r="38" spans="1:7" hidden="1">
      <c r="A38" s="3061" t="s">
        <v>1023</v>
      </c>
      <c r="B38" s="3062"/>
      <c r="C38" s="3062"/>
      <c r="D38" s="3063"/>
      <c r="E38" s="3059"/>
      <c r="F38" s="3059"/>
      <c r="G38" s="305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2" sqref="U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2295</v>
      </c>
      <c r="B2" s="334">
        <f ca="1">B23</f>
        <v>5344</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2296</v>
      </c>
      <c r="B3" s="334">
        <f ca="1">B24</f>
        <v>97144</v>
      </c>
      <c r="C3" s="1182" t="s">
        <v>2297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2298</v>
      </c>
      <c r="C4" s="3067" t="s">
        <v>2299</v>
      </c>
      <c r="D4" s="3068"/>
      <c r="E4" s="3068"/>
      <c r="F4" s="3068"/>
      <c r="G4" s="3068"/>
      <c r="H4" s="3068"/>
      <c r="I4" s="3068"/>
      <c r="J4" s="3068"/>
      <c r="K4" s="3068"/>
      <c r="L4" s="3068"/>
      <c r="M4" s="3068"/>
      <c r="N4" s="3068"/>
      <c r="O4" s="3068"/>
      <c r="P4" s="3068"/>
      <c r="Q4" s="3068"/>
      <c r="R4" s="3068"/>
      <c r="S4" s="3069"/>
      <c r="T4" s="678" t="s">
        <v>2300</v>
      </c>
      <c r="U4" s="1311"/>
      <c r="V4" s="1311"/>
      <c r="X4" s="1311"/>
      <c r="Y4" s="1311"/>
    </row>
    <row r="5" spans="1:44" s="692" customFormat="1" ht="25.5">
      <c r="A5" s="1321"/>
      <c r="B5" s="687" t="s">
        <v>2301</v>
      </c>
      <c r="C5" s="688" t="str">
        <f t="shared" ref="C5:L5" si="0">C6&amp;"(含)"&amp;"-"&amp;D6</f>
        <v>0(含)-150</v>
      </c>
      <c r="D5" s="689" t="str">
        <f t="shared" si="0"/>
        <v>150(含)-300</v>
      </c>
      <c r="E5" s="689" t="str">
        <f t="shared" si="0"/>
        <v>300(含)-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150</v>
      </c>
      <c r="E6" s="695">
        <v>300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v>103</v>
      </c>
      <c r="E7" s="1164">
        <v>106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2">C9-$T$8</f>
        <v>100</v>
      </c>
      <c r="E9" s="1159">
        <f t="shared" si="2"/>
        <v>100</v>
      </c>
      <c r="F9" s="1159">
        <f t="shared" si="2"/>
        <v>100</v>
      </c>
      <c r="G9" s="1159">
        <f t="shared" si="2"/>
        <v>100</v>
      </c>
      <c r="H9" s="1159">
        <f t="shared" si="2"/>
        <v>100</v>
      </c>
      <c r="I9" s="1159">
        <f t="shared" si="2"/>
        <v>100</v>
      </c>
      <c r="J9" s="1159">
        <f t="shared" si="2"/>
        <v>100</v>
      </c>
      <c r="K9" s="1159">
        <f t="shared" si="2"/>
        <v>100</v>
      </c>
      <c r="L9" s="1159">
        <f t="shared" si="2"/>
        <v>100</v>
      </c>
      <c r="M9" s="1160">
        <f t="shared" si="2"/>
        <v>100</v>
      </c>
      <c r="N9" s="1160">
        <f t="shared" si="2"/>
        <v>100</v>
      </c>
      <c r="O9" s="1159">
        <f t="shared" si="2"/>
        <v>100</v>
      </c>
      <c r="P9" s="1159">
        <f t="shared" si="2"/>
        <v>100</v>
      </c>
      <c r="Q9" s="1159">
        <f t="shared" si="2"/>
        <v>100</v>
      </c>
      <c r="R9" s="1159">
        <f t="shared" si="2"/>
        <v>100</v>
      </c>
      <c r="S9" s="1201">
        <f t="shared" si="2"/>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3">C11-$T$10</f>
        <v>100</v>
      </c>
      <c r="E11" s="1159">
        <f t="shared" si="3"/>
        <v>100</v>
      </c>
      <c r="F11" s="1159">
        <f t="shared" si="3"/>
        <v>100</v>
      </c>
      <c r="G11" s="1159">
        <f t="shared" si="3"/>
        <v>100</v>
      </c>
      <c r="H11" s="1159">
        <f t="shared" si="3"/>
        <v>100</v>
      </c>
      <c r="I11" s="1159">
        <f t="shared" si="3"/>
        <v>100</v>
      </c>
      <c r="J11" s="1159">
        <f t="shared" si="3"/>
        <v>100</v>
      </c>
      <c r="K11" s="1159">
        <f t="shared" si="3"/>
        <v>100</v>
      </c>
      <c r="L11" s="1159">
        <f t="shared" si="3"/>
        <v>100</v>
      </c>
      <c r="M11" s="1160">
        <f t="shared" si="3"/>
        <v>100</v>
      </c>
      <c r="N11" s="1160">
        <f t="shared" ref="N11:S11" si="4">M11-$T$10</f>
        <v>100</v>
      </c>
      <c r="O11" s="1159">
        <f t="shared" si="4"/>
        <v>100</v>
      </c>
      <c r="P11" s="1159">
        <f t="shared" si="4"/>
        <v>100</v>
      </c>
      <c r="Q11" s="1159">
        <f t="shared" si="4"/>
        <v>100</v>
      </c>
      <c r="R11" s="1159">
        <f t="shared" si="4"/>
        <v>100</v>
      </c>
      <c r="S11" s="1201">
        <f t="shared" si="4"/>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5">C13-$T$12</f>
        <v>100</v>
      </c>
      <c r="E13" s="1173">
        <f t="shared" si="5"/>
        <v>100</v>
      </c>
      <c r="F13" s="1173">
        <f t="shared" si="5"/>
        <v>100</v>
      </c>
      <c r="G13" s="1173">
        <f t="shared" si="5"/>
        <v>100</v>
      </c>
      <c r="H13" s="1173">
        <f t="shared" si="5"/>
        <v>100</v>
      </c>
      <c r="I13" s="1173">
        <f t="shared" si="5"/>
        <v>100</v>
      </c>
      <c r="J13" s="1173">
        <f t="shared" si="5"/>
        <v>100</v>
      </c>
      <c r="K13" s="1173">
        <f t="shared" si="5"/>
        <v>100</v>
      </c>
      <c r="L13" s="1173">
        <f t="shared" si="5"/>
        <v>100</v>
      </c>
      <c r="M13" s="1174">
        <f t="shared" si="5"/>
        <v>100</v>
      </c>
      <c r="N13" s="1174">
        <f t="shared" ref="N13:S13" si="6">M13-$T$12</f>
        <v>100</v>
      </c>
      <c r="O13" s="1173">
        <f t="shared" si="6"/>
        <v>100</v>
      </c>
      <c r="P13" s="1173">
        <f t="shared" si="6"/>
        <v>100</v>
      </c>
      <c r="Q13" s="1173">
        <f t="shared" si="6"/>
        <v>100</v>
      </c>
      <c r="R13" s="1173">
        <f t="shared" si="6"/>
        <v>100</v>
      </c>
      <c r="S13" s="1203">
        <f t="shared" si="6"/>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7">C15-$T$14</f>
        <v>100</v>
      </c>
      <c r="E15" s="1159">
        <f t="shared" si="7"/>
        <v>100</v>
      </c>
      <c r="F15" s="1159">
        <f t="shared" si="7"/>
        <v>100</v>
      </c>
      <c r="G15" s="1159">
        <f t="shared" si="7"/>
        <v>100</v>
      </c>
      <c r="H15" s="1159">
        <f t="shared" si="7"/>
        <v>100</v>
      </c>
      <c r="I15" s="1159">
        <f t="shared" si="7"/>
        <v>100</v>
      </c>
      <c r="J15" s="1159">
        <f t="shared" si="7"/>
        <v>100</v>
      </c>
      <c r="K15" s="1159">
        <f t="shared" si="7"/>
        <v>100</v>
      </c>
      <c r="L15" s="1159">
        <f t="shared" si="7"/>
        <v>100</v>
      </c>
      <c r="M15" s="1160">
        <f t="shared" si="7"/>
        <v>100</v>
      </c>
      <c r="N15" s="1160">
        <f t="shared" ref="N15:S15" si="8">M15-$T$14</f>
        <v>100</v>
      </c>
      <c r="O15" s="1159">
        <f t="shared" si="8"/>
        <v>100</v>
      </c>
      <c r="P15" s="1159">
        <f t="shared" si="8"/>
        <v>100</v>
      </c>
      <c r="Q15" s="1159">
        <f t="shared" si="8"/>
        <v>100</v>
      </c>
      <c r="R15" s="1159">
        <f t="shared" si="8"/>
        <v>100</v>
      </c>
      <c r="S15" s="1201">
        <f t="shared" si="8"/>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2308</v>
      </c>
      <c r="B20" s="2368" t="s">
        <v>2309</v>
      </c>
      <c r="C20" s="1325">
        <v>3</v>
      </c>
      <c r="D20" s="1326">
        <v>4</v>
      </c>
      <c r="E20" s="1326">
        <v>5</v>
      </c>
      <c r="F20" s="1326">
        <v>6</v>
      </c>
      <c r="G20" s="1326">
        <v>7</v>
      </c>
      <c r="H20" s="1326">
        <v>8</v>
      </c>
      <c r="I20" s="1326">
        <v>9</v>
      </c>
      <c r="J20" s="1326">
        <v>10</v>
      </c>
      <c r="K20" s="1326">
        <v>11</v>
      </c>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101</v>
      </c>
      <c r="E21" s="1338">
        <v>102</v>
      </c>
      <c r="F21" s="1338">
        <v>103</v>
      </c>
      <c r="G21" s="1338">
        <v>104</v>
      </c>
      <c r="H21" s="1338">
        <v>105</v>
      </c>
      <c r="I21" s="1338">
        <v>106</v>
      </c>
      <c r="J21" s="1338">
        <v>107</v>
      </c>
      <c r="K21" s="1338">
        <v>108</v>
      </c>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2311</v>
      </c>
      <c r="B23" s="308">
        <f ca="1">IF(F23="——",IF(C23="万元",T25,S25),IF(C23="万元",T25-H23,S25-H23))</f>
        <v>5344</v>
      </c>
      <c r="C23" s="2370" t="str">
        <f>'数据-取费表'!B3</f>
        <v>万元</v>
      </c>
      <c r="D23" s="84"/>
      <c r="E23" s="84"/>
      <c r="F23" s="2371" t="s">
        <v>1253</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2312</v>
      </c>
      <c r="B24" s="308">
        <f ca="1">R25</f>
        <v>97144</v>
      </c>
      <c r="C24" s="1143"/>
      <c r="D24" s="84"/>
      <c r="E24" s="84"/>
      <c r="F24" s="84"/>
      <c r="G24" s="84"/>
      <c r="H24" s="84"/>
      <c r="I24" s="84"/>
      <c r="J24" s="84"/>
      <c r="K24" s="84"/>
      <c r="L24" s="84"/>
      <c r="M24" s="84"/>
      <c r="N24" s="84"/>
      <c r="O24" s="84"/>
      <c r="P24" s="84"/>
      <c r="Q24" s="84"/>
      <c r="R24" s="769"/>
      <c r="S24" s="14" t="s">
        <v>2313</v>
      </c>
      <c r="T24" s="1896" t="s">
        <v>2314</v>
      </c>
      <c r="U24" s="2373" t="s">
        <v>2315</v>
      </c>
      <c r="V24" s="1341"/>
      <c r="W24" s="2374" t="s">
        <v>2316</v>
      </c>
      <c r="X24" s="2373" t="s">
        <v>2317</v>
      </c>
      <c r="Y24" s="1341"/>
      <c r="Z24" s="2375" t="s">
        <v>2316</v>
      </c>
    </row>
    <row r="25" spans="1:45">
      <c r="A25" s="334" t="s">
        <v>2318</v>
      </c>
      <c r="B25" s="14">
        <f>SUM(B27:B10000)</f>
        <v>550.11</v>
      </c>
      <c r="C25" s="3064" t="s">
        <v>45</v>
      </c>
      <c r="D25" s="3065"/>
      <c r="E25" s="3065"/>
      <c r="F25" s="3065"/>
      <c r="G25" s="3065"/>
      <c r="H25" s="3065"/>
      <c r="I25" s="3065"/>
      <c r="J25" s="3065"/>
      <c r="K25" s="3065"/>
      <c r="L25" s="3065"/>
      <c r="M25" s="3065"/>
      <c r="N25" s="3065"/>
      <c r="O25" s="3065"/>
      <c r="P25" s="3065"/>
      <c r="Q25" s="3066"/>
      <c r="R25" s="703">
        <f ca="1">IF(C23="万元",ROUND(T25*10000/B25,0),ROUND(S25/B25,0))</f>
        <v>97144</v>
      </c>
      <c r="S25" s="14">
        <f ca="1">SUM(S27:S10000)</f>
        <v>53436143</v>
      </c>
      <c r="T25" s="14">
        <f ca="1">SUM(T27:T10000)</f>
        <v>5344</v>
      </c>
      <c r="U25" s="19">
        <f>SUM(U27:U10000)</f>
        <v>0</v>
      </c>
      <c r="V25" s="19">
        <f>SUM(V27:V10000)</f>
        <v>0</v>
      </c>
      <c r="W25" s="14"/>
      <c r="X25" s="19">
        <f>SUM(X27:X10000)</f>
        <v>0</v>
      </c>
      <c r="Y25" s="19">
        <f>SUM(Y27:Y10000)</f>
        <v>0</v>
      </c>
      <c r="Z25" s="2376"/>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82" t="s">
        <v>2324</v>
      </c>
      <c r="V26" s="2377" t="s">
        <v>2325</v>
      </c>
      <c r="W26" s="2378" t="s">
        <v>2326</v>
      </c>
      <c r="X26" s="1882" t="s">
        <v>2324</v>
      </c>
      <c r="Y26" s="2377" t="s">
        <v>2325</v>
      </c>
      <c r="Z26" s="2378"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601</v>
      </c>
      <c r="B27" s="706">
        <f>'数据-取费表'!E5</f>
        <v>178.24</v>
      </c>
      <c r="C27" s="706">
        <v>1</v>
      </c>
      <c r="D27" s="707"/>
      <c r="E27" s="706">
        <v>1</v>
      </c>
      <c r="F27" s="707"/>
      <c r="G27" s="706">
        <v>1</v>
      </c>
      <c r="H27" s="707"/>
      <c r="I27" s="706">
        <v>1</v>
      </c>
      <c r="J27" s="707"/>
      <c r="K27" s="706">
        <v>1</v>
      </c>
      <c r="L27" s="707"/>
      <c r="M27" s="706">
        <v>1</v>
      </c>
      <c r="N27" s="707"/>
      <c r="O27" s="706">
        <v>1</v>
      </c>
      <c r="P27" s="707">
        <v>4</v>
      </c>
      <c r="Q27" s="706">
        <v>1</v>
      </c>
      <c r="R27" s="1191">
        <f ca="1">结果表!G20</f>
        <v>95154</v>
      </c>
      <c r="S27" s="706">
        <f ca="1">ROUND(R27*B27,0)</f>
        <v>16960249</v>
      </c>
      <c r="T27" s="706">
        <f ca="1">ROUND(R27*B27/10000,0)</f>
        <v>1696</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24">
        <v>701</v>
      </c>
      <c r="B28" s="24">
        <v>178.24</v>
      </c>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v>5</v>
      </c>
      <c r="Q28" s="14">
        <f t="shared" ref="Q28:Q91" si="16">(SUMIF($20:$20,P28,$21:$21)-SUMIF($20:$20,$P$27,$21:$21)+100)/100</f>
        <v>1.01</v>
      </c>
      <c r="R28" s="703">
        <f ca="1">IF(B28="",0,ROUND($R$27*C28*E28*G28*I28*K28*M28*O28*Q28,0))</f>
        <v>96106</v>
      </c>
      <c r="S28" s="334">
        <f ca="1">ROUND(R28*B28,0)</f>
        <v>17129933</v>
      </c>
      <c r="T28" s="1181">
        <f ca="1">ROUND(R28*B28/10000,0)</f>
        <v>1713</v>
      </c>
      <c r="U28" s="1313">
        <f t="shared" ref="U28:U91" si="17">ROUND(W28*B28,0)</f>
        <v>0</v>
      </c>
      <c r="V28" s="1313">
        <f t="shared" ref="V28:V91" si="18">ROUND(W28*B28/10000,0)</f>
        <v>0</v>
      </c>
      <c r="W28" s="1310"/>
      <c r="X28" s="1313">
        <f t="shared" ref="X28:X91" si="19">ROUND(Z28*B28,0)</f>
        <v>0</v>
      </c>
      <c r="Y28" s="1313">
        <f t="shared" ref="Y28:Y91" si="20">ROUND(Z28*B28/10000,0)</f>
        <v>0</v>
      </c>
      <c r="Z28" s="1310"/>
    </row>
    <row r="29" spans="1:45">
      <c r="A29" s="24">
        <v>1001</v>
      </c>
      <c r="B29" s="24">
        <v>193.63</v>
      </c>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v>9</v>
      </c>
      <c r="Q29" s="14">
        <f t="shared" si="16"/>
        <v>1.05</v>
      </c>
      <c r="R29" s="703">
        <f t="shared" ref="R29:R92" ca="1" si="21">IF(B29="",0,ROUND($R$27*C29*E29*G29*I29*K29*M29*O29*Q29,0))</f>
        <v>99912</v>
      </c>
      <c r="S29" s="334">
        <f t="shared" ref="S29:S92" ca="1" si="22">ROUND(R29*B29,0)</f>
        <v>19345961</v>
      </c>
      <c r="T29" s="1181">
        <f t="shared" ref="T29:T92" ca="1" si="23">ROUND(R29*B29/10000,0)</f>
        <v>1935</v>
      </c>
      <c r="U29" s="1313">
        <f t="shared" si="17"/>
        <v>0</v>
      </c>
      <c r="V29" s="1313">
        <f t="shared" si="18"/>
        <v>0</v>
      </c>
      <c r="W29" s="1310"/>
      <c r="X29" s="1313">
        <f t="shared" si="19"/>
        <v>0</v>
      </c>
      <c r="Y29" s="1313">
        <f t="shared" si="20"/>
        <v>0</v>
      </c>
      <c r="Z29" s="1310"/>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-0.01</v>
      </c>
      <c r="R30" s="703">
        <f t="shared" si="21"/>
        <v>0</v>
      </c>
      <c r="S30" s="334">
        <f t="shared" si="22"/>
        <v>0</v>
      </c>
      <c r="T30" s="1181">
        <f t="shared" si="23"/>
        <v>0</v>
      </c>
      <c r="U30" s="1313">
        <f t="shared" si="17"/>
        <v>0</v>
      </c>
      <c r="V30" s="1313">
        <f t="shared" si="18"/>
        <v>0</v>
      </c>
      <c r="W30" s="1310"/>
      <c r="X30" s="1313">
        <f t="shared" si="19"/>
        <v>0</v>
      </c>
      <c r="Y30" s="1313">
        <f t="shared" si="20"/>
        <v>0</v>
      </c>
      <c r="Z30" s="1310"/>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-0.01</v>
      </c>
      <c r="R31" s="703">
        <f t="shared" si="21"/>
        <v>0</v>
      </c>
      <c r="S31" s="334">
        <f t="shared" si="22"/>
        <v>0</v>
      </c>
      <c r="T31" s="1181">
        <f t="shared" si="23"/>
        <v>0</v>
      </c>
      <c r="U31" s="1313">
        <f t="shared" si="17"/>
        <v>0</v>
      </c>
      <c r="V31" s="1313">
        <f t="shared" si="18"/>
        <v>0</v>
      </c>
      <c r="W31" s="1310"/>
      <c r="X31" s="1313">
        <f t="shared" si="19"/>
        <v>0</v>
      </c>
      <c r="Y31" s="1313">
        <f t="shared" si="20"/>
        <v>0</v>
      </c>
      <c r="Z31" s="1310"/>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-0.01</v>
      </c>
      <c r="R32" s="703">
        <f t="shared" si="21"/>
        <v>0</v>
      </c>
      <c r="S32" s="334">
        <f t="shared" si="22"/>
        <v>0</v>
      </c>
      <c r="T32" s="1181">
        <f t="shared" si="23"/>
        <v>0</v>
      </c>
      <c r="U32" s="1313">
        <f t="shared" si="17"/>
        <v>0</v>
      </c>
      <c r="V32" s="1313">
        <f t="shared" si="18"/>
        <v>0</v>
      </c>
      <c r="W32" s="1310"/>
      <c r="X32" s="1313">
        <f t="shared" si="19"/>
        <v>0</v>
      </c>
      <c r="Y32" s="1313">
        <f t="shared" si="20"/>
        <v>0</v>
      </c>
      <c r="Z32" s="1310"/>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-0.01</v>
      </c>
      <c r="R33" s="703">
        <f t="shared" si="21"/>
        <v>0</v>
      </c>
      <c r="S33" s="334">
        <f t="shared" si="22"/>
        <v>0</v>
      </c>
      <c r="T33" s="1181">
        <f t="shared" si="23"/>
        <v>0</v>
      </c>
      <c r="U33" s="1313">
        <f t="shared" si="17"/>
        <v>0</v>
      </c>
      <c r="V33" s="1313">
        <f t="shared" si="18"/>
        <v>0</v>
      </c>
      <c r="W33" s="1310"/>
      <c r="X33" s="1313">
        <f t="shared" si="19"/>
        <v>0</v>
      </c>
      <c r="Y33" s="1313">
        <f t="shared" si="20"/>
        <v>0</v>
      </c>
      <c r="Z33" s="1310"/>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-0.01</v>
      </c>
      <c r="R34" s="703">
        <f t="shared" si="21"/>
        <v>0</v>
      </c>
      <c r="S34" s="334">
        <f t="shared" si="22"/>
        <v>0</v>
      </c>
      <c r="T34" s="1181">
        <f t="shared" si="23"/>
        <v>0</v>
      </c>
      <c r="U34" s="1313">
        <f t="shared" si="17"/>
        <v>0</v>
      </c>
      <c r="V34" s="1313">
        <f t="shared" si="18"/>
        <v>0</v>
      </c>
      <c r="W34" s="1310"/>
      <c r="X34" s="1313">
        <f t="shared" si="19"/>
        <v>0</v>
      </c>
      <c r="Y34" s="1313">
        <f t="shared" si="20"/>
        <v>0</v>
      </c>
      <c r="Z34" s="1310"/>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-0.01</v>
      </c>
      <c r="R35" s="703">
        <f t="shared" si="21"/>
        <v>0</v>
      </c>
      <c r="S35" s="334">
        <f t="shared" si="22"/>
        <v>0</v>
      </c>
      <c r="T35" s="1181">
        <f t="shared" si="23"/>
        <v>0</v>
      </c>
      <c r="U35" s="1313">
        <f t="shared" si="17"/>
        <v>0</v>
      </c>
      <c r="V35" s="1313">
        <f t="shared" si="18"/>
        <v>0</v>
      </c>
      <c r="W35" s="1310"/>
      <c r="X35" s="1313">
        <f t="shared" si="19"/>
        <v>0</v>
      </c>
      <c r="Y35" s="1313">
        <f t="shared" si="20"/>
        <v>0</v>
      </c>
      <c r="Z35" s="1310"/>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-0.01</v>
      </c>
      <c r="R36" s="703">
        <f t="shared" si="21"/>
        <v>0</v>
      </c>
      <c r="S36" s="334">
        <f t="shared" si="22"/>
        <v>0</v>
      </c>
      <c r="T36" s="1181">
        <f t="shared" si="23"/>
        <v>0</v>
      </c>
      <c r="U36" s="1313">
        <f t="shared" si="17"/>
        <v>0</v>
      </c>
      <c r="V36" s="1313">
        <f t="shared" si="18"/>
        <v>0</v>
      </c>
      <c r="W36" s="1310"/>
      <c r="X36" s="1313">
        <f t="shared" si="19"/>
        <v>0</v>
      </c>
      <c r="Y36" s="1313">
        <f t="shared" si="20"/>
        <v>0</v>
      </c>
      <c r="Z36" s="1310"/>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-0.01</v>
      </c>
      <c r="R37" s="703">
        <f t="shared" si="21"/>
        <v>0</v>
      </c>
      <c r="S37" s="334">
        <f t="shared" si="22"/>
        <v>0</v>
      </c>
      <c r="T37" s="1181">
        <f t="shared" si="23"/>
        <v>0</v>
      </c>
      <c r="U37" s="1313">
        <f t="shared" si="17"/>
        <v>0</v>
      </c>
      <c r="V37" s="1313">
        <f t="shared" si="18"/>
        <v>0</v>
      </c>
      <c r="W37" s="1310"/>
      <c r="X37" s="1313">
        <f t="shared" si="19"/>
        <v>0</v>
      </c>
      <c r="Y37" s="1313">
        <f t="shared" si="20"/>
        <v>0</v>
      </c>
      <c r="Z37" s="1310"/>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-0.01</v>
      </c>
      <c r="R38" s="703">
        <f t="shared" si="21"/>
        <v>0</v>
      </c>
      <c r="S38" s="334">
        <f t="shared" si="22"/>
        <v>0</v>
      </c>
      <c r="T38" s="1181">
        <f t="shared" si="23"/>
        <v>0</v>
      </c>
      <c r="U38" s="1313">
        <f t="shared" si="17"/>
        <v>0</v>
      </c>
      <c r="V38" s="1313">
        <f t="shared" si="18"/>
        <v>0</v>
      </c>
      <c r="W38" s="1310"/>
      <c r="X38" s="1313">
        <f t="shared" si="19"/>
        <v>0</v>
      </c>
      <c r="Y38" s="1313">
        <f t="shared" si="20"/>
        <v>0</v>
      </c>
      <c r="Z38" s="1310"/>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-0.01</v>
      </c>
      <c r="R39" s="703">
        <f t="shared" si="21"/>
        <v>0</v>
      </c>
      <c r="S39" s="334">
        <f t="shared" si="22"/>
        <v>0</v>
      </c>
      <c r="T39" s="1181">
        <f t="shared" si="23"/>
        <v>0</v>
      </c>
      <c r="U39" s="1313">
        <f t="shared" si="17"/>
        <v>0</v>
      </c>
      <c r="V39" s="1313">
        <f t="shared" si="18"/>
        <v>0</v>
      </c>
      <c r="W39" s="1310"/>
      <c r="X39" s="1313">
        <f t="shared" si="19"/>
        <v>0</v>
      </c>
      <c r="Y39" s="1313">
        <f t="shared" si="20"/>
        <v>0</v>
      </c>
      <c r="Z39" s="1310"/>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-0.01</v>
      </c>
      <c r="R40" s="703">
        <f t="shared" si="21"/>
        <v>0</v>
      </c>
      <c r="S40" s="334">
        <f t="shared" si="22"/>
        <v>0</v>
      </c>
      <c r="T40" s="1181">
        <f t="shared" si="23"/>
        <v>0</v>
      </c>
      <c r="U40" s="1313">
        <f t="shared" si="17"/>
        <v>0</v>
      </c>
      <c r="V40" s="1313">
        <f t="shared" si="18"/>
        <v>0</v>
      </c>
      <c r="W40" s="1310"/>
      <c r="X40" s="1313">
        <f t="shared" si="19"/>
        <v>0</v>
      </c>
      <c r="Y40" s="1313">
        <f t="shared" si="20"/>
        <v>0</v>
      </c>
      <c r="Z40" s="1310"/>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-0.01</v>
      </c>
      <c r="R41" s="703">
        <f t="shared" si="21"/>
        <v>0</v>
      </c>
      <c r="S41" s="334">
        <f t="shared" si="22"/>
        <v>0</v>
      </c>
      <c r="T41" s="1181">
        <f t="shared" si="23"/>
        <v>0</v>
      </c>
      <c r="U41" s="1313">
        <f t="shared" si="17"/>
        <v>0</v>
      </c>
      <c r="V41" s="1313">
        <f t="shared" si="18"/>
        <v>0</v>
      </c>
      <c r="W41" s="1310"/>
      <c r="X41" s="1313">
        <f t="shared" si="19"/>
        <v>0</v>
      </c>
      <c r="Y41" s="1313">
        <f t="shared" si="20"/>
        <v>0</v>
      </c>
      <c r="Z41" s="1310"/>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-0.01</v>
      </c>
      <c r="R42" s="703">
        <f t="shared" si="21"/>
        <v>0</v>
      </c>
      <c r="S42" s="334">
        <f t="shared" si="22"/>
        <v>0</v>
      </c>
      <c r="T42" s="1181">
        <f t="shared" si="23"/>
        <v>0</v>
      </c>
      <c r="U42" s="1313">
        <f t="shared" si="17"/>
        <v>0</v>
      </c>
      <c r="V42" s="1313">
        <f t="shared" si="18"/>
        <v>0</v>
      </c>
      <c r="W42" s="1310"/>
      <c r="X42" s="1313">
        <f t="shared" si="19"/>
        <v>0</v>
      </c>
      <c r="Y42" s="1313">
        <f t="shared" si="20"/>
        <v>0</v>
      </c>
      <c r="Z42" s="1310"/>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-0.01</v>
      </c>
      <c r="R43" s="703">
        <f t="shared" si="21"/>
        <v>0</v>
      </c>
      <c r="S43" s="334">
        <f t="shared" si="22"/>
        <v>0</v>
      </c>
      <c r="T43" s="1181">
        <f t="shared" si="23"/>
        <v>0</v>
      </c>
      <c r="U43" s="1313">
        <f t="shared" si="17"/>
        <v>0</v>
      </c>
      <c r="V43" s="1313">
        <f t="shared" si="18"/>
        <v>0</v>
      </c>
      <c r="W43" s="1310"/>
      <c r="X43" s="1313">
        <f t="shared" si="19"/>
        <v>0</v>
      </c>
      <c r="Y43" s="1313">
        <f t="shared" si="20"/>
        <v>0</v>
      </c>
      <c r="Z43" s="1310"/>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-0.01</v>
      </c>
      <c r="R44" s="703">
        <f t="shared" si="21"/>
        <v>0</v>
      </c>
      <c r="S44" s="334">
        <f t="shared" si="22"/>
        <v>0</v>
      </c>
      <c r="T44" s="1181">
        <f t="shared" si="23"/>
        <v>0</v>
      </c>
      <c r="U44" s="1313">
        <f t="shared" si="17"/>
        <v>0</v>
      </c>
      <c r="V44" s="1313">
        <f t="shared" si="18"/>
        <v>0</v>
      </c>
      <c r="W44" s="1310"/>
      <c r="X44" s="1313">
        <f t="shared" si="19"/>
        <v>0</v>
      </c>
      <c r="Y44" s="1313">
        <f t="shared" si="20"/>
        <v>0</v>
      </c>
      <c r="Z44" s="1310"/>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-0.01</v>
      </c>
      <c r="R45" s="703">
        <f t="shared" si="21"/>
        <v>0</v>
      </c>
      <c r="S45" s="334">
        <f t="shared" si="22"/>
        <v>0</v>
      </c>
      <c r="T45" s="1181">
        <f t="shared" si="23"/>
        <v>0</v>
      </c>
      <c r="U45" s="1313">
        <f t="shared" si="17"/>
        <v>0</v>
      </c>
      <c r="V45" s="1313">
        <f t="shared" si="18"/>
        <v>0</v>
      </c>
      <c r="W45" s="1310"/>
      <c r="X45" s="1313">
        <f t="shared" si="19"/>
        <v>0</v>
      </c>
      <c r="Y45" s="1313">
        <f t="shared" si="20"/>
        <v>0</v>
      </c>
      <c r="Z45" s="1310"/>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-0.01</v>
      </c>
      <c r="R46" s="703">
        <f t="shared" si="21"/>
        <v>0</v>
      </c>
      <c r="S46" s="334">
        <f t="shared" si="22"/>
        <v>0</v>
      </c>
      <c r="T46" s="1181">
        <f t="shared" si="23"/>
        <v>0</v>
      </c>
      <c r="U46" s="1313">
        <f t="shared" si="17"/>
        <v>0</v>
      </c>
      <c r="V46" s="1313">
        <f t="shared" si="18"/>
        <v>0</v>
      </c>
      <c r="W46" s="1310"/>
      <c r="X46" s="1313">
        <f t="shared" si="19"/>
        <v>0</v>
      </c>
      <c r="Y46" s="1313">
        <f t="shared" si="20"/>
        <v>0</v>
      </c>
      <c r="Z46" s="1310"/>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-0.01</v>
      </c>
      <c r="R47" s="703">
        <f t="shared" si="21"/>
        <v>0</v>
      </c>
      <c r="S47" s="334">
        <f t="shared" si="22"/>
        <v>0</v>
      </c>
      <c r="T47" s="1181">
        <f t="shared" si="23"/>
        <v>0</v>
      </c>
      <c r="U47" s="1313">
        <f t="shared" si="17"/>
        <v>0</v>
      </c>
      <c r="V47" s="1313">
        <f t="shared" si="18"/>
        <v>0</v>
      </c>
      <c r="W47" s="1310"/>
      <c r="X47" s="1313">
        <f t="shared" si="19"/>
        <v>0</v>
      </c>
      <c r="Y47" s="1313">
        <f t="shared" si="20"/>
        <v>0</v>
      </c>
      <c r="Z47" s="1310"/>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-0.01</v>
      </c>
      <c r="R48" s="703">
        <f t="shared" si="21"/>
        <v>0</v>
      </c>
      <c r="S48" s="334">
        <f t="shared" si="22"/>
        <v>0</v>
      </c>
      <c r="T48" s="1181">
        <f t="shared" si="23"/>
        <v>0</v>
      </c>
      <c r="U48" s="1313">
        <f t="shared" si="17"/>
        <v>0</v>
      </c>
      <c r="V48" s="1313">
        <f t="shared" si="18"/>
        <v>0</v>
      </c>
      <c r="W48" s="1310"/>
      <c r="X48" s="1313">
        <f t="shared" si="19"/>
        <v>0</v>
      </c>
      <c r="Y48" s="1313">
        <f t="shared" si="20"/>
        <v>0</v>
      </c>
      <c r="Z48" s="1310"/>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-0.01</v>
      </c>
      <c r="R49" s="703">
        <f t="shared" si="21"/>
        <v>0</v>
      </c>
      <c r="S49" s="334">
        <f t="shared" si="22"/>
        <v>0</v>
      </c>
      <c r="T49" s="1181">
        <f t="shared" si="23"/>
        <v>0</v>
      </c>
      <c r="U49" s="1313">
        <f t="shared" si="17"/>
        <v>0</v>
      </c>
      <c r="V49" s="1313">
        <f t="shared" si="18"/>
        <v>0</v>
      </c>
      <c r="W49" s="1310"/>
      <c r="X49" s="1313">
        <f t="shared" si="19"/>
        <v>0</v>
      </c>
      <c r="Y49" s="1313">
        <f t="shared" si="20"/>
        <v>0</v>
      </c>
      <c r="Z49" s="1310"/>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-0.01</v>
      </c>
      <c r="R50" s="703">
        <f t="shared" si="21"/>
        <v>0</v>
      </c>
      <c r="S50" s="334">
        <f t="shared" si="22"/>
        <v>0</v>
      </c>
      <c r="T50" s="1181">
        <f t="shared" si="23"/>
        <v>0</v>
      </c>
      <c r="U50" s="1313">
        <f t="shared" si="17"/>
        <v>0</v>
      </c>
      <c r="V50" s="1313">
        <f t="shared" si="18"/>
        <v>0</v>
      </c>
      <c r="W50" s="1310"/>
      <c r="X50" s="1313">
        <f t="shared" si="19"/>
        <v>0</v>
      </c>
      <c r="Y50" s="1313">
        <f t="shared" si="20"/>
        <v>0</v>
      </c>
      <c r="Z50" s="1310"/>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-0.01</v>
      </c>
      <c r="R51" s="703">
        <f t="shared" si="21"/>
        <v>0</v>
      </c>
      <c r="S51" s="334">
        <f t="shared" si="22"/>
        <v>0</v>
      </c>
      <c r="T51" s="1181">
        <f t="shared" si="23"/>
        <v>0</v>
      </c>
      <c r="U51" s="1313">
        <f t="shared" si="17"/>
        <v>0</v>
      </c>
      <c r="V51" s="1313">
        <f t="shared" si="18"/>
        <v>0</v>
      </c>
      <c r="W51" s="1310"/>
      <c r="X51" s="1313">
        <f t="shared" si="19"/>
        <v>0</v>
      </c>
      <c r="Y51" s="1313">
        <f t="shared" si="20"/>
        <v>0</v>
      </c>
      <c r="Z51" s="1310"/>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-0.01</v>
      </c>
      <c r="R52" s="703">
        <f t="shared" si="21"/>
        <v>0</v>
      </c>
      <c r="S52" s="334">
        <f t="shared" si="22"/>
        <v>0</v>
      </c>
      <c r="T52" s="1181">
        <f t="shared" si="23"/>
        <v>0</v>
      </c>
      <c r="U52" s="1313">
        <f t="shared" si="17"/>
        <v>0</v>
      </c>
      <c r="V52" s="1313">
        <f t="shared" si="18"/>
        <v>0</v>
      </c>
      <c r="W52" s="1310"/>
      <c r="X52" s="1313">
        <f t="shared" si="19"/>
        <v>0</v>
      </c>
      <c r="Y52" s="1313">
        <f t="shared" si="20"/>
        <v>0</v>
      </c>
      <c r="Z52" s="1310"/>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-0.01</v>
      </c>
      <c r="R53" s="703">
        <f t="shared" si="21"/>
        <v>0</v>
      </c>
      <c r="S53" s="334">
        <f t="shared" si="22"/>
        <v>0</v>
      </c>
      <c r="T53" s="1181">
        <f t="shared" si="23"/>
        <v>0</v>
      </c>
      <c r="U53" s="1313">
        <f t="shared" si="17"/>
        <v>0</v>
      </c>
      <c r="V53" s="1313">
        <f t="shared" si="18"/>
        <v>0</v>
      </c>
      <c r="W53" s="1310"/>
      <c r="X53" s="1313">
        <f t="shared" si="19"/>
        <v>0</v>
      </c>
      <c r="Y53" s="1313">
        <f t="shared" si="20"/>
        <v>0</v>
      </c>
      <c r="Z53" s="1310"/>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-0.01</v>
      </c>
      <c r="R54" s="703">
        <f t="shared" si="21"/>
        <v>0</v>
      </c>
      <c r="S54" s="334">
        <f t="shared" si="22"/>
        <v>0</v>
      </c>
      <c r="T54" s="1181">
        <f t="shared" si="23"/>
        <v>0</v>
      </c>
      <c r="U54" s="1313">
        <f t="shared" si="17"/>
        <v>0</v>
      </c>
      <c r="V54" s="1313">
        <f t="shared" si="18"/>
        <v>0</v>
      </c>
      <c r="W54" s="1310"/>
      <c r="X54" s="1313">
        <f t="shared" si="19"/>
        <v>0</v>
      </c>
      <c r="Y54" s="1313">
        <f t="shared" si="20"/>
        <v>0</v>
      </c>
      <c r="Z54" s="1310"/>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-0.01</v>
      </c>
      <c r="R55" s="703">
        <f t="shared" si="21"/>
        <v>0</v>
      </c>
      <c r="S55" s="334">
        <f t="shared" si="22"/>
        <v>0</v>
      </c>
      <c r="T55" s="1181">
        <f t="shared" si="23"/>
        <v>0</v>
      </c>
      <c r="U55" s="1313">
        <f t="shared" si="17"/>
        <v>0</v>
      </c>
      <c r="V55" s="1313">
        <f t="shared" si="18"/>
        <v>0</v>
      </c>
      <c r="W55" s="1310"/>
      <c r="X55" s="1313">
        <f t="shared" si="19"/>
        <v>0</v>
      </c>
      <c r="Y55" s="1313">
        <f t="shared" si="20"/>
        <v>0</v>
      </c>
      <c r="Z55" s="1310"/>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-0.01</v>
      </c>
      <c r="R56" s="703">
        <f t="shared" si="21"/>
        <v>0</v>
      </c>
      <c r="S56" s="334">
        <f t="shared" si="22"/>
        <v>0</v>
      </c>
      <c r="T56" s="1181">
        <f t="shared" si="23"/>
        <v>0</v>
      </c>
      <c r="U56" s="1313">
        <f t="shared" si="17"/>
        <v>0</v>
      </c>
      <c r="V56" s="1313">
        <f t="shared" si="18"/>
        <v>0</v>
      </c>
      <c r="W56" s="1310"/>
      <c r="X56" s="1313">
        <f t="shared" si="19"/>
        <v>0</v>
      </c>
      <c r="Y56" s="1313">
        <f t="shared" si="20"/>
        <v>0</v>
      </c>
      <c r="Z56" s="1310"/>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-0.01</v>
      </c>
      <c r="R57" s="703">
        <f t="shared" si="21"/>
        <v>0</v>
      </c>
      <c r="S57" s="334">
        <f t="shared" si="22"/>
        <v>0</v>
      </c>
      <c r="T57" s="1181">
        <f t="shared" si="23"/>
        <v>0</v>
      </c>
      <c r="U57" s="1313">
        <f t="shared" si="17"/>
        <v>0</v>
      </c>
      <c r="V57" s="1313">
        <f t="shared" si="18"/>
        <v>0</v>
      </c>
      <c r="W57" s="1310"/>
      <c r="X57" s="1313">
        <f t="shared" si="19"/>
        <v>0</v>
      </c>
      <c r="Y57" s="1313">
        <f t="shared" si="20"/>
        <v>0</v>
      </c>
      <c r="Z57" s="1310"/>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-0.01</v>
      </c>
      <c r="R58" s="703">
        <f t="shared" si="21"/>
        <v>0</v>
      </c>
      <c r="S58" s="334">
        <f t="shared" si="22"/>
        <v>0</v>
      </c>
      <c r="T58" s="1181">
        <f t="shared" si="23"/>
        <v>0</v>
      </c>
      <c r="U58" s="1313">
        <f t="shared" si="17"/>
        <v>0</v>
      </c>
      <c r="V58" s="1313">
        <f t="shared" si="18"/>
        <v>0</v>
      </c>
      <c r="W58" s="1310"/>
      <c r="X58" s="1313">
        <f t="shared" si="19"/>
        <v>0</v>
      </c>
      <c r="Y58" s="1313">
        <f t="shared" si="20"/>
        <v>0</v>
      </c>
      <c r="Z58" s="1310"/>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-0.01</v>
      </c>
      <c r="R59" s="703">
        <f t="shared" si="21"/>
        <v>0</v>
      </c>
      <c r="S59" s="334">
        <f t="shared" si="22"/>
        <v>0</v>
      </c>
      <c r="T59" s="1181">
        <f t="shared" si="23"/>
        <v>0</v>
      </c>
      <c r="U59" s="1313">
        <f t="shared" si="17"/>
        <v>0</v>
      </c>
      <c r="V59" s="1313">
        <f t="shared" si="18"/>
        <v>0</v>
      </c>
      <c r="W59" s="1310"/>
      <c r="X59" s="1313">
        <f t="shared" si="19"/>
        <v>0</v>
      </c>
      <c r="Y59" s="1313">
        <f t="shared" si="20"/>
        <v>0</v>
      </c>
      <c r="Z59" s="1310"/>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-0.01</v>
      </c>
      <c r="R60" s="703">
        <f t="shared" si="21"/>
        <v>0</v>
      </c>
      <c r="S60" s="334">
        <f t="shared" si="22"/>
        <v>0</v>
      </c>
      <c r="T60" s="1181">
        <f t="shared" si="23"/>
        <v>0</v>
      </c>
      <c r="U60" s="1313">
        <f t="shared" si="17"/>
        <v>0</v>
      </c>
      <c r="V60" s="1313">
        <f t="shared" si="18"/>
        <v>0</v>
      </c>
      <c r="W60" s="1310"/>
      <c r="X60" s="1313">
        <f t="shared" si="19"/>
        <v>0</v>
      </c>
      <c r="Y60" s="1313">
        <f t="shared" si="20"/>
        <v>0</v>
      </c>
      <c r="Z60" s="1310"/>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-0.01</v>
      </c>
      <c r="R61" s="703">
        <f t="shared" si="21"/>
        <v>0</v>
      </c>
      <c r="S61" s="334">
        <f t="shared" si="22"/>
        <v>0</v>
      </c>
      <c r="T61" s="1181">
        <f t="shared" si="23"/>
        <v>0</v>
      </c>
      <c r="U61" s="1313">
        <f t="shared" si="17"/>
        <v>0</v>
      </c>
      <c r="V61" s="1313">
        <f t="shared" si="18"/>
        <v>0</v>
      </c>
      <c r="W61" s="1310"/>
      <c r="X61" s="1313">
        <f t="shared" si="19"/>
        <v>0</v>
      </c>
      <c r="Y61" s="1313">
        <f t="shared" si="20"/>
        <v>0</v>
      </c>
      <c r="Z61" s="1310"/>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-0.01</v>
      </c>
      <c r="R62" s="703">
        <f t="shared" si="21"/>
        <v>0</v>
      </c>
      <c r="S62" s="334">
        <f t="shared" si="22"/>
        <v>0</v>
      </c>
      <c r="T62" s="1181">
        <f t="shared" si="23"/>
        <v>0</v>
      </c>
      <c r="U62" s="1313">
        <f t="shared" si="17"/>
        <v>0</v>
      </c>
      <c r="V62" s="1313">
        <f t="shared" si="18"/>
        <v>0</v>
      </c>
      <c r="W62" s="1310"/>
      <c r="X62" s="1313">
        <f t="shared" si="19"/>
        <v>0</v>
      </c>
      <c r="Y62" s="1313">
        <f t="shared" si="20"/>
        <v>0</v>
      </c>
      <c r="Z62" s="1310"/>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-0.01</v>
      </c>
      <c r="R63" s="703">
        <f t="shared" si="21"/>
        <v>0</v>
      </c>
      <c r="S63" s="334">
        <f t="shared" si="22"/>
        <v>0</v>
      </c>
      <c r="T63" s="1181">
        <f t="shared" si="23"/>
        <v>0</v>
      </c>
      <c r="U63" s="1313">
        <f t="shared" si="17"/>
        <v>0</v>
      </c>
      <c r="V63" s="1313">
        <f t="shared" si="18"/>
        <v>0</v>
      </c>
      <c r="W63" s="1310"/>
      <c r="X63" s="1313">
        <f t="shared" si="19"/>
        <v>0</v>
      </c>
      <c r="Y63" s="1313">
        <f t="shared" si="20"/>
        <v>0</v>
      </c>
      <c r="Z63" s="1310"/>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-0.01</v>
      </c>
      <c r="R64" s="703">
        <f t="shared" si="21"/>
        <v>0</v>
      </c>
      <c r="S64" s="334">
        <f t="shared" si="22"/>
        <v>0</v>
      </c>
      <c r="T64" s="1181">
        <f t="shared" si="23"/>
        <v>0</v>
      </c>
      <c r="U64" s="1313">
        <f t="shared" si="17"/>
        <v>0</v>
      </c>
      <c r="V64" s="1313">
        <f t="shared" si="18"/>
        <v>0</v>
      </c>
      <c r="W64" s="1310"/>
      <c r="X64" s="1313">
        <f t="shared" si="19"/>
        <v>0</v>
      </c>
      <c r="Y64" s="1313">
        <f t="shared" si="20"/>
        <v>0</v>
      </c>
      <c r="Z64" s="1310"/>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-0.01</v>
      </c>
      <c r="R65" s="703">
        <f t="shared" si="21"/>
        <v>0</v>
      </c>
      <c r="S65" s="334">
        <f t="shared" si="22"/>
        <v>0</v>
      </c>
      <c r="T65" s="1181">
        <f t="shared" si="23"/>
        <v>0</v>
      </c>
      <c r="U65" s="1313">
        <f t="shared" si="17"/>
        <v>0</v>
      </c>
      <c r="V65" s="1313">
        <f t="shared" si="18"/>
        <v>0</v>
      </c>
      <c r="W65" s="1310"/>
      <c r="X65" s="1313">
        <f t="shared" si="19"/>
        <v>0</v>
      </c>
      <c r="Y65" s="1313">
        <f t="shared" si="20"/>
        <v>0</v>
      </c>
      <c r="Z65" s="1310"/>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-0.01</v>
      </c>
      <c r="R66" s="703">
        <f t="shared" si="21"/>
        <v>0</v>
      </c>
      <c r="S66" s="334">
        <f t="shared" si="22"/>
        <v>0</v>
      </c>
      <c r="T66" s="1181">
        <f t="shared" si="23"/>
        <v>0</v>
      </c>
      <c r="U66" s="1313">
        <f t="shared" si="17"/>
        <v>0</v>
      </c>
      <c r="V66" s="1313">
        <f t="shared" si="18"/>
        <v>0</v>
      </c>
      <c r="W66" s="1310"/>
      <c r="X66" s="1313">
        <f t="shared" si="19"/>
        <v>0</v>
      </c>
      <c r="Y66" s="1313">
        <f t="shared" si="20"/>
        <v>0</v>
      </c>
      <c r="Z66" s="1310"/>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-0.01</v>
      </c>
      <c r="R67" s="703">
        <f t="shared" si="21"/>
        <v>0</v>
      </c>
      <c r="S67" s="334">
        <f t="shared" si="22"/>
        <v>0</v>
      </c>
      <c r="T67" s="1181">
        <f t="shared" si="23"/>
        <v>0</v>
      </c>
      <c r="U67" s="1313">
        <f t="shared" si="17"/>
        <v>0</v>
      </c>
      <c r="V67" s="1313">
        <f t="shared" si="18"/>
        <v>0</v>
      </c>
      <c r="W67" s="1310"/>
      <c r="X67" s="1313">
        <f t="shared" si="19"/>
        <v>0</v>
      </c>
      <c r="Y67" s="1313">
        <f t="shared" si="20"/>
        <v>0</v>
      </c>
      <c r="Z67" s="1310"/>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-0.01</v>
      </c>
      <c r="R68" s="703">
        <f t="shared" si="21"/>
        <v>0</v>
      </c>
      <c r="S68" s="334">
        <f t="shared" si="22"/>
        <v>0</v>
      </c>
      <c r="T68" s="1181">
        <f t="shared" si="23"/>
        <v>0</v>
      </c>
      <c r="U68" s="1313">
        <f t="shared" si="17"/>
        <v>0</v>
      </c>
      <c r="V68" s="1313">
        <f t="shared" si="18"/>
        <v>0</v>
      </c>
      <c r="W68" s="1310"/>
      <c r="X68" s="1313">
        <f t="shared" si="19"/>
        <v>0</v>
      </c>
      <c r="Y68" s="1313">
        <f t="shared" si="20"/>
        <v>0</v>
      </c>
      <c r="Z68" s="1310"/>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-0.01</v>
      </c>
      <c r="R69" s="703">
        <f t="shared" si="21"/>
        <v>0</v>
      </c>
      <c r="S69" s="334">
        <f t="shared" si="22"/>
        <v>0</v>
      </c>
      <c r="T69" s="1181">
        <f t="shared" si="23"/>
        <v>0</v>
      </c>
      <c r="U69" s="1313">
        <f t="shared" si="17"/>
        <v>0</v>
      </c>
      <c r="V69" s="1313">
        <f t="shared" si="18"/>
        <v>0</v>
      </c>
      <c r="W69" s="1310"/>
      <c r="X69" s="1313">
        <f t="shared" si="19"/>
        <v>0</v>
      </c>
      <c r="Y69" s="1313">
        <f t="shared" si="20"/>
        <v>0</v>
      </c>
      <c r="Z69" s="1310"/>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-0.01</v>
      </c>
      <c r="R70" s="703">
        <f t="shared" si="21"/>
        <v>0</v>
      </c>
      <c r="S70" s="334">
        <f t="shared" si="22"/>
        <v>0</v>
      </c>
      <c r="T70" s="1181">
        <f t="shared" si="23"/>
        <v>0</v>
      </c>
      <c r="U70" s="1313">
        <f t="shared" si="17"/>
        <v>0</v>
      </c>
      <c r="V70" s="1313">
        <f t="shared" si="18"/>
        <v>0</v>
      </c>
      <c r="W70" s="1310"/>
      <c r="X70" s="1313">
        <f t="shared" si="19"/>
        <v>0</v>
      </c>
      <c r="Y70" s="1313">
        <f t="shared" si="20"/>
        <v>0</v>
      </c>
      <c r="Z70" s="1310"/>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-0.01</v>
      </c>
      <c r="R71" s="703">
        <f t="shared" si="21"/>
        <v>0</v>
      </c>
      <c r="S71" s="334">
        <f t="shared" si="22"/>
        <v>0</v>
      </c>
      <c r="T71" s="1181">
        <f t="shared" si="23"/>
        <v>0</v>
      </c>
      <c r="U71" s="1313">
        <f t="shared" si="17"/>
        <v>0</v>
      </c>
      <c r="V71" s="1313">
        <f t="shared" si="18"/>
        <v>0</v>
      </c>
      <c r="W71" s="1310"/>
      <c r="X71" s="1313">
        <f t="shared" si="19"/>
        <v>0</v>
      </c>
      <c r="Y71" s="1313">
        <f t="shared" si="20"/>
        <v>0</v>
      </c>
      <c r="Z71" s="1310"/>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-0.01</v>
      </c>
      <c r="R72" s="703">
        <f t="shared" si="21"/>
        <v>0</v>
      </c>
      <c r="S72" s="334">
        <f t="shared" si="22"/>
        <v>0</v>
      </c>
      <c r="T72" s="1181">
        <f t="shared" si="23"/>
        <v>0</v>
      </c>
      <c r="U72" s="1313">
        <f t="shared" si="17"/>
        <v>0</v>
      </c>
      <c r="V72" s="1313">
        <f t="shared" si="18"/>
        <v>0</v>
      </c>
      <c r="W72" s="1310"/>
      <c r="X72" s="1313">
        <f t="shared" si="19"/>
        <v>0</v>
      </c>
      <c r="Y72" s="1313">
        <f t="shared" si="20"/>
        <v>0</v>
      </c>
      <c r="Z72" s="1310"/>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-0.01</v>
      </c>
      <c r="R73" s="703">
        <f t="shared" si="21"/>
        <v>0</v>
      </c>
      <c r="S73" s="334">
        <f t="shared" si="22"/>
        <v>0</v>
      </c>
      <c r="T73" s="1181">
        <f t="shared" si="23"/>
        <v>0</v>
      </c>
      <c r="U73" s="1313">
        <f t="shared" si="17"/>
        <v>0</v>
      </c>
      <c r="V73" s="1313">
        <f t="shared" si="18"/>
        <v>0</v>
      </c>
      <c r="W73" s="1310"/>
      <c r="X73" s="1313">
        <f t="shared" si="19"/>
        <v>0</v>
      </c>
      <c r="Y73" s="1313">
        <f t="shared" si="20"/>
        <v>0</v>
      </c>
      <c r="Z73" s="1310"/>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-0.01</v>
      </c>
      <c r="R74" s="703">
        <f t="shared" si="21"/>
        <v>0</v>
      </c>
      <c r="S74" s="334">
        <f t="shared" si="22"/>
        <v>0</v>
      </c>
      <c r="T74" s="1181">
        <f t="shared" si="23"/>
        <v>0</v>
      </c>
      <c r="U74" s="1313">
        <f t="shared" si="17"/>
        <v>0</v>
      </c>
      <c r="V74" s="1313">
        <f t="shared" si="18"/>
        <v>0</v>
      </c>
      <c r="W74" s="1310"/>
      <c r="X74" s="1313">
        <f t="shared" si="19"/>
        <v>0</v>
      </c>
      <c r="Y74" s="1313">
        <f t="shared" si="20"/>
        <v>0</v>
      </c>
      <c r="Z74" s="1310"/>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-0.01</v>
      </c>
      <c r="R75" s="703">
        <f t="shared" si="21"/>
        <v>0</v>
      </c>
      <c r="S75" s="334">
        <f t="shared" si="22"/>
        <v>0</v>
      </c>
      <c r="T75" s="1181">
        <f t="shared" si="23"/>
        <v>0</v>
      </c>
      <c r="U75" s="1313">
        <f t="shared" si="17"/>
        <v>0</v>
      </c>
      <c r="V75" s="1313">
        <f t="shared" si="18"/>
        <v>0</v>
      </c>
      <c r="W75" s="1310"/>
      <c r="X75" s="1313">
        <f t="shared" si="19"/>
        <v>0</v>
      </c>
      <c r="Y75" s="1313">
        <f t="shared" si="20"/>
        <v>0</v>
      </c>
      <c r="Z75" s="1310"/>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-0.01</v>
      </c>
      <c r="R76" s="703">
        <f t="shared" si="21"/>
        <v>0</v>
      </c>
      <c r="S76" s="334">
        <f t="shared" si="22"/>
        <v>0</v>
      </c>
      <c r="T76" s="1181">
        <f t="shared" si="23"/>
        <v>0</v>
      </c>
      <c r="U76" s="1313">
        <f t="shared" si="17"/>
        <v>0</v>
      </c>
      <c r="V76" s="1313">
        <f t="shared" si="18"/>
        <v>0</v>
      </c>
      <c r="W76" s="1310"/>
      <c r="X76" s="1313">
        <f t="shared" si="19"/>
        <v>0</v>
      </c>
      <c r="Y76" s="1313">
        <f t="shared" si="20"/>
        <v>0</v>
      </c>
      <c r="Z76" s="1310"/>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-0.01</v>
      </c>
      <c r="R77" s="703">
        <f t="shared" si="21"/>
        <v>0</v>
      </c>
      <c r="S77" s="334">
        <f t="shared" si="22"/>
        <v>0</v>
      </c>
      <c r="T77" s="1181">
        <f t="shared" si="23"/>
        <v>0</v>
      </c>
      <c r="U77" s="1313">
        <f t="shared" si="17"/>
        <v>0</v>
      </c>
      <c r="V77" s="1313">
        <f t="shared" si="18"/>
        <v>0</v>
      </c>
      <c r="W77" s="1310"/>
      <c r="X77" s="1313">
        <f t="shared" si="19"/>
        <v>0</v>
      </c>
      <c r="Y77" s="1313">
        <f t="shared" si="20"/>
        <v>0</v>
      </c>
      <c r="Z77" s="1310"/>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-0.01</v>
      </c>
      <c r="R78" s="703">
        <f t="shared" si="21"/>
        <v>0</v>
      </c>
      <c r="S78" s="334">
        <f t="shared" si="22"/>
        <v>0</v>
      </c>
      <c r="T78" s="1181">
        <f t="shared" si="23"/>
        <v>0</v>
      </c>
      <c r="U78" s="1313">
        <f t="shared" si="17"/>
        <v>0</v>
      </c>
      <c r="V78" s="1313">
        <f t="shared" si="18"/>
        <v>0</v>
      </c>
      <c r="W78" s="1310"/>
      <c r="X78" s="1313">
        <f t="shared" si="19"/>
        <v>0</v>
      </c>
      <c r="Y78" s="1313">
        <f t="shared" si="20"/>
        <v>0</v>
      </c>
      <c r="Z78" s="1310"/>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-0.01</v>
      </c>
      <c r="R79" s="703">
        <f t="shared" si="21"/>
        <v>0</v>
      </c>
      <c r="S79" s="334">
        <f t="shared" si="22"/>
        <v>0</v>
      </c>
      <c r="T79" s="1181">
        <f t="shared" si="23"/>
        <v>0</v>
      </c>
      <c r="U79" s="1313">
        <f t="shared" si="17"/>
        <v>0</v>
      </c>
      <c r="V79" s="1313">
        <f t="shared" si="18"/>
        <v>0</v>
      </c>
      <c r="W79" s="1310"/>
      <c r="X79" s="1313">
        <f t="shared" si="19"/>
        <v>0</v>
      </c>
      <c r="Y79" s="1313">
        <f t="shared" si="20"/>
        <v>0</v>
      </c>
      <c r="Z79" s="1310"/>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-0.01</v>
      </c>
      <c r="R80" s="703">
        <f t="shared" si="21"/>
        <v>0</v>
      </c>
      <c r="S80" s="334">
        <f t="shared" si="22"/>
        <v>0</v>
      </c>
      <c r="T80" s="1181">
        <f t="shared" si="23"/>
        <v>0</v>
      </c>
      <c r="U80" s="1313">
        <f t="shared" si="17"/>
        <v>0</v>
      </c>
      <c r="V80" s="1313">
        <f t="shared" si="18"/>
        <v>0</v>
      </c>
      <c r="W80" s="1310"/>
      <c r="X80" s="1313">
        <f t="shared" si="19"/>
        <v>0</v>
      </c>
      <c r="Y80" s="1313">
        <f t="shared" si="20"/>
        <v>0</v>
      </c>
      <c r="Z80" s="1310"/>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-0.01</v>
      </c>
      <c r="R81" s="703">
        <f t="shared" si="21"/>
        <v>0</v>
      </c>
      <c r="S81" s="334">
        <f t="shared" si="22"/>
        <v>0</v>
      </c>
      <c r="T81" s="1181">
        <f t="shared" si="23"/>
        <v>0</v>
      </c>
      <c r="U81" s="1313">
        <f t="shared" si="17"/>
        <v>0</v>
      </c>
      <c r="V81" s="1313">
        <f t="shared" si="18"/>
        <v>0</v>
      </c>
      <c r="W81" s="1310"/>
      <c r="X81" s="1313">
        <f t="shared" si="19"/>
        <v>0</v>
      </c>
      <c r="Y81" s="1313">
        <f t="shared" si="20"/>
        <v>0</v>
      </c>
      <c r="Z81" s="1310"/>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-0.01</v>
      </c>
      <c r="R82" s="703">
        <f t="shared" si="21"/>
        <v>0</v>
      </c>
      <c r="S82" s="334">
        <f t="shared" si="22"/>
        <v>0</v>
      </c>
      <c r="T82" s="1181">
        <f t="shared" si="23"/>
        <v>0</v>
      </c>
      <c r="U82" s="1313">
        <f t="shared" si="17"/>
        <v>0</v>
      </c>
      <c r="V82" s="1313">
        <f t="shared" si="18"/>
        <v>0</v>
      </c>
      <c r="W82" s="1310"/>
      <c r="X82" s="1313">
        <f t="shared" si="19"/>
        <v>0</v>
      </c>
      <c r="Y82" s="1313">
        <f t="shared" si="20"/>
        <v>0</v>
      </c>
      <c r="Z82" s="1310"/>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-0.01</v>
      </c>
      <c r="R83" s="703">
        <f t="shared" si="21"/>
        <v>0</v>
      </c>
      <c r="S83" s="334">
        <f t="shared" si="22"/>
        <v>0</v>
      </c>
      <c r="T83" s="1181">
        <f t="shared" si="23"/>
        <v>0</v>
      </c>
      <c r="U83" s="1313">
        <f t="shared" si="17"/>
        <v>0</v>
      </c>
      <c r="V83" s="1313">
        <f t="shared" si="18"/>
        <v>0</v>
      </c>
      <c r="W83" s="1310"/>
      <c r="X83" s="1313">
        <f t="shared" si="19"/>
        <v>0</v>
      </c>
      <c r="Y83" s="1313">
        <f t="shared" si="20"/>
        <v>0</v>
      </c>
      <c r="Z83" s="1310"/>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-0.01</v>
      </c>
      <c r="R84" s="703">
        <f t="shared" si="21"/>
        <v>0</v>
      </c>
      <c r="S84" s="334">
        <f t="shared" si="22"/>
        <v>0</v>
      </c>
      <c r="T84" s="1181">
        <f t="shared" si="23"/>
        <v>0</v>
      </c>
      <c r="U84" s="1313">
        <f t="shared" si="17"/>
        <v>0</v>
      </c>
      <c r="V84" s="1313">
        <f t="shared" si="18"/>
        <v>0</v>
      </c>
      <c r="W84" s="1310"/>
      <c r="X84" s="1313">
        <f t="shared" si="19"/>
        <v>0</v>
      </c>
      <c r="Y84" s="1313">
        <f t="shared" si="20"/>
        <v>0</v>
      </c>
      <c r="Z84" s="1310"/>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-0.01</v>
      </c>
      <c r="R85" s="703">
        <f t="shared" si="21"/>
        <v>0</v>
      </c>
      <c r="S85" s="334">
        <f t="shared" si="22"/>
        <v>0</v>
      </c>
      <c r="T85" s="1181">
        <f t="shared" si="23"/>
        <v>0</v>
      </c>
      <c r="U85" s="1313">
        <f t="shared" si="17"/>
        <v>0</v>
      </c>
      <c r="V85" s="1313">
        <f t="shared" si="18"/>
        <v>0</v>
      </c>
      <c r="W85" s="1310"/>
      <c r="X85" s="1313">
        <f t="shared" si="19"/>
        <v>0</v>
      </c>
      <c r="Y85" s="1313">
        <f t="shared" si="20"/>
        <v>0</v>
      </c>
      <c r="Z85" s="1310"/>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-0.01</v>
      </c>
      <c r="R86" s="703">
        <f t="shared" si="21"/>
        <v>0</v>
      </c>
      <c r="S86" s="334">
        <f t="shared" si="22"/>
        <v>0</v>
      </c>
      <c r="T86" s="1181">
        <f t="shared" si="23"/>
        <v>0</v>
      </c>
      <c r="U86" s="1313">
        <f t="shared" si="17"/>
        <v>0</v>
      </c>
      <c r="V86" s="1313">
        <f t="shared" si="18"/>
        <v>0</v>
      </c>
      <c r="W86" s="1310"/>
      <c r="X86" s="1313">
        <f t="shared" si="19"/>
        <v>0</v>
      </c>
      <c r="Y86" s="1313">
        <f t="shared" si="20"/>
        <v>0</v>
      </c>
      <c r="Z86" s="1310"/>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-0.01</v>
      </c>
      <c r="R87" s="703">
        <f t="shared" si="21"/>
        <v>0</v>
      </c>
      <c r="S87" s="334">
        <f t="shared" si="22"/>
        <v>0</v>
      </c>
      <c r="T87" s="1181">
        <f t="shared" si="23"/>
        <v>0</v>
      </c>
      <c r="U87" s="1313">
        <f t="shared" si="17"/>
        <v>0</v>
      </c>
      <c r="V87" s="1313">
        <f t="shared" si="18"/>
        <v>0</v>
      </c>
      <c r="W87" s="1310"/>
      <c r="X87" s="1313">
        <f t="shared" si="19"/>
        <v>0</v>
      </c>
      <c r="Y87" s="1313">
        <f t="shared" si="20"/>
        <v>0</v>
      </c>
      <c r="Z87" s="1310"/>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-0.01</v>
      </c>
      <c r="R88" s="703">
        <f t="shared" si="21"/>
        <v>0</v>
      </c>
      <c r="S88" s="334">
        <f t="shared" si="22"/>
        <v>0</v>
      </c>
      <c r="T88" s="1181">
        <f t="shared" si="23"/>
        <v>0</v>
      </c>
      <c r="U88" s="1313">
        <f t="shared" si="17"/>
        <v>0</v>
      </c>
      <c r="V88" s="1313">
        <f t="shared" si="18"/>
        <v>0</v>
      </c>
      <c r="W88" s="1310"/>
      <c r="X88" s="1313">
        <f t="shared" si="19"/>
        <v>0</v>
      </c>
      <c r="Y88" s="1313">
        <f t="shared" si="20"/>
        <v>0</v>
      </c>
      <c r="Z88" s="1310"/>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-0.01</v>
      </c>
      <c r="R89" s="703">
        <f t="shared" si="21"/>
        <v>0</v>
      </c>
      <c r="S89" s="334">
        <f t="shared" si="22"/>
        <v>0</v>
      </c>
      <c r="T89" s="1181">
        <f t="shared" si="23"/>
        <v>0</v>
      </c>
      <c r="U89" s="1313">
        <f t="shared" si="17"/>
        <v>0</v>
      </c>
      <c r="V89" s="1313">
        <f t="shared" si="18"/>
        <v>0</v>
      </c>
      <c r="W89" s="1310"/>
      <c r="X89" s="1313">
        <f t="shared" si="19"/>
        <v>0</v>
      </c>
      <c r="Y89" s="1313">
        <f t="shared" si="20"/>
        <v>0</v>
      </c>
      <c r="Z89" s="1310"/>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-0.01</v>
      </c>
      <c r="R90" s="703">
        <f t="shared" si="21"/>
        <v>0</v>
      </c>
      <c r="S90" s="334">
        <f t="shared" si="22"/>
        <v>0</v>
      </c>
      <c r="T90" s="1181">
        <f t="shared" si="23"/>
        <v>0</v>
      </c>
      <c r="U90" s="1313">
        <f t="shared" si="17"/>
        <v>0</v>
      </c>
      <c r="V90" s="1313">
        <f t="shared" si="18"/>
        <v>0</v>
      </c>
      <c r="W90" s="1310"/>
      <c r="X90" s="1313">
        <f t="shared" si="19"/>
        <v>0</v>
      </c>
      <c r="Y90" s="1313">
        <f t="shared" si="20"/>
        <v>0</v>
      </c>
      <c r="Z90" s="1310"/>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-0.01</v>
      </c>
      <c r="R91" s="703">
        <f t="shared" si="21"/>
        <v>0</v>
      </c>
      <c r="S91" s="334">
        <f t="shared" si="22"/>
        <v>0</v>
      </c>
      <c r="T91" s="1181">
        <f t="shared" si="23"/>
        <v>0</v>
      </c>
      <c r="U91" s="1313">
        <f t="shared" si="17"/>
        <v>0</v>
      </c>
      <c r="V91" s="1313">
        <f t="shared" si="18"/>
        <v>0</v>
      </c>
      <c r="W91" s="1310"/>
      <c r="X91" s="1313">
        <f t="shared" si="19"/>
        <v>0</v>
      </c>
      <c r="Y91" s="1313">
        <f t="shared" si="20"/>
        <v>0</v>
      </c>
      <c r="Z91" s="1310"/>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-0.01</v>
      </c>
      <c r="R92" s="703">
        <f t="shared" si="21"/>
        <v>0</v>
      </c>
      <c r="S92" s="334">
        <f t="shared" si="22"/>
        <v>0</v>
      </c>
      <c r="T92" s="1181">
        <f t="shared" si="23"/>
        <v>0</v>
      </c>
      <c r="U92" s="1313">
        <f t="shared" ref="U92:U155" si="32">ROUND(W92*B92,0)</f>
        <v>0</v>
      </c>
      <c r="V92" s="1313">
        <f t="shared" ref="V92:V155" si="33">ROUND(W92*B92/10000,0)</f>
        <v>0</v>
      </c>
      <c r="W92" s="1310"/>
      <c r="X92" s="1313">
        <f t="shared" ref="X92:X155" si="34">ROUND(Z92*B92,0)</f>
        <v>0</v>
      </c>
      <c r="Y92" s="1313">
        <f t="shared" ref="Y92:Y155" si="35">ROUND(Z92*B92/10000,0)</f>
        <v>0</v>
      </c>
      <c r="Z92" s="1310"/>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-0.01</v>
      </c>
      <c r="R93" s="703">
        <f t="shared" ref="R93:R156" si="36">IF(B93="",0,ROUND($R$27*C93*E93*G93*I93*K93*M93*O93*Q93,0))</f>
        <v>0</v>
      </c>
      <c r="S93" s="334">
        <f t="shared" ref="S93:S156" si="37">ROUND(R93*B93,0)</f>
        <v>0</v>
      </c>
      <c r="T93" s="1181">
        <f t="shared" ref="T93:T156" si="38">ROUND(R93*B93/10000,0)</f>
        <v>0</v>
      </c>
      <c r="U93" s="1313">
        <f t="shared" si="32"/>
        <v>0</v>
      </c>
      <c r="V93" s="1313">
        <f t="shared" si="33"/>
        <v>0</v>
      </c>
      <c r="W93" s="1310"/>
      <c r="X93" s="1313">
        <f t="shared" si="34"/>
        <v>0</v>
      </c>
      <c r="Y93" s="1313">
        <f t="shared" si="35"/>
        <v>0</v>
      </c>
      <c r="Z93" s="1310"/>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-0.01</v>
      </c>
      <c r="R94" s="703">
        <f t="shared" si="36"/>
        <v>0</v>
      </c>
      <c r="S94" s="334">
        <f t="shared" si="37"/>
        <v>0</v>
      </c>
      <c r="T94" s="1181">
        <f t="shared" si="38"/>
        <v>0</v>
      </c>
      <c r="U94" s="1313">
        <f t="shared" si="32"/>
        <v>0</v>
      </c>
      <c r="V94" s="1313">
        <f t="shared" si="33"/>
        <v>0</v>
      </c>
      <c r="W94" s="1310"/>
      <c r="X94" s="1313">
        <f t="shared" si="34"/>
        <v>0</v>
      </c>
      <c r="Y94" s="1313">
        <f t="shared" si="35"/>
        <v>0</v>
      </c>
      <c r="Z94" s="1310"/>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-0.01</v>
      </c>
      <c r="R95" s="703">
        <f t="shared" si="36"/>
        <v>0</v>
      </c>
      <c r="S95" s="334">
        <f t="shared" si="37"/>
        <v>0</v>
      </c>
      <c r="T95" s="1181">
        <f t="shared" si="38"/>
        <v>0</v>
      </c>
      <c r="U95" s="1313">
        <f t="shared" si="32"/>
        <v>0</v>
      </c>
      <c r="V95" s="1313">
        <f t="shared" si="33"/>
        <v>0</v>
      </c>
      <c r="W95" s="1310"/>
      <c r="X95" s="1313">
        <f t="shared" si="34"/>
        <v>0</v>
      </c>
      <c r="Y95" s="1313">
        <f t="shared" si="35"/>
        <v>0</v>
      </c>
      <c r="Z95" s="1310"/>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-0.01</v>
      </c>
      <c r="R96" s="703">
        <f t="shared" si="36"/>
        <v>0</v>
      </c>
      <c r="S96" s="334">
        <f t="shared" si="37"/>
        <v>0</v>
      </c>
      <c r="T96" s="1181">
        <f t="shared" si="38"/>
        <v>0</v>
      </c>
      <c r="U96" s="1313">
        <f t="shared" si="32"/>
        <v>0</v>
      </c>
      <c r="V96" s="1313">
        <f t="shared" si="33"/>
        <v>0</v>
      </c>
      <c r="W96" s="1310"/>
      <c r="X96" s="1313">
        <f t="shared" si="34"/>
        <v>0</v>
      </c>
      <c r="Y96" s="1313">
        <f t="shared" si="35"/>
        <v>0</v>
      </c>
      <c r="Z96" s="1310"/>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-0.01</v>
      </c>
      <c r="R97" s="703">
        <f t="shared" si="36"/>
        <v>0</v>
      </c>
      <c r="S97" s="334">
        <f t="shared" si="37"/>
        <v>0</v>
      </c>
      <c r="T97" s="1181">
        <f t="shared" si="38"/>
        <v>0</v>
      </c>
      <c r="U97" s="1313">
        <f t="shared" si="32"/>
        <v>0</v>
      </c>
      <c r="V97" s="1313">
        <f t="shared" si="33"/>
        <v>0</v>
      </c>
      <c r="W97" s="1310"/>
      <c r="X97" s="1313">
        <f t="shared" si="34"/>
        <v>0</v>
      </c>
      <c r="Y97" s="1313">
        <f t="shared" si="35"/>
        <v>0</v>
      </c>
      <c r="Z97" s="1310"/>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-0.01</v>
      </c>
      <c r="R98" s="703">
        <f t="shared" si="36"/>
        <v>0</v>
      </c>
      <c r="S98" s="334">
        <f t="shared" si="37"/>
        <v>0</v>
      </c>
      <c r="T98" s="1181">
        <f t="shared" si="38"/>
        <v>0</v>
      </c>
      <c r="U98" s="1313">
        <f t="shared" si="32"/>
        <v>0</v>
      </c>
      <c r="V98" s="1313">
        <f t="shared" si="33"/>
        <v>0</v>
      </c>
      <c r="W98" s="1310"/>
      <c r="X98" s="1313">
        <f t="shared" si="34"/>
        <v>0</v>
      </c>
      <c r="Y98" s="1313">
        <f t="shared" si="35"/>
        <v>0</v>
      </c>
      <c r="Z98" s="1310"/>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-0.01</v>
      </c>
      <c r="R99" s="703">
        <f t="shared" si="36"/>
        <v>0</v>
      </c>
      <c r="S99" s="334">
        <f t="shared" si="37"/>
        <v>0</v>
      </c>
      <c r="T99" s="1181">
        <f t="shared" si="38"/>
        <v>0</v>
      </c>
      <c r="U99" s="1313">
        <f t="shared" si="32"/>
        <v>0</v>
      </c>
      <c r="V99" s="1313">
        <f t="shared" si="33"/>
        <v>0</v>
      </c>
      <c r="W99" s="1310"/>
      <c r="X99" s="1313">
        <f t="shared" si="34"/>
        <v>0</v>
      </c>
      <c r="Y99" s="1313">
        <f t="shared" si="35"/>
        <v>0</v>
      </c>
      <c r="Z99" s="1310"/>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-0.01</v>
      </c>
      <c r="R100" s="703">
        <f t="shared" si="36"/>
        <v>0</v>
      </c>
      <c r="S100" s="334">
        <f t="shared" si="37"/>
        <v>0</v>
      </c>
      <c r="T100" s="1181">
        <f t="shared" si="38"/>
        <v>0</v>
      </c>
      <c r="U100" s="1313">
        <f t="shared" si="32"/>
        <v>0</v>
      </c>
      <c r="V100" s="1313">
        <f t="shared" si="33"/>
        <v>0</v>
      </c>
      <c r="W100" s="1310"/>
      <c r="X100" s="1313">
        <f t="shared" si="34"/>
        <v>0</v>
      </c>
      <c r="Y100" s="1313">
        <f t="shared" si="35"/>
        <v>0</v>
      </c>
      <c r="Z100" s="1310"/>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-0.01</v>
      </c>
      <c r="R101" s="703">
        <f t="shared" si="36"/>
        <v>0</v>
      </c>
      <c r="S101" s="334">
        <f t="shared" si="37"/>
        <v>0</v>
      </c>
      <c r="T101" s="1181">
        <f t="shared" si="38"/>
        <v>0</v>
      </c>
      <c r="U101" s="1313">
        <f t="shared" si="32"/>
        <v>0</v>
      </c>
      <c r="V101" s="1313">
        <f t="shared" si="33"/>
        <v>0</v>
      </c>
      <c r="W101" s="1310"/>
      <c r="X101" s="1313">
        <f t="shared" si="34"/>
        <v>0</v>
      </c>
      <c r="Y101" s="1313">
        <f t="shared" si="35"/>
        <v>0</v>
      </c>
      <c r="Z101" s="1310"/>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-0.01</v>
      </c>
      <c r="R102" s="703">
        <f t="shared" si="36"/>
        <v>0</v>
      </c>
      <c r="S102" s="334">
        <f t="shared" si="37"/>
        <v>0</v>
      </c>
      <c r="T102" s="1181">
        <f t="shared" si="38"/>
        <v>0</v>
      </c>
      <c r="U102" s="1313">
        <f t="shared" si="32"/>
        <v>0</v>
      </c>
      <c r="V102" s="1313">
        <f t="shared" si="33"/>
        <v>0</v>
      </c>
      <c r="W102" s="1310"/>
      <c r="X102" s="1313">
        <f t="shared" si="34"/>
        <v>0</v>
      </c>
      <c r="Y102" s="1313">
        <f t="shared" si="35"/>
        <v>0</v>
      </c>
      <c r="Z102" s="1310"/>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-0.01</v>
      </c>
      <c r="R103" s="703">
        <f t="shared" si="36"/>
        <v>0</v>
      </c>
      <c r="S103" s="334">
        <f t="shared" si="37"/>
        <v>0</v>
      </c>
      <c r="T103" s="1181">
        <f t="shared" si="38"/>
        <v>0</v>
      </c>
      <c r="U103" s="1313">
        <f t="shared" si="32"/>
        <v>0</v>
      </c>
      <c r="V103" s="1313">
        <f t="shared" si="33"/>
        <v>0</v>
      </c>
      <c r="W103" s="1310"/>
      <c r="X103" s="1313">
        <f t="shared" si="34"/>
        <v>0</v>
      </c>
      <c r="Y103" s="1313">
        <f t="shared" si="35"/>
        <v>0</v>
      </c>
      <c r="Z103" s="1310"/>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-0.01</v>
      </c>
      <c r="R104" s="703">
        <f t="shared" si="36"/>
        <v>0</v>
      </c>
      <c r="S104" s="334">
        <f t="shared" si="37"/>
        <v>0</v>
      </c>
      <c r="T104" s="1181">
        <f t="shared" si="38"/>
        <v>0</v>
      </c>
      <c r="U104" s="1313">
        <f t="shared" si="32"/>
        <v>0</v>
      </c>
      <c r="V104" s="1313">
        <f t="shared" si="33"/>
        <v>0</v>
      </c>
      <c r="W104" s="1310"/>
      <c r="X104" s="1313">
        <f t="shared" si="34"/>
        <v>0</v>
      </c>
      <c r="Y104" s="1313">
        <f t="shared" si="35"/>
        <v>0</v>
      </c>
      <c r="Z104" s="1310"/>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-0.01</v>
      </c>
      <c r="R105" s="703">
        <f t="shared" si="36"/>
        <v>0</v>
      </c>
      <c r="S105" s="334">
        <f t="shared" si="37"/>
        <v>0</v>
      </c>
      <c r="T105" s="1181">
        <f t="shared" si="38"/>
        <v>0</v>
      </c>
      <c r="U105" s="1313">
        <f t="shared" si="32"/>
        <v>0</v>
      </c>
      <c r="V105" s="1313">
        <f t="shared" si="33"/>
        <v>0</v>
      </c>
      <c r="W105" s="1310"/>
      <c r="X105" s="1313">
        <f t="shared" si="34"/>
        <v>0</v>
      </c>
      <c r="Y105" s="1313">
        <f t="shared" si="35"/>
        <v>0</v>
      </c>
      <c r="Z105" s="1310"/>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-0.01</v>
      </c>
      <c r="R106" s="703">
        <f t="shared" si="36"/>
        <v>0</v>
      </c>
      <c r="S106" s="334">
        <f t="shared" si="37"/>
        <v>0</v>
      </c>
      <c r="T106" s="1181">
        <f t="shared" si="38"/>
        <v>0</v>
      </c>
      <c r="U106" s="1313">
        <f t="shared" si="32"/>
        <v>0</v>
      </c>
      <c r="V106" s="1313">
        <f t="shared" si="33"/>
        <v>0</v>
      </c>
      <c r="W106" s="1310"/>
      <c r="X106" s="1313">
        <f t="shared" si="34"/>
        <v>0</v>
      </c>
      <c r="Y106" s="1313">
        <f t="shared" si="35"/>
        <v>0</v>
      </c>
      <c r="Z106" s="1310"/>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-0.01</v>
      </c>
      <c r="R107" s="703">
        <f t="shared" si="36"/>
        <v>0</v>
      </c>
      <c r="S107" s="334">
        <f t="shared" si="37"/>
        <v>0</v>
      </c>
      <c r="T107" s="1181">
        <f t="shared" si="38"/>
        <v>0</v>
      </c>
      <c r="U107" s="1313">
        <f t="shared" si="32"/>
        <v>0</v>
      </c>
      <c r="V107" s="1313">
        <f t="shared" si="33"/>
        <v>0</v>
      </c>
      <c r="W107" s="1310"/>
      <c r="X107" s="1313">
        <f t="shared" si="34"/>
        <v>0</v>
      </c>
      <c r="Y107" s="1313">
        <f t="shared" si="35"/>
        <v>0</v>
      </c>
      <c r="Z107" s="1310"/>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-0.01</v>
      </c>
      <c r="R108" s="703">
        <f t="shared" si="36"/>
        <v>0</v>
      </c>
      <c r="S108" s="334">
        <f t="shared" si="37"/>
        <v>0</v>
      </c>
      <c r="T108" s="1181">
        <f t="shared" si="38"/>
        <v>0</v>
      </c>
      <c r="U108" s="1313">
        <f t="shared" si="32"/>
        <v>0</v>
      </c>
      <c r="V108" s="1313">
        <f t="shared" si="33"/>
        <v>0</v>
      </c>
      <c r="W108" s="1310"/>
      <c r="X108" s="1313">
        <f t="shared" si="34"/>
        <v>0</v>
      </c>
      <c r="Y108" s="1313">
        <f t="shared" si="35"/>
        <v>0</v>
      </c>
      <c r="Z108" s="1310"/>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-0.01</v>
      </c>
      <c r="R109" s="703">
        <f t="shared" si="36"/>
        <v>0</v>
      </c>
      <c r="S109" s="334">
        <f t="shared" si="37"/>
        <v>0</v>
      </c>
      <c r="T109" s="1181">
        <f t="shared" si="38"/>
        <v>0</v>
      </c>
      <c r="U109" s="1313">
        <f t="shared" si="32"/>
        <v>0</v>
      </c>
      <c r="V109" s="1313">
        <f t="shared" si="33"/>
        <v>0</v>
      </c>
      <c r="W109" s="1310"/>
      <c r="X109" s="1313">
        <f t="shared" si="34"/>
        <v>0</v>
      </c>
      <c r="Y109" s="1313">
        <f t="shared" si="35"/>
        <v>0</v>
      </c>
      <c r="Z109" s="1310"/>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-0.01</v>
      </c>
      <c r="R110" s="703">
        <f t="shared" si="36"/>
        <v>0</v>
      </c>
      <c r="S110" s="334">
        <f t="shared" si="37"/>
        <v>0</v>
      </c>
      <c r="T110" s="1181">
        <f t="shared" si="38"/>
        <v>0</v>
      </c>
      <c r="U110" s="1313">
        <f t="shared" si="32"/>
        <v>0</v>
      </c>
      <c r="V110" s="1313">
        <f t="shared" si="33"/>
        <v>0</v>
      </c>
      <c r="W110" s="1310"/>
      <c r="X110" s="1313">
        <f t="shared" si="34"/>
        <v>0</v>
      </c>
      <c r="Y110" s="1313">
        <f t="shared" si="35"/>
        <v>0</v>
      </c>
      <c r="Z110" s="1310"/>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-0.01</v>
      </c>
      <c r="R111" s="703">
        <f t="shared" si="36"/>
        <v>0</v>
      </c>
      <c r="S111" s="334">
        <f t="shared" si="37"/>
        <v>0</v>
      </c>
      <c r="T111" s="1181">
        <f t="shared" si="38"/>
        <v>0</v>
      </c>
      <c r="U111" s="1313">
        <f t="shared" si="32"/>
        <v>0</v>
      </c>
      <c r="V111" s="1313">
        <f t="shared" si="33"/>
        <v>0</v>
      </c>
      <c r="W111" s="1310"/>
      <c r="X111" s="1313">
        <f t="shared" si="34"/>
        <v>0</v>
      </c>
      <c r="Y111" s="1313">
        <f t="shared" si="35"/>
        <v>0</v>
      </c>
      <c r="Z111" s="1310"/>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-0.01</v>
      </c>
      <c r="R112" s="703">
        <f t="shared" si="36"/>
        <v>0</v>
      </c>
      <c r="S112" s="334">
        <f t="shared" si="37"/>
        <v>0</v>
      </c>
      <c r="T112" s="1181">
        <f t="shared" si="38"/>
        <v>0</v>
      </c>
      <c r="U112" s="1313">
        <f t="shared" si="32"/>
        <v>0</v>
      </c>
      <c r="V112" s="1313">
        <f t="shared" si="33"/>
        <v>0</v>
      </c>
      <c r="W112" s="1310"/>
      <c r="X112" s="1313">
        <f t="shared" si="34"/>
        <v>0</v>
      </c>
      <c r="Y112" s="1313">
        <f t="shared" si="35"/>
        <v>0</v>
      </c>
      <c r="Z112" s="1310"/>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-0.01</v>
      </c>
      <c r="R113" s="703">
        <f t="shared" si="36"/>
        <v>0</v>
      </c>
      <c r="S113" s="334">
        <f t="shared" si="37"/>
        <v>0</v>
      </c>
      <c r="T113" s="1181">
        <f t="shared" si="38"/>
        <v>0</v>
      </c>
      <c r="U113" s="1313">
        <f t="shared" si="32"/>
        <v>0</v>
      </c>
      <c r="V113" s="1313">
        <f t="shared" si="33"/>
        <v>0</v>
      </c>
      <c r="W113" s="1310"/>
      <c r="X113" s="1313">
        <f t="shared" si="34"/>
        <v>0</v>
      </c>
      <c r="Y113" s="1313">
        <f t="shared" si="35"/>
        <v>0</v>
      </c>
      <c r="Z113" s="1310"/>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-0.01</v>
      </c>
      <c r="R114" s="703">
        <f t="shared" si="36"/>
        <v>0</v>
      </c>
      <c r="S114" s="334">
        <f t="shared" si="37"/>
        <v>0</v>
      </c>
      <c r="T114" s="1181">
        <f t="shared" si="38"/>
        <v>0</v>
      </c>
      <c r="U114" s="1313">
        <f t="shared" si="32"/>
        <v>0</v>
      </c>
      <c r="V114" s="1313">
        <f t="shared" si="33"/>
        <v>0</v>
      </c>
      <c r="W114" s="1310"/>
      <c r="X114" s="1313">
        <f t="shared" si="34"/>
        <v>0</v>
      </c>
      <c r="Y114" s="1313">
        <f t="shared" si="35"/>
        <v>0</v>
      </c>
      <c r="Z114" s="1310"/>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-0.01</v>
      </c>
      <c r="R115" s="703">
        <f t="shared" si="36"/>
        <v>0</v>
      </c>
      <c r="S115" s="334">
        <f t="shared" si="37"/>
        <v>0</v>
      </c>
      <c r="T115" s="1181">
        <f t="shared" si="38"/>
        <v>0</v>
      </c>
      <c r="U115" s="1313">
        <f t="shared" si="32"/>
        <v>0</v>
      </c>
      <c r="V115" s="1313">
        <f t="shared" si="33"/>
        <v>0</v>
      </c>
      <c r="W115" s="1310"/>
      <c r="X115" s="1313">
        <f t="shared" si="34"/>
        <v>0</v>
      </c>
      <c r="Y115" s="1313">
        <f t="shared" si="35"/>
        <v>0</v>
      </c>
      <c r="Z115" s="1310"/>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-0.01</v>
      </c>
      <c r="R116" s="703">
        <f t="shared" si="36"/>
        <v>0</v>
      </c>
      <c r="S116" s="334">
        <f t="shared" si="37"/>
        <v>0</v>
      </c>
      <c r="T116" s="1181">
        <f t="shared" si="38"/>
        <v>0</v>
      </c>
      <c r="U116" s="1313">
        <f t="shared" si="32"/>
        <v>0</v>
      </c>
      <c r="V116" s="1313">
        <f t="shared" si="33"/>
        <v>0</v>
      </c>
      <c r="W116" s="1310"/>
      <c r="X116" s="1313">
        <f t="shared" si="34"/>
        <v>0</v>
      </c>
      <c r="Y116" s="1313">
        <f t="shared" si="35"/>
        <v>0</v>
      </c>
      <c r="Z116" s="1310"/>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-0.01</v>
      </c>
      <c r="R117" s="703">
        <f t="shared" si="36"/>
        <v>0</v>
      </c>
      <c r="S117" s="334">
        <f t="shared" si="37"/>
        <v>0</v>
      </c>
      <c r="T117" s="1181">
        <f t="shared" si="38"/>
        <v>0</v>
      </c>
      <c r="U117" s="1313">
        <f t="shared" si="32"/>
        <v>0</v>
      </c>
      <c r="V117" s="1313">
        <f t="shared" si="33"/>
        <v>0</v>
      </c>
      <c r="W117" s="1310"/>
      <c r="X117" s="1313">
        <f t="shared" si="34"/>
        <v>0</v>
      </c>
      <c r="Y117" s="1313">
        <f t="shared" si="35"/>
        <v>0</v>
      </c>
      <c r="Z117" s="1310"/>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-0.01</v>
      </c>
      <c r="R118" s="703">
        <f t="shared" si="36"/>
        <v>0</v>
      </c>
      <c r="S118" s="334">
        <f t="shared" si="37"/>
        <v>0</v>
      </c>
      <c r="T118" s="1181">
        <f t="shared" si="38"/>
        <v>0</v>
      </c>
      <c r="U118" s="1313">
        <f t="shared" si="32"/>
        <v>0</v>
      </c>
      <c r="V118" s="1313">
        <f t="shared" si="33"/>
        <v>0</v>
      </c>
      <c r="W118" s="1310"/>
      <c r="X118" s="1313">
        <f t="shared" si="34"/>
        <v>0</v>
      </c>
      <c r="Y118" s="1313">
        <f t="shared" si="35"/>
        <v>0</v>
      </c>
      <c r="Z118" s="1310"/>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-0.01</v>
      </c>
      <c r="R119" s="703">
        <f t="shared" si="36"/>
        <v>0</v>
      </c>
      <c r="S119" s="334">
        <f t="shared" si="37"/>
        <v>0</v>
      </c>
      <c r="T119" s="1181">
        <f t="shared" si="38"/>
        <v>0</v>
      </c>
      <c r="U119" s="1313">
        <f t="shared" si="32"/>
        <v>0</v>
      </c>
      <c r="V119" s="1313">
        <f t="shared" si="33"/>
        <v>0</v>
      </c>
      <c r="W119" s="1310"/>
      <c r="X119" s="1313">
        <f t="shared" si="34"/>
        <v>0</v>
      </c>
      <c r="Y119" s="1313">
        <f t="shared" si="35"/>
        <v>0</v>
      </c>
      <c r="Z119" s="1310"/>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-0.01</v>
      </c>
      <c r="R120" s="703">
        <f t="shared" si="36"/>
        <v>0</v>
      </c>
      <c r="S120" s="334">
        <f t="shared" si="37"/>
        <v>0</v>
      </c>
      <c r="T120" s="1181">
        <f t="shared" si="38"/>
        <v>0</v>
      </c>
      <c r="U120" s="1313">
        <f t="shared" si="32"/>
        <v>0</v>
      </c>
      <c r="V120" s="1313">
        <f t="shared" si="33"/>
        <v>0</v>
      </c>
      <c r="W120" s="1310"/>
      <c r="X120" s="1313">
        <f t="shared" si="34"/>
        <v>0</v>
      </c>
      <c r="Y120" s="1313">
        <f t="shared" si="35"/>
        <v>0</v>
      </c>
      <c r="Z120" s="1310"/>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-0.01</v>
      </c>
      <c r="R121" s="703">
        <f t="shared" si="36"/>
        <v>0</v>
      </c>
      <c r="S121" s="334">
        <f t="shared" si="37"/>
        <v>0</v>
      </c>
      <c r="T121" s="1181">
        <f t="shared" si="38"/>
        <v>0</v>
      </c>
      <c r="U121" s="1313">
        <f t="shared" si="32"/>
        <v>0</v>
      </c>
      <c r="V121" s="1313">
        <f t="shared" si="33"/>
        <v>0</v>
      </c>
      <c r="W121" s="1310"/>
      <c r="X121" s="1313">
        <f t="shared" si="34"/>
        <v>0</v>
      </c>
      <c r="Y121" s="1313">
        <f t="shared" si="35"/>
        <v>0</v>
      </c>
      <c r="Z121" s="1310"/>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-0.01</v>
      </c>
      <c r="R122" s="703">
        <f t="shared" si="36"/>
        <v>0</v>
      </c>
      <c r="S122" s="334">
        <f t="shared" si="37"/>
        <v>0</v>
      </c>
      <c r="T122" s="1181">
        <f t="shared" si="38"/>
        <v>0</v>
      </c>
      <c r="U122" s="1313">
        <f t="shared" si="32"/>
        <v>0</v>
      </c>
      <c r="V122" s="1313">
        <f t="shared" si="33"/>
        <v>0</v>
      </c>
      <c r="W122" s="1310"/>
      <c r="X122" s="1313">
        <f t="shared" si="34"/>
        <v>0</v>
      </c>
      <c r="Y122" s="1313">
        <f t="shared" si="35"/>
        <v>0</v>
      </c>
      <c r="Z122" s="1310"/>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-0.01</v>
      </c>
      <c r="R123" s="703">
        <f t="shared" si="36"/>
        <v>0</v>
      </c>
      <c r="S123" s="334">
        <f t="shared" si="37"/>
        <v>0</v>
      </c>
      <c r="T123" s="1181">
        <f t="shared" si="38"/>
        <v>0</v>
      </c>
      <c r="U123" s="1313">
        <f t="shared" si="32"/>
        <v>0</v>
      </c>
      <c r="V123" s="1313">
        <f t="shared" si="33"/>
        <v>0</v>
      </c>
      <c r="W123" s="1310"/>
      <c r="X123" s="1313">
        <f t="shared" si="34"/>
        <v>0</v>
      </c>
      <c r="Y123" s="1313">
        <f t="shared" si="35"/>
        <v>0</v>
      </c>
      <c r="Z123" s="1310"/>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-0.01</v>
      </c>
      <c r="R124" s="703">
        <f t="shared" si="36"/>
        <v>0</v>
      </c>
      <c r="S124" s="334">
        <f t="shared" si="37"/>
        <v>0</v>
      </c>
      <c r="T124" s="1181">
        <f t="shared" si="38"/>
        <v>0</v>
      </c>
      <c r="U124" s="1313">
        <f t="shared" si="32"/>
        <v>0</v>
      </c>
      <c r="V124" s="1313">
        <f t="shared" si="33"/>
        <v>0</v>
      </c>
      <c r="W124" s="1310"/>
      <c r="X124" s="1313">
        <f t="shared" si="34"/>
        <v>0</v>
      </c>
      <c r="Y124" s="1313">
        <f t="shared" si="35"/>
        <v>0</v>
      </c>
      <c r="Z124" s="1310"/>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-0.01</v>
      </c>
      <c r="R125" s="703">
        <f t="shared" si="36"/>
        <v>0</v>
      </c>
      <c r="S125" s="334">
        <f t="shared" si="37"/>
        <v>0</v>
      </c>
      <c r="T125" s="1181">
        <f t="shared" si="38"/>
        <v>0</v>
      </c>
      <c r="U125" s="1313">
        <f t="shared" si="32"/>
        <v>0</v>
      </c>
      <c r="V125" s="1313">
        <f t="shared" si="33"/>
        <v>0</v>
      </c>
      <c r="W125" s="1310"/>
      <c r="X125" s="1313">
        <f t="shared" si="34"/>
        <v>0</v>
      </c>
      <c r="Y125" s="1313">
        <f t="shared" si="35"/>
        <v>0</v>
      </c>
      <c r="Z125" s="1310"/>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-0.01</v>
      </c>
      <c r="R126" s="703">
        <f t="shared" si="36"/>
        <v>0</v>
      </c>
      <c r="S126" s="334">
        <f t="shared" si="37"/>
        <v>0</v>
      </c>
      <c r="T126" s="1181">
        <f t="shared" si="38"/>
        <v>0</v>
      </c>
      <c r="U126" s="1313">
        <f t="shared" si="32"/>
        <v>0</v>
      </c>
      <c r="V126" s="1313">
        <f t="shared" si="33"/>
        <v>0</v>
      </c>
      <c r="W126" s="1310"/>
      <c r="X126" s="1313">
        <f t="shared" si="34"/>
        <v>0</v>
      </c>
      <c r="Y126" s="1313">
        <f t="shared" si="35"/>
        <v>0</v>
      </c>
      <c r="Z126" s="1310"/>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-0.01</v>
      </c>
      <c r="R127" s="703">
        <f t="shared" si="36"/>
        <v>0</v>
      </c>
      <c r="S127" s="334">
        <f t="shared" si="37"/>
        <v>0</v>
      </c>
      <c r="T127" s="1181">
        <f t="shared" si="38"/>
        <v>0</v>
      </c>
      <c r="U127" s="1313">
        <f t="shared" si="32"/>
        <v>0</v>
      </c>
      <c r="V127" s="1313">
        <f t="shared" si="33"/>
        <v>0</v>
      </c>
      <c r="W127" s="1310"/>
      <c r="X127" s="1313">
        <f t="shared" si="34"/>
        <v>0</v>
      </c>
      <c r="Y127" s="1313">
        <f t="shared" si="35"/>
        <v>0</v>
      </c>
      <c r="Z127" s="1310"/>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-0.01</v>
      </c>
      <c r="R128" s="703">
        <f t="shared" si="36"/>
        <v>0</v>
      </c>
      <c r="S128" s="334">
        <f t="shared" si="37"/>
        <v>0</v>
      </c>
      <c r="T128" s="1181">
        <f t="shared" si="38"/>
        <v>0</v>
      </c>
      <c r="U128" s="1313">
        <f t="shared" si="32"/>
        <v>0</v>
      </c>
      <c r="V128" s="1313">
        <f t="shared" si="33"/>
        <v>0</v>
      </c>
      <c r="W128" s="1310"/>
      <c r="X128" s="1313">
        <f t="shared" si="34"/>
        <v>0</v>
      </c>
      <c r="Y128" s="1313">
        <f t="shared" si="35"/>
        <v>0</v>
      </c>
      <c r="Z128" s="1310"/>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-0.01</v>
      </c>
      <c r="R129" s="703">
        <f t="shared" si="36"/>
        <v>0</v>
      </c>
      <c r="S129" s="334">
        <f t="shared" si="37"/>
        <v>0</v>
      </c>
      <c r="T129" s="1181">
        <f t="shared" si="38"/>
        <v>0</v>
      </c>
      <c r="U129" s="1313">
        <f t="shared" si="32"/>
        <v>0</v>
      </c>
      <c r="V129" s="1313">
        <f t="shared" si="33"/>
        <v>0</v>
      </c>
      <c r="W129" s="1310"/>
      <c r="X129" s="1313">
        <f t="shared" si="34"/>
        <v>0</v>
      </c>
      <c r="Y129" s="1313">
        <f t="shared" si="35"/>
        <v>0</v>
      </c>
      <c r="Z129" s="1310"/>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-0.01</v>
      </c>
      <c r="R130" s="703">
        <f t="shared" si="36"/>
        <v>0</v>
      </c>
      <c r="S130" s="334">
        <f t="shared" si="37"/>
        <v>0</v>
      </c>
      <c r="T130" s="1181">
        <f t="shared" si="38"/>
        <v>0</v>
      </c>
      <c r="U130" s="1313">
        <f t="shared" si="32"/>
        <v>0</v>
      </c>
      <c r="V130" s="1313">
        <f t="shared" si="33"/>
        <v>0</v>
      </c>
      <c r="W130" s="1310"/>
      <c r="X130" s="1313">
        <f t="shared" si="34"/>
        <v>0</v>
      </c>
      <c r="Y130" s="1313">
        <f t="shared" si="35"/>
        <v>0</v>
      </c>
      <c r="Z130" s="1310"/>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-0.01</v>
      </c>
      <c r="R131" s="703">
        <f t="shared" si="36"/>
        <v>0</v>
      </c>
      <c r="S131" s="334">
        <f t="shared" si="37"/>
        <v>0</v>
      </c>
      <c r="T131" s="1181">
        <f t="shared" si="38"/>
        <v>0</v>
      </c>
      <c r="U131" s="1313">
        <f t="shared" si="32"/>
        <v>0</v>
      </c>
      <c r="V131" s="1313">
        <f t="shared" si="33"/>
        <v>0</v>
      </c>
      <c r="W131" s="1310"/>
      <c r="X131" s="1313">
        <f t="shared" si="34"/>
        <v>0</v>
      </c>
      <c r="Y131" s="1313">
        <f t="shared" si="35"/>
        <v>0</v>
      </c>
      <c r="Z131" s="1310"/>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-0.01</v>
      </c>
      <c r="R132" s="703">
        <f t="shared" si="36"/>
        <v>0</v>
      </c>
      <c r="S132" s="334">
        <f t="shared" si="37"/>
        <v>0</v>
      </c>
      <c r="T132" s="1181">
        <f t="shared" si="38"/>
        <v>0</v>
      </c>
      <c r="U132" s="1313">
        <f t="shared" si="32"/>
        <v>0</v>
      </c>
      <c r="V132" s="1313">
        <f t="shared" si="33"/>
        <v>0</v>
      </c>
      <c r="W132" s="1310"/>
      <c r="X132" s="1313">
        <f t="shared" si="34"/>
        <v>0</v>
      </c>
      <c r="Y132" s="1313">
        <f t="shared" si="35"/>
        <v>0</v>
      </c>
      <c r="Z132" s="1310"/>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-0.01</v>
      </c>
      <c r="R133" s="703">
        <f t="shared" si="36"/>
        <v>0</v>
      </c>
      <c r="S133" s="334">
        <f t="shared" si="37"/>
        <v>0</v>
      </c>
      <c r="T133" s="1181">
        <f t="shared" si="38"/>
        <v>0</v>
      </c>
      <c r="U133" s="1313">
        <f t="shared" si="32"/>
        <v>0</v>
      </c>
      <c r="V133" s="1313">
        <f t="shared" si="33"/>
        <v>0</v>
      </c>
      <c r="W133" s="1310"/>
      <c r="X133" s="1313">
        <f t="shared" si="34"/>
        <v>0</v>
      </c>
      <c r="Y133" s="1313">
        <f t="shared" si="35"/>
        <v>0</v>
      </c>
      <c r="Z133" s="1310"/>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-0.01</v>
      </c>
      <c r="R134" s="703">
        <f t="shared" si="36"/>
        <v>0</v>
      </c>
      <c r="S134" s="334">
        <f t="shared" si="37"/>
        <v>0</v>
      </c>
      <c r="T134" s="1181">
        <f t="shared" si="38"/>
        <v>0</v>
      </c>
      <c r="U134" s="1313">
        <f t="shared" si="32"/>
        <v>0</v>
      </c>
      <c r="V134" s="1313">
        <f t="shared" si="33"/>
        <v>0</v>
      </c>
      <c r="W134" s="1310"/>
      <c r="X134" s="1313">
        <f t="shared" si="34"/>
        <v>0</v>
      </c>
      <c r="Y134" s="1313">
        <f t="shared" si="35"/>
        <v>0</v>
      </c>
      <c r="Z134" s="1310"/>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-0.01</v>
      </c>
      <c r="R135" s="703">
        <f t="shared" si="36"/>
        <v>0</v>
      </c>
      <c r="S135" s="334">
        <f t="shared" si="37"/>
        <v>0</v>
      </c>
      <c r="T135" s="1181">
        <f t="shared" si="38"/>
        <v>0</v>
      </c>
      <c r="U135" s="1313">
        <f t="shared" si="32"/>
        <v>0</v>
      </c>
      <c r="V135" s="1313">
        <f t="shared" si="33"/>
        <v>0</v>
      </c>
      <c r="W135" s="1310"/>
      <c r="X135" s="1313">
        <f t="shared" si="34"/>
        <v>0</v>
      </c>
      <c r="Y135" s="1313">
        <f t="shared" si="35"/>
        <v>0</v>
      </c>
      <c r="Z135" s="1310"/>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-0.01</v>
      </c>
      <c r="R136" s="703">
        <f t="shared" si="36"/>
        <v>0</v>
      </c>
      <c r="S136" s="334">
        <f t="shared" si="37"/>
        <v>0</v>
      </c>
      <c r="T136" s="1181">
        <f t="shared" si="38"/>
        <v>0</v>
      </c>
      <c r="U136" s="1313">
        <f t="shared" si="32"/>
        <v>0</v>
      </c>
      <c r="V136" s="1313">
        <f t="shared" si="33"/>
        <v>0</v>
      </c>
      <c r="W136" s="1310"/>
      <c r="X136" s="1313">
        <f t="shared" si="34"/>
        <v>0</v>
      </c>
      <c r="Y136" s="1313">
        <f t="shared" si="35"/>
        <v>0</v>
      </c>
      <c r="Z136" s="1310"/>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-0.01</v>
      </c>
      <c r="R137" s="703">
        <f t="shared" si="36"/>
        <v>0</v>
      </c>
      <c r="S137" s="334">
        <f t="shared" si="37"/>
        <v>0</v>
      </c>
      <c r="T137" s="1181">
        <f t="shared" si="38"/>
        <v>0</v>
      </c>
      <c r="U137" s="1313">
        <f t="shared" si="32"/>
        <v>0</v>
      </c>
      <c r="V137" s="1313">
        <f t="shared" si="33"/>
        <v>0</v>
      </c>
      <c r="W137" s="1310"/>
      <c r="X137" s="1313">
        <f t="shared" si="34"/>
        <v>0</v>
      </c>
      <c r="Y137" s="1313">
        <f t="shared" si="35"/>
        <v>0</v>
      </c>
      <c r="Z137" s="1310"/>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-0.01</v>
      </c>
      <c r="R138" s="703">
        <f t="shared" si="36"/>
        <v>0</v>
      </c>
      <c r="S138" s="334">
        <f t="shared" si="37"/>
        <v>0</v>
      </c>
      <c r="T138" s="1181">
        <f t="shared" si="38"/>
        <v>0</v>
      </c>
      <c r="U138" s="1313">
        <f t="shared" si="32"/>
        <v>0</v>
      </c>
      <c r="V138" s="1313">
        <f t="shared" si="33"/>
        <v>0</v>
      </c>
      <c r="W138" s="1310"/>
      <c r="X138" s="1313">
        <f t="shared" si="34"/>
        <v>0</v>
      </c>
      <c r="Y138" s="1313">
        <f t="shared" si="35"/>
        <v>0</v>
      </c>
      <c r="Z138" s="1310"/>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-0.01</v>
      </c>
      <c r="R139" s="703">
        <f t="shared" si="36"/>
        <v>0</v>
      </c>
      <c r="S139" s="334">
        <f t="shared" si="37"/>
        <v>0</v>
      </c>
      <c r="T139" s="1181">
        <f t="shared" si="38"/>
        <v>0</v>
      </c>
      <c r="U139" s="1313">
        <f t="shared" si="32"/>
        <v>0</v>
      </c>
      <c r="V139" s="1313">
        <f t="shared" si="33"/>
        <v>0</v>
      </c>
      <c r="W139" s="1310"/>
      <c r="X139" s="1313">
        <f t="shared" si="34"/>
        <v>0</v>
      </c>
      <c r="Y139" s="1313">
        <f t="shared" si="35"/>
        <v>0</v>
      </c>
      <c r="Z139" s="1310"/>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-0.01</v>
      </c>
      <c r="R140" s="703">
        <f t="shared" si="36"/>
        <v>0</v>
      </c>
      <c r="S140" s="334">
        <f t="shared" si="37"/>
        <v>0</v>
      </c>
      <c r="T140" s="1181">
        <f t="shared" si="38"/>
        <v>0</v>
      </c>
      <c r="U140" s="1313">
        <f t="shared" si="32"/>
        <v>0</v>
      </c>
      <c r="V140" s="1313">
        <f t="shared" si="33"/>
        <v>0</v>
      </c>
      <c r="W140" s="1310"/>
      <c r="X140" s="1313">
        <f t="shared" si="34"/>
        <v>0</v>
      </c>
      <c r="Y140" s="1313">
        <f t="shared" si="35"/>
        <v>0</v>
      </c>
      <c r="Z140" s="1310"/>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-0.01</v>
      </c>
      <c r="R141" s="703">
        <f t="shared" si="36"/>
        <v>0</v>
      </c>
      <c r="S141" s="334">
        <f t="shared" si="37"/>
        <v>0</v>
      </c>
      <c r="T141" s="1181">
        <f t="shared" si="38"/>
        <v>0</v>
      </c>
      <c r="U141" s="1313">
        <f t="shared" si="32"/>
        <v>0</v>
      </c>
      <c r="V141" s="1313">
        <f t="shared" si="33"/>
        <v>0</v>
      </c>
      <c r="W141" s="1310"/>
      <c r="X141" s="1313">
        <f t="shared" si="34"/>
        <v>0</v>
      </c>
      <c r="Y141" s="1313">
        <f t="shared" si="35"/>
        <v>0</v>
      </c>
      <c r="Z141" s="1310"/>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-0.01</v>
      </c>
      <c r="R142" s="703">
        <f t="shared" si="36"/>
        <v>0</v>
      </c>
      <c r="S142" s="334">
        <f t="shared" si="37"/>
        <v>0</v>
      </c>
      <c r="T142" s="1181">
        <f t="shared" si="38"/>
        <v>0</v>
      </c>
      <c r="U142" s="1313">
        <f t="shared" si="32"/>
        <v>0</v>
      </c>
      <c r="V142" s="1313">
        <f t="shared" si="33"/>
        <v>0</v>
      </c>
      <c r="W142" s="1310"/>
      <c r="X142" s="1313">
        <f t="shared" si="34"/>
        <v>0</v>
      </c>
      <c r="Y142" s="1313">
        <f t="shared" si="35"/>
        <v>0</v>
      </c>
      <c r="Z142" s="1310"/>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-0.01</v>
      </c>
      <c r="R143" s="703">
        <f t="shared" si="36"/>
        <v>0</v>
      </c>
      <c r="S143" s="334">
        <f t="shared" si="37"/>
        <v>0</v>
      </c>
      <c r="T143" s="1181">
        <f t="shared" si="38"/>
        <v>0</v>
      </c>
      <c r="U143" s="1313">
        <f t="shared" si="32"/>
        <v>0</v>
      </c>
      <c r="V143" s="1313">
        <f t="shared" si="33"/>
        <v>0</v>
      </c>
      <c r="W143" s="1310"/>
      <c r="X143" s="1313">
        <f t="shared" si="34"/>
        <v>0</v>
      </c>
      <c r="Y143" s="1313">
        <f t="shared" si="35"/>
        <v>0</v>
      </c>
      <c r="Z143" s="1310"/>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-0.01</v>
      </c>
      <c r="R144" s="703">
        <f t="shared" si="36"/>
        <v>0</v>
      </c>
      <c r="S144" s="334">
        <f t="shared" si="37"/>
        <v>0</v>
      </c>
      <c r="T144" s="1181">
        <f t="shared" si="38"/>
        <v>0</v>
      </c>
      <c r="U144" s="1313">
        <f t="shared" si="32"/>
        <v>0</v>
      </c>
      <c r="V144" s="1313">
        <f t="shared" si="33"/>
        <v>0</v>
      </c>
      <c r="W144" s="1310"/>
      <c r="X144" s="1313">
        <f t="shared" si="34"/>
        <v>0</v>
      </c>
      <c r="Y144" s="1313">
        <f t="shared" si="35"/>
        <v>0</v>
      </c>
      <c r="Z144" s="1310"/>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-0.01</v>
      </c>
      <c r="R145" s="703">
        <f t="shared" si="36"/>
        <v>0</v>
      </c>
      <c r="S145" s="334">
        <f t="shared" si="37"/>
        <v>0</v>
      </c>
      <c r="T145" s="1181">
        <f t="shared" si="38"/>
        <v>0</v>
      </c>
      <c r="U145" s="1313">
        <f t="shared" si="32"/>
        <v>0</v>
      </c>
      <c r="V145" s="1313">
        <f t="shared" si="33"/>
        <v>0</v>
      </c>
      <c r="W145" s="1310"/>
      <c r="X145" s="1313">
        <f t="shared" si="34"/>
        <v>0</v>
      </c>
      <c r="Y145" s="1313">
        <f t="shared" si="35"/>
        <v>0</v>
      </c>
      <c r="Z145" s="1310"/>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-0.01</v>
      </c>
      <c r="R146" s="703">
        <f t="shared" si="36"/>
        <v>0</v>
      </c>
      <c r="S146" s="334">
        <f t="shared" si="37"/>
        <v>0</v>
      </c>
      <c r="T146" s="1181">
        <f t="shared" si="38"/>
        <v>0</v>
      </c>
      <c r="U146" s="1313">
        <f t="shared" si="32"/>
        <v>0</v>
      </c>
      <c r="V146" s="1313">
        <f t="shared" si="33"/>
        <v>0</v>
      </c>
      <c r="W146" s="1310"/>
      <c r="X146" s="1313">
        <f t="shared" si="34"/>
        <v>0</v>
      </c>
      <c r="Y146" s="1313">
        <f t="shared" si="35"/>
        <v>0</v>
      </c>
      <c r="Z146" s="1310"/>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-0.01</v>
      </c>
      <c r="R147" s="703">
        <f t="shared" si="36"/>
        <v>0</v>
      </c>
      <c r="S147" s="334">
        <f t="shared" si="37"/>
        <v>0</v>
      </c>
      <c r="T147" s="1181">
        <f t="shared" si="38"/>
        <v>0</v>
      </c>
      <c r="U147" s="1313">
        <f t="shared" si="32"/>
        <v>0</v>
      </c>
      <c r="V147" s="1313">
        <f t="shared" si="33"/>
        <v>0</v>
      </c>
      <c r="W147" s="1310"/>
      <c r="X147" s="1313">
        <f t="shared" si="34"/>
        <v>0</v>
      </c>
      <c r="Y147" s="1313">
        <f t="shared" si="35"/>
        <v>0</v>
      </c>
      <c r="Z147" s="1310"/>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-0.01</v>
      </c>
      <c r="R148" s="703">
        <f t="shared" si="36"/>
        <v>0</v>
      </c>
      <c r="S148" s="334">
        <f t="shared" si="37"/>
        <v>0</v>
      </c>
      <c r="T148" s="1181">
        <f t="shared" si="38"/>
        <v>0</v>
      </c>
      <c r="U148" s="1313">
        <f t="shared" si="32"/>
        <v>0</v>
      </c>
      <c r="V148" s="1313">
        <f t="shared" si="33"/>
        <v>0</v>
      </c>
      <c r="W148" s="1310"/>
      <c r="X148" s="1313">
        <f t="shared" si="34"/>
        <v>0</v>
      </c>
      <c r="Y148" s="1313">
        <f t="shared" si="35"/>
        <v>0</v>
      </c>
      <c r="Z148" s="1310"/>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-0.01</v>
      </c>
      <c r="R149" s="703">
        <f t="shared" si="36"/>
        <v>0</v>
      </c>
      <c r="S149" s="334">
        <f t="shared" si="37"/>
        <v>0</v>
      </c>
      <c r="T149" s="1181">
        <f t="shared" si="38"/>
        <v>0</v>
      </c>
      <c r="U149" s="1313">
        <f t="shared" si="32"/>
        <v>0</v>
      </c>
      <c r="V149" s="1313">
        <f t="shared" si="33"/>
        <v>0</v>
      </c>
      <c r="W149" s="1310"/>
      <c r="X149" s="1313">
        <f t="shared" si="34"/>
        <v>0</v>
      </c>
      <c r="Y149" s="1313">
        <f t="shared" si="35"/>
        <v>0</v>
      </c>
      <c r="Z149" s="1310"/>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-0.01</v>
      </c>
      <c r="R150" s="703">
        <f t="shared" si="36"/>
        <v>0</v>
      </c>
      <c r="S150" s="334">
        <f t="shared" si="37"/>
        <v>0</v>
      </c>
      <c r="T150" s="1181">
        <f t="shared" si="38"/>
        <v>0</v>
      </c>
      <c r="U150" s="1313">
        <f t="shared" si="32"/>
        <v>0</v>
      </c>
      <c r="V150" s="1313">
        <f t="shared" si="33"/>
        <v>0</v>
      </c>
      <c r="W150" s="1310"/>
      <c r="X150" s="1313">
        <f t="shared" si="34"/>
        <v>0</v>
      </c>
      <c r="Y150" s="1313">
        <f t="shared" si="35"/>
        <v>0</v>
      </c>
      <c r="Z150" s="1310"/>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-0.01</v>
      </c>
      <c r="R151" s="703">
        <f t="shared" si="36"/>
        <v>0</v>
      </c>
      <c r="S151" s="334">
        <f t="shared" si="37"/>
        <v>0</v>
      </c>
      <c r="T151" s="1181">
        <f t="shared" si="38"/>
        <v>0</v>
      </c>
      <c r="U151" s="1313">
        <f t="shared" si="32"/>
        <v>0</v>
      </c>
      <c r="V151" s="1313">
        <f t="shared" si="33"/>
        <v>0</v>
      </c>
      <c r="W151" s="1310"/>
      <c r="X151" s="1313">
        <f t="shared" si="34"/>
        <v>0</v>
      </c>
      <c r="Y151" s="1313">
        <f t="shared" si="35"/>
        <v>0</v>
      </c>
      <c r="Z151" s="1310"/>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-0.01</v>
      </c>
      <c r="R152" s="703">
        <f t="shared" si="36"/>
        <v>0</v>
      </c>
      <c r="S152" s="334">
        <f t="shared" si="37"/>
        <v>0</v>
      </c>
      <c r="T152" s="1181">
        <f t="shared" si="38"/>
        <v>0</v>
      </c>
      <c r="U152" s="1313">
        <f t="shared" si="32"/>
        <v>0</v>
      </c>
      <c r="V152" s="1313">
        <f t="shared" si="33"/>
        <v>0</v>
      </c>
      <c r="W152" s="1310"/>
      <c r="X152" s="1313">
        <f t="shared" si="34"/>
        <v>0</v>
      </c>
      <c r="Y152" s="1313">
        <f t="shared" si="35"/>
        <v>0</v>
      </c>
      <c r="Z152" s="1310"/>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-0.01</v>
      </c>
      <c r="R153" s="703">
        <f t="shared" si="36"/>
        <v>0</v>
      </c>
      <c r="S153" s="334">
        <f t="shared" si="37"/>
        <v>0</v>
      </c>
      <c r="T153" s="1181">
        <f t="shared" si="38"/>
        <v>0</v>
      </c>
      <c r="U153" s="1313">
        <f t="shared" si="32"/>
        <v>0</v>
      </c>
      <c r="V153" s="1313">
        <f t="shared" si="33"/>
        <v>0</v>
      </c>
      <c r="W153" s="1310"/>
      <c r="X153" s="1313">
        <f t="shared" si="34"/>
        <v>0</v>
      </c>
      <c r="Y153" s="1313">
        <f t="shared" si="35"/>
        <v>0</v>
      </c>
      <c r="Z153" s="1310"/>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-0.01</v>
      </c>
      <c r="R154" s="703">
        <f t="shared" si="36"/>
        <v>0</v>
      </c>
      <c r="S154" s="334">
        <f t="shared" si="37"/>
        <v>0</v>
      </c>
      <c r="T154" s="1181">
        <f t="shared" si="38"/>
        <v>0</v>
      </c>
      <c r="U154" s="1313">
        <f t="shared" si="32"/>
        <v>0</v>
      </c>
      <c r="V154" s="1313">
        <f t="shared" si="33"/>
        <v>0</v>
      </c>
      <c r="W154" s="1310"/>
      <c r="X154" s="1313">
        <f t="shared" si="34"/>
        <v>0</v>
      </c>
      <c r="Y154" s="1313">
        <f t="shared" si="35"/>
        <v>0</v>
      </c>
      <c r="Z154" s="1310"/>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-0.01</v>
      </c>
      <c r="R155" s="703">
        <f t="shared" si="36"/>
        <v>0</v>
      </c>
      <c r="S155" s="334">
        <f t="shared" si="37"/>
        <v>0</v>
      </c>
      <c r="T155" s="1181">
        <f t="shared" si="38"/>
        <v>0</v>
      </c>
      <c r="U155" s="1313">
        <f t="shared" si="32"/>
        <v>0</v>
      </c>
      <c r="V155" s="1313">
        <f t="shared" si="33"/>
        <v>0</v>
      </c>
      <c r="W155" s="1310"/>
      <c r="X155" s="1313">
        <f t="shared" si="34"/>
        <v>0</v>
      </c>
      <c r="Y155" s="1313">
        <f t="shared" si="35"/>
        <v>0</v>
      </c>
      <c r="Z155" s="1310"/>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-0.01</v>
      </c>
      <c r="R156" s="703">
        <f t="shared" si="36"/>
        <v>0</v>
      </c>
      <c r="S156" s="334">
        <f t="shared" si="37"/>
        <v>0</v>
      </c>
      <c r="T156" s="1181">
        <f t="shared" si="38"/>
        <v>0</v>
      </c>
      <c r="U156" s="1313">
        <f t="shared" ref="U156:U219" si="47">ROUND(W156*B156,0)</f>
        <v>0</v>
      </c>
      <c r="V156" s="1313">
        <f t="shared" ref="V156:V219" si="48">ROUND(W156*B156/10000,0)</f>
        <v>0</v>
      </c>
      <c r="W156" s="1310"/>
      <c r="X156" s="1313">
        <f t="shared" ref="X156:X219" si="49">ROUND(Z156*B156,0)</f>
        <v>0</v>
      </c>
      <c r="Y156" s="1313">
        <f t="shared" ref="Y156:Y219" si="50">ROUND(Z156*B156/10000,0)</f>
        <v>0</v>
      </c>
      <c r="Z156" s="1310"/>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-0.01</v>
      </c>
      <c r="R157" s="703">
        <f t="shared" ref="R157:R220" si="51">IF(B157="",0,ROUND($R$27*C157*E157*G157*I157*K157*M157*O157*Q157,0))</f>
        <v>0</v>
      </c>
      <c r="S157" s="334">
        <f t="shared" ref="S157:S220" si="52">ROUND(R157*B157,0)</f>
        <v>0</v>
      </c>
      <c r="T157" s="1181">
        <f t="shared" ref="T157:T220" si="53">ROUND(R157*B157/10000,0)</f>
        <v>0</v>
      </c>
      <c r="U157" s="1313">
        <f t="shared" si="47"/>
        <v>0</v>
      </c>
      <c r="V157" s="1313">
        <f t="shared" si="48"/>
        <v>0</v>
      </c>
      <c r="W157" s="1310"/>
      <c r="X157" s="1313">
        <f t="shared" si="49"/>
        <v>0</v>
      </c>
      <c r="Y157" s="1313">
        <f t="shared" si="50"/>
        <v>0</v>
      </c>
      <c r="Z157" s="1310"/>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-0.01</v>
      </c>
      <c r="R158" s="703">
        <f t="shared" si="51"/>
        <v>0</v>
      </c>
      <c r="S158" s="334">
        <f t="shared" si="52"/>
        <v>0</v>
      </c>
      <c r="T158" s="1181">
        <f t="shared" si="53"/>
        <v>0</v>
      </c>
      <c r="U158" s="1313">
        <f t="shared" si="47"/>
        <v>0</v>
      </c>
      <c r="V158" s="1313">
        <f t="shared" si="48"/>
        <v>0</v>
      </c>
      <c r="W158" s="1310"/>
      <c r="X158" s="1313">
        <f t="shared" si="49"/>
        <v>0</v>
      </c>
      <c r="Y158" s="1313">
        <f t="shared" si="50"/>
        <v>0</v>
      </c>
      <c r="Z158" s="1310"/>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-0.01</v>
      </c>
      <c r="R159" s="703">
        <f t="shared" si="51"/>
        <v>0</v>
      </c>
      <c r="S159" s="334">
        <f t="shared" si="52"/>
        <v>0</v>
      </c>
      <c r="T159" s="1181">
        <f t="shared" si="53"/>
        <v>0</v>
      </c>
      <c r="U159" s="1313">
        <f t="shared" si="47"/>
        <v>0</v>
      </c>
      <c r="V159" s="1313">
        <f t="shared" si="48"/>
        <v>0</v>
      </c>
      <c r="W159" s="1310"/>
      <c r="X159" s="1313">
        <f t="shared" si="49"/>
        <v>0</v>
      </c>
      <c r="Y159" s="1313">
        <f t="shared" si="50"/>
        <v>0</v>
      </c>
      <c r="Z159" s="1310"/>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-0.01</v>
      </c>
      <c r="R160" s="703">
        <f t="shared" si="51"/>
        <v>0</v>
      </c>
      <c r="S160" s="334">
        <f t="shared" si="52"/>
        <v>0</v>
      </c>
      <c r="T160" s="1181">
        <f t="shared" si="53"/>
        <v>0</v>
      </c>
      <c r="U160" s="1313">
        <f t="shared" si="47"/>
        <v>0</v>
      </c>
      <c r="V160" s="1313">
        <f t="shared" si="48"/>
        <v>0</v>
      </c>
      <c r="W160" s="1310"/>
      <c r="X160" s="1313">
        <f t="shared" si="49"/>
        <v>0</v>
      </c>
      <c r="Y160" s="1313">
        <f t="shared" si="50"/>
        <v>0</v>
      </c>
      <c r="Z160" s="1310"/>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-0.01</v>
      </c>
      <c r="R161" s="703">
        <f t="shared" si="51"/>
        <v>0</v>
      </c>
      <c r="S161" s="334">
        <f t="shared" si="52"/>
        <v>0</v>
      </c>
      <c r="T161" s="1181">
        <f t="shared" si="53"/>
        <v>0</v>
      </c>
      <c r="U161" s="1313">
        <f t="shared" si="47"/>
        <v>0</v>
      </c>
      <c r="V161" s="1313">
        <f t="shared" si="48"/>
        <v>0</v>
      </c>
      <c r="W161" s="1310"/>
      <c r="X161" s="1313">
        <f t="shared" si="49"/>
        <v>0</v>
      </c>
      <c r="Y161" s="1313">
        <f t="shared" si="50"/>
        <v>0</v>
      </c>
      <c r="Z161" s="1310"/>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-0.01</v>
      </c>
      <c r="R162" s="703">
        <f t="shared" si="51"/>
        <v>0</v>
      </c>
      <c r="S162" s="334">
        <f t="shared" si="52"/>
        <v>0</v>
      </c>
      <c r="T162" s="1181">
        <f t="shared" si="53"/>
        <v>0</v>
      </c>
      <c r="U162" s="1313">
        <f t="shared" si="47"/>
        <v>0</v>
      </c>
      <c r="V162" s="1313">
        <f t="shared" si="48"/>
        <v>0</v>
      </c>
      <c r="W162" s="1310"/>
      <c r="X162" s="1313">
        <f t="shared" si="49"/>
        <v>0</v>
      </c>
      <c r="Y162" s="1313">
        <f t="shared" si="50"/>
        <v>0</v>
      </c>
      <c r="Z162" s="1310"/>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-0.01</v>
      </c>
      <c r="R163" s="703">
        <f t="shared" si="51"/>
        <v>0</v>
      </c>
      <c r="S163" s="334">
        <f t="shared" si="52"/>
        <v>0</v>
      </c>
      <c r="T163" s="1181">
        <f t="shared" si="53"/>
        <v>0</v>
      </c>
      <c r="U163" s="1313">
        <f t="shared" si="47"/>
        <v>0</v>
      </c>
      <c r="V163" s="1313">
        <f t="shared" si="48"/>
        <v>0</v>
      </c>
      <c r="W163" s="1310"/>
      <c r="X163" s="1313">
        <f t="shared" si="49"/>
        <v>0</v>
      </c>
      <c r="Y163" s="1313">
        <f t="shared" si="50"/>
        <v>0</v>
      </c>
      <c r="Z163" s="1310"/>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-0.01</v>
      </c>
      <c r="R164" s="703">
        <f t="shared" si="51"/>
        <v>0</v>
      </c>
      <c r="S164" s="334">
        <f t="shared" si="52"/>
        <v>0</v>
      </c>
      <c r="T164" s="1181">
        <f t="shared" si="53"/>
        <v>0</v>
      </c>
      <c r="U164" s="1313">
        <f t="shared" si="47"/>
        <v>0</v>
      </c>
      <c r="V164" s="1313">
        <f t="shared" si="48"/>
        <v>0</v>
      </c>
      <c r="W164" s="1310"/>
      <c r="X164" s="1313">
        <f t="shared" si="49"/>
        <v>0</v>
      </c>
      <c r="Y164" s="1313">
        <f t="shared" si="50"/>
        <v>0</v>
      </c>
      <c r="Z164" s="1310"/>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-0.01</v>
      </c>
      <c r="R165" s="703">
        <f t="shared" si="51"/>
        <v>0</v>
      </c>
      <c r="S165" s="334">
        <f t="shared" si="52"/>
        <v>0</v>
      </c>
      <c r="T165" s="1181">
        <f t="shared" si="53"/>
        <v>0</v>
      </c>
      <c r="U165" s="1313">
        <f t="shared" si="47"/>
        <v>0</v>
      </c>
      <c r="V165" s="1313">
        <f t="shared" si="48"/>
        <v>0</v>
      </c>
      <c r="W165" s="1310"/>
      <c r="X165" s="1313">
        <f t="shared" si="49"/>
        <v>0</v>
      </c>
      <c r="Y165" s="1313">
        <f t="shared" si="50"/>
        <v>0</v>
      </c>
      <c r="Z165" s="1310"/>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-0.01</v>
      </c>
      <c r="R166" s="703">
        <f t="shared" si="51"/>
        <v>0</v>
      </c>
      <c r="S166" s="334">
        <f t="shared" si="52"/>
        <v>0</v>
      </c>
      <c r="T166" s="1181">
        <f t="shared" si="53"/>
        <v>0</v>
      </c>
      <c r="U166" s="1313">
        <f t="shared" si="47"/>
        <v>0</v>
      </c>
      <c r="V166" s="1313">
        <f t="shared" si="48"/>
        <v>0</v>
      </c>
      <c r="W166" s="1310"/>
      <c r="X166" s="1313">
        <f t="shared" si="49"/>
        <v>0</v>
      </c>
      <c r="Y166" s="1313">
        <f t="shared" si="50"/>
        <v>0</v>
      </c>
      <c r="Z166" s="1310"/>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-0.01</v>
      </c>
      <c r="R167" s="703">
        <f t="shared" si="51"/>
        <v>0</v>
      </c>
      <c r="S167" s="334">
        <f t="shared" si="52"/>
        <v>0</v>
      </c>
      <c r="T167" s="1181">
        <f t="shared" si="53"/>
        <v>0</v>
      </c>
      <c r="U167" s="1313">
        <f t="shared" si="47"/>
        <v>0</v>
      </c>
      <c r="V167" s="1313">
        <f t="shared" si="48"/>
        <v>0</v>
      </c>
      <c r="W167" s="1310"/>
      <c r="X167" s="1313">
        <f t="shared" si="49"/>
        <v>0</v>
      </c>
      <c r="Y167" s="1313">
        <f t="shared" si="50"/>
        <v>0</v>
      </c>
      <c r="Z167" s="1310"/>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-0.01</v>
      </c>
      <c r="R168" s="703">
        <f t="shared" si="51"/>
        <v>0</v>
      </c>
      <c r="S168" s="334">
        <f t="shared" si="52"/>
        <v>0</v>
      </c>
      <c r="T168" s="1181">
        <f t="shared" si="53"/>
        <v>0</v>
      </c>
      <c r="U168" s="1313">
        <f t="shared" si="47"/>
        <v>0</v>
      </c>
      <c r="V168" s="1313">
        <f t="shared" si="48"/>
        <v>0</v>
      </c>
      <c r="W168" s="1310"/>
      <c r="X168" s="1313">
        <f t="shared" si="49"/>
        <v>0</v>
      </c>
      <c r="Y168" s="1313">
        <f t="shared" si="50"/>
        <v>0</v>
      </c>
      <c r="Z168" s="1310"/>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-0.01</v>
      </c>
      <c r="R169" s="703">
        <f t="shared" si="51"/>
        <v>0</v>
      </c>
      <c r="S169" s="334">
        <f t="shared" si="52"/>
        <v>0</v>
      </c>
      <c r="T169" s="1181">
        <f t="shared" si="53"/>
        <v>0</v>
      </c>
      <c r="U169" s="1313">
        <f t="shared" si="47"/>
        <v>0</v>
      </c>
      <c r="V169" s="1313">
        <f t="shared" si="48"/>
        <v>0</v>
      </c>
      <c r="W169" s="1310"/>
      <c r="X169" s="1313">
        <f t="shared" si="49"/>
        <v>0</v>
      </c>
      <c r="Y169" s="1313">
        <f t="shared" si="50"/>
        <v>0</v>
      </c>
      <c r="Z169" s="1310"/>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-0.01</v>
      </c>
      <c r="R170" s="703">
        <f t="shared" si="51"/>
        <v>0</v>
      </c>
      <c r="S170" s="334">
        <f t="shared" si="52"/>
        <v>0</v>
      </c>
      <c r="T170" s="1181">
        <f t="shared" si="53"/>
        <v>0</v>
      </c>
      <c r="U170" s="1313">
        <f t="shared" si="47"/>
        <v>0</v>
      </c>
      <c r="V170" s="1313">
        <f t="shared" si="48"/>
        <v>0</v>
      </c>
      <c r="W170" s="1310"/>
      <c r="X170" s="1313">
        <f t="shared" si="49"/>
        <v>0</v>
      </c>
      <c r="Y170" s="1313">
        <f t="shared" si="50"/>
        <v>0</v>
      </c>
      <c r="Z170" s="1310"/>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-0.01</v>
      </c>
      <c r="R171" s="703">
        <f t="shared" si="51"/>
        <v>0</v>
      </c>
      <c r="S171" s="334">
        <f t="shared" si="52"/>
        <v>0</v>
      </c>
      <c r="T171" s="1181">
        <f t="shared" si="53"/>
        <v>0</v>
      </c>
      <c r="U171" s="1313">
        <f t="shared" si="47"/>
        <v>0</v>
      </c>
      <c r="V171" s="1313">
        <f t="shared" si="48"/>
        <v>0</v>
      </c>
      <c r="W171" s="1310"/>
      <c r="X171" s="1313">
        <f t="shared" si="49"/>
        <v>0</v>
      </c>
      <c r="Y171" s="1313">
        <f t="shared" si="50"/>
        <v>0</v>
      </c>
      <c r="Z171" s="1310"/>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-0.01</v>
      </c>
      <c r="R172" s="703">
        <f t="shared" si="51"/>
        <v>0</v>
      </c>
      <c r="S172" s="334">
        <f t="shared" si="52"/>
        <v>0</v>
      </c>
      <c r="T172" s="1181">
        <f t="shared" si="53"/>
        <v>0</v>
      </c>
      <c r="U172" s="1313">
        <f t="shared" si="47"/>
        <v>0</v>
      </c>
      <c r="V172" s="1313">
        <f t="shared" si="48"/>
        <v>0</v>
      </c>
      <c r="W172" s="1310"/>
      <c r="X172" s="1313">
        <f t="shared" si="49"/>
        <v>0</v>
      </c>
      <c r="Y172" s="1313">
        <f t="shared" si="50"/>
        <v>0</v>
      </c>
      <c r="Z172" s="1310"/>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-0.01</v>
      </c>
      <c r="R173" s="703">
        <f t="shared" si="51"/>
        <v>0</v>
      </c>
      <c r="S173" s="334">
        <f t="shared" si="52"/>
        <v>0</v>
      </c>
      <c r="T173" s="1181">
        <f t="shared" si="53"/>
        <v>0</v>
      </c>
      <c r="U173" s="1313">
        <f t="shared" si="47"/>
        <v>0</v>
      </c>
      <c r="V173" s="1313">
        <f t="shared" si="48"/>
        <v>0</v>
      </c>
      <c r="W173" s="1310"/>
      <c r="X173" s="1313">
        <f t="shared" si="49"/>
        <v>0</v>
      </c>
      <c r="Y173" s="1313">
        <f t="shared" si="50"/>
        <v>0</v>
      </c>
      <c r="Z173" s="1310"/>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-0.01</v>
      </c>
      <c r="R174" s="703">
        <f t="shared" si="51"/>
        <v>0</v>
      </c>
      <c r="S174" s="334">
        <f t="shared" si="52"/>
        <v>0</v>
      </c>
      <c r="T174" s="1181">
        <f t="shared" si="53"/>
        <v>0</v>
      </c>
      <c r="U174" s="1313">
        <f t="shared" si="47"/>
        <v>0</v>
      </c>
      <c r="V174" s="1313">
        <f t="shared" si="48"/>
        <v>0</v>
      </c>
      <c r="W174" s="1310"/>
      <c r="X174" s="1313">
        <f t="shared" si="49"/>
        <v>0</v>
      </c>
      <c r="Y174" s="1313">
        <f t="shared" si="50"/>
        <v>0</v>
      </c>
      <c r="Z174" s="1310"/>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-0.01</v>
      </c>
      <c r="R175" s="703">
        <f t="shared" si="51"/>
        <v>0</v>
      </c>
      <c r="S175" s="334">
        <f t="shared" si="52"/>
        <v>0</v>
      </c>
      <c r="T175" s="1181">
        <f t="shared" si="53"/>
        <v>0</v>
      </c>
      <c r="U175" s="1313">
        <f t="shared" si="47"/>
        <v>0</v>
      </c>
      <c r="V175" s="1313">
        <f t="shared" si="48"/>
        <v>0</v>
      </c>
      <c r="W175" s="1310"/>
      <c r="X175" s="1313">
        <f t="shared" si="49"/>
        <v>0</v>
      </c>
      <c r="Y175" s="1313">
        <f t="shared" si="50"/>
        <v>0</v>
      </c>
      <c r="Z175" s="1310"/>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-0.01</v>
      </c>
      <c r="R176" s="703">
        <f t="shared" si="51"/>
        <v>0</v>
      </c>
      <c r="S176" s="334">
        <f t="shared" si="52"/>
        <v>0</v>
      </c>
      <c r="T176" s="1181">
        <f t="shared" si="53"/>
        <v>0</v>
      </c>
      <c r="U176" s="1313">
        <f t="shared" si="47"/>
        <v>0</v>
      </c>
      <c r="V176" s="1313">
        <f t="shared" si="48"/>
        <v>0</v>
      </c>
      <c r="W176" s="1310"/>
      <c r="X176" s="1313">
        <f t="shared" si="49"/>
        <v>0</v>
      </c>
      <c r="Y176" s="1313">
        <f t="shared" si="50"/>
        <v>0</v>
      </c>
      <c r="Z176" s="1310"/>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-0.01</v>
      </c>
      <c r="R177" s="703">
        <f t="shared" si="51"/>
        <v>0</v>
      </c>
      <c r="S177" s="334">
        <f t="shared" si="52"/>
        <v>0</v>
      </c>
      <c r="T177" s="1181">
        <f t="shared" si="53"/>
        <v>0</v>
      </c>
      <c r="U177" s="1313">
        <f t="shared" si="47"/>
        <v>0</v>
      </c>
      <c r="V177" s="1313">
        <f t="shared" si="48"/>
        <v>0</v>
      </c>
      <c r="W177" s="1310"/>
      <c r="X177" s="1313">
        <f t="shared" si="49"/>
        <v>0</v>
      </c>
      <c r="Y177" s="1313">
        <f t="shared" si="50"/>
        <v>0</v>
      </c>
      <c r="Z177" s="1310"/>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-0.01</v>
      </c>
      <c r="R178" s="703">
        <f t="shared" si="51"/>
        <v>0</v>
      </c>
      <c r="S178" s="334">
        <f t="shared" si="52"/>
        <v>0</v>
      </c>
      <c r="T178" s="1181">
        <f t="shared" si="53"/>
        <v>0</v>
      </c>
      <c r="U178" s="1313">
        <f t="shared" si="47"/>
        <v>0</v>
      </c>
      <c r="V178" s="1313">
        <f t="shared" si="48"/>
        <v>0</v>
      </c>
      <c r="W178" s="1310"/>
      <c r="X178" s="1313">
        <f t="shared" si="49"/>
        <v>0</v>
      </c>
      <c r="Y178" s="1313">
        <f t="shared" si="50"/>
        <v>0</v>
      </c>
      <c r="Z178" s="1310"/>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-0.01</v>
      </c>
      <c r="R179" s="703">
        <f t="shared" si="51"/>
        <v>0</v>
      </c>
      <c r="S179" s="334">
        <f t="shared" si="52"/>
        <v>0</v>
      </c>
      <c r="T179" s="1181">
        <f t="shared" si="53"/>
        <v>0</v>
      </c>
      <c r="U179" s="1313">
        <f t="shared" si="47"/>
        <v>0</v>
      </c>
      <c r="V179" s="1313">
        <f t="shared" si="48"/>
        <v>0</v>
      </c>
      <c r="W179" s="1310"/>
      <c r="X179" s="1313">
        <f t="shared" si="49"/>
        <v>0</v>
      </c>
      <c r="Y179" s="1313">
        <f t="shared" si="50"/>
        <v>0</v>
      </c>
      <c r="Z179" s="1310"/>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-0.01</v>
      </c>
      <c r="R180" s="703">
        <f t="shared" si="51"/>
        <v>0</v>
      </c>
      <c r="S180" s="334">
        <f t="shared" si="52"/>
        <v>0</v>
      </c>
      <c r="T180" s="1181">
        <f t="shared" si="53"/>
        <v>0</v>
      </c>
      <c r="U180" s="1313">
        <f t="shared" si="47"/>
        <v>0</v>
      </c>
      <c r="V180" s="1313">
        <f t="shared" si="48"/>
        <v>0</v>
      </c>
      <c r="W180" s="1310"/>
      <c r="X180" s="1313">
        <f t="shared" si="49"/>
        <v>0</v>
      </c>
      <c r="Y180" s="1313">
        <f t="shared" si="50"/>
        <v>0</v>
      </c>
      <c r="Z180" s="1310"/>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-0.01</v>
      </c>
      <c r="R181" s="703">
        <f t="shared" si="51"/>
        <v>0</v>
      </c>
      <c r="S181" s="334">
        <f t="shared" si="52"/>
        <v>0</v>
      </c>
      <c r="T181" s="1181">
        <f t="shared" si="53"/>
        <v>0</v>
      </c>
      <c r="U181" s="1313">
        <f t="shared" si="47"/>
        <v>0</v>
      </c>
      <c r="V181" s="1313">
        <f t="shared" si="48"/>
        <v>0</v>
      </c>
      <c r="W181" s="1310"/>
      <c r="X181" s="1313">
        <f t="shared" si="49"/>
        <v>0</v>
      </c>
      <c r="Y181" s="1313">
        <f t="shared" si="50"/>
        <v>0</v>
      </c>
      <c r="Z181" s="1310"/>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-0.01</v>
      </c>
      <c r="R182" s="703">
        <f t="shared" si="51"/>
        <v>0</v>
      </c>
      <c r="S182" s="334">
        <f t="shared" si="52"/>
        <v>0</v>
      </c>
      <c r="T182" s="1181">
        <f t="shared" si="53"/>
        <v>0</v>
      </c>
      <c r="U182" s="1313">
        <f t="shared" si="47"/>
        <v>0</v>
      </c>
      <c r="V182" s="1313">
        <f t="shared" si="48"/>
        <v>0</v>
      </c>
      <c r="W182" s="1310"/>
      <c r="X182" s="1313">
        <f t="shared" si="49"/>
        <v>0</v>
      </c>
      <c r="Y182" s="1313">
        <f t="shared" si="50"/>
        <v>0</v>
      </c>
      <c r="Z182" s="1310"/>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-0.01</v>
      </c>
      <c r="R183" s="703">
        <f t="shared" si="51"/>
        <v>0</v>
      </c>
      <c r="S183" s="334">
        <f t="shared" si="52"/>
        <v>0</v>
      </c>
      <c r="T183" s="1181">
        <f t="shared" si="53"/>
        <v>0</v>
      </c>
      <c r="U183" s="1313">
        <f t="shared" si="47"/>
        <v>0</v>
      </c>
      <c r="V183" s="1313">
        <f t="shared" si="48"/>
        <v>0</v>
      </c>
      <c r="W183" s="1310"/>
      <c r="X183" s="1313">
        <f t="shared" si="49"/>
        <v>0</v>
      </c>
      <c r="Y183" s="1313">
        <f t="shared" si="50"/>
        <v>0</v>
      </c>
      <c r="Z183" s="1310"/>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-0.01</v>
      </c>
      <c r="R184" s="703">
        <f t="shared" si="51"/>
        <v>0</v>
      </c>
      <c r="S184" s="334">
        <f t="shared" si="52"/>
        <v>0</v>
      </c>
      <c r="T184" s="1181">
        <f t="shared" si="53"/>
        <v>0</v>
      </c>
      <c r="U184" s="1313">
        <f t="shared" si="47"/>
        <v>0</v>
      </c>
      <c r="V184" s="1313">
        <f t="shared" si="48"/>
        <v>0</v>
      </c>
      <c r="W184" s="1310"/>
      <c r="X184" s="1313">
        <f t="shared" si="49"/>
        <v>0</v>
      </c>
      <c r="Y184" s="1313">
        <f t="shared" si="50"/>
        <v>0</v>
      </c>
      <c r="Z184" s="1310"/>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-0.01</v>
      </c>
      <c r="R185" s="703">
        <f t="shared" si="51"/>
        <v>0</v>
      </c>
      <c r="S185" s="334">
        <f t="shared" si="52"/>
        <v>0</v>
      </c>
      <c r="T185" s="1181">
        <f t="shared" si="53"/>
        <v>0</v>
      </c>
      <c r="U185" s="1313">
        <f t="shared" si="47"/>
        <v>0</v>
      </c>
      <c r="V185" s="1313">
        <f t="shared" si="48"/>
        <v>0</v>
      </c>
      <c r="W185" s="1310"/>
      <c r="X185" s="1313">
        <f t="shared" si="49"/>
        <v>0</v>
      </c>
      <c r="Y185" s="1313">
        <f t="shared" si="50"/>
        <v>0</v>
      </c>
      <c r="Z185" s="1310"/>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-0.01</v>
      </c>
      <c r="R186" s="703">
        <f t="shared" si="51"/>
        <v>0</v>
      </c>
      <c r="S186" s="334">
        <f t="shared" si="52"/>
        <v>0</v>
      </c>
      <c r="T186" s="1181">
        <f t="shared" si="53"/>
        <v>0</v>
      </c>
      <c r="U186" s="1313">
        <f t="shared" si="47"/>
        <v>0</v>
      </c>
      <c r="V186" s="1313">
        <f t="shared" si="48"/>
        <v>0</v>
      </c>
      <c r="W186" s="1310"/>
      <c r="X186" s="1313">
        <f t="shared" si="49"/>
        <v>0</v>
      </c>
      <c r="Y186" s="1313">
        <f t="shared" si="50"/>
        <v>0</v>
      </c>
      <c r="Z186" s="1310"/>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-0.01</v>
      </c>
      <c r="R187" s="703">
        <f t="shared" si="51"/>
        <v>0</v>
      </c>
      <c r="S187" s="334">
        <f t="shared" si="52"/>
        <v>0</v>
      </c>
      <c r="T187" s="1181">
        <f t="shared" si="53"/>
        <v>0</v>
      </c>
      <c r="U187" s="1313">
        <f t="shared" si="47"/>
        <v>0</v>
      </c>
      <c r="V187" s="1313">
        <f t="shared" si="48"/>
        <v>0</v>
      </c>
      <c r="W187" s="1310"/>
      <c r="X187" s="1313">
        <f t="shared" si="49"/>
        <v>0</v>
      </c>
      <c r="Y187" s="1313">
        <f t="shared" si="50"/>
        <v>0</v>
      </c>
      <c r="Z187" s="1310"/>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-0.01</v>
      </c>
      <c r="R188" s="703">
        <f t="shared" si="51"/>
        <v>0</v>
      </c>
      <c r="S188" s="334">
        <f t="shared" si="52"/>
        <v>0</v>
      </c>
      <c r="T188" s="1181">
        <f t="shared" si="53"/>
        <v>0</v>
      </c>
      <c r="U188" s="1313">
        <f t="shared" si="47"/>
        <v>0</v>
      </c>
      <c r="V188" s="1313">
        <f t="shared" si="48"/>
        <v>0</v>
      </c>
      <c r="W188" s="1310"/>
      <c r="X188" s="1313">
        <f t="shared" si="49"/>
        <v>0</v>
      </c>
      <c r="Y188" s="1313">
        <f t="shared" si="50"/>
        <v>0</v>
      </c>
      <c r="Z188" s="1310"/>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-0.01</v>
      </c>
      <c r="R189" s="703">
        <f t="shared" si="51"/>
        <v>0</v>
      </c>
      <c r="S189" s="334">
        <f t="shared" si="52"/>
        <v>0</v>
      </c>
      <c r="T189" s="1181">
        <f t="shared" si="53"/>
        <v>0</v>
      </c>
      <c r="U189" s="1313">
        <f t="shared" si="47"/>
        <v>0</v>
      </c>
      <c r="V189" s="1313">
        <f t="shared" si="48"/>
        <v>0</v>
      </c>
      <c r="W189" s="1310"/>
      <c r="X189" s="1313">
        <f t="shared" si="49"/>
        <v>0</v>
      </c>
      <c r="Y189" s="1313">
        <f t="shared" si="50"/>
        <v>0</v>
      </c>
      <c r="Z189" s="1310"/>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-0.01</v>
      </c>
      <c r="R190" s="703">
        <f t="shared" si="51"/>
        <v>0</v>
      </c>
      <c r="S190" s="334">
        <f t="shared" si="52"/>
        <v>0</v>
      </c>
      <c r="T190" s="1181">
        <f t="shared" si="53"/>
        <v>0</v>
      </c>
      <c r="U190" s="1313">
        <f t="shared" si="47"/>
        <v>0</v>
      </c>
      <c r="V190" s="1313">
        <f t="shared" si="48"/>
        <v>0</v>
      </c>
      <c r="W190" s="1310"/>
      <c r="X190" s="1313">
        <f t="shared" si="49"/>
        <v>0</v>
      </c>
      <c r="Y190" s="1313">
        <f t="shared" si="50"/>
        <v>0</v>
      </c>
      <c r="Z190" s="1310"/>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-0.01</v>
      </c>
      <c r="R191" s="703">
        <f t="shared" si="51"/>
        <v>0</v>
      </c>
      <c r="S191" s="334">
        <f t="shared" si="52"/>
        <v>0</v>
      </c>
      <c r="T191" s="1181">
        <f t="shared" si="53"/>
        <v>0</v>
      </c>
      <c r="U191" s="1313">
        <f t="shared" si="47"/>
        <v>0</v>
      </c>
      <c r="V191" s="1313">
        <f t="shared" si="48"/>
        <v>0</v>
      </c>
      <c r="W191" s="1310"/>
      <c r="X191" s="1313">
        <f t="shared" si="49"/>
        <v>0</v>
      </c>
      <c r="Y191" s="1313">
        <f t="shared" si="50"/>
        <v>0</v>
      </c>
      <c r="Z191" s="1310"/>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-0.01</v>
      </c>
      <c r="R192" s="703">
        <f t="shared" si="51"/>
        <v>0</v>
      </c>
      <c r="S192" s="334">
        <f t="shared" si="52"/>
        <v>0</v>
      </c>
      <c r="T192" s="1181">
        <f t="shared" si="53"/>
        <v>0</v>
      </c>
      <c r="U192" s="1313">
        <f t="shared" si="47"/>
        <v>0</v>
      </c>
      <c r="V192" s="1313">
        <f t="shared" si="48"/>
        <v>0</v>
      </c>
      <c r="W192" s="1310"/>
      <c r="X192" s="1313">
        <f t="shared" si="49"/>
        <v>0</v>
      </c>
      <c r="Y192" s="1313">
        <f t="shared" si="50"/>
        <v>0</v>
      </c>
      <c r="Z192" s="1310"/>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-0.01</v>
      </c>
      <c r="R193" s="703">
        <f t="shared" si="51"/>
        <v>0</v>
      </c>
      <c r="S193" s="334">
        <f t="shared" si="52"/>
        <v>0</v>
      </c>
      <c r="T193" s="1181">
        <f t="shared" si="53"/>
        <v>0</v>
      </c>
      <c r="U193" s="1313">
        <f t="shared" si="47"/>
        <v>0</v>
      </c>
      <c r="V193" s="1313">
        <f t="shared" si="48"/>
        <v>0</v>
      </c>
      <c r="W193" s="1310"/>
      <c r="X193" s="1313">
        <f t="shared" si="49"/>
        <v>0</v>
      </c>
      <c r="Y193" s="1313">
        <f t="shared" si="50"/>
        <v>0</v>
      </c>
      <c r="Z193" s="1310"/>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-0.01</v>
      </c>
      <c r="R194" s="703">
        <f t="shared" si="51"/>
        <v>0</v>
      </c>
      <c r="S194" s="334">
        <f t="shared" si="52"/>
        <v>0</v>
      </c>
      <c r="T194" s="1181">
        <f t="shared" si="53"/>
        <v>0</v>
      </c>
      <c r="U194" s="1313">
        <f t="shared" si="47"/>
        <v>0</v>
      </c>
      <c r="V194" s="1313">
        <f t="shared" si="48"/>
        <v>0</v>
      </c>
      <c r="W194" s="1310"/>
      <c r="X194" s="1313">
        <f t="shared" si="49"/>
        <v>0</v>
      </c>
      <c r="Y194" s="1313">
        <f t="shared" si="50"/>
        <v>0</v>
      </c>
      <c r="Z194" s="1310"/>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-0.01</v>
      </c>
      <c r="R195" s="703">
        <f t="shared" si="51"/>
        <v>0</v>
      </c>
      <c r="S195" s="334">
        <f t="shared" si="52"/>
        <v>0</v>
      </c>
      <c r="T195" s="1181">
        <f t="shared" si="53"/>
        <v>0</v>
      </c>
      <c r="U195" s="1313">
        <f t="shared" si="47"/>
        <v>0</v>
      </c>
      <c r="V195" s="1313">
        <f t="shared" si="48"/>
        <v>0</v>
      </c>
      <c r="W195" s="1310"/>
      <c r="X195" s="1313">
        <f t="shared" si="49"/>
        <v>0</v>
      </c>
      <c r="Y195" s="1313">
        <f t="shared" si="50"/>
        <v>0</v>
      </c>
      <c r="Z195" s="1310"/>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-0.01</v>
      </c>
      <c r="R196" s="703">
        <f t="shared" si="51"/>
        <v>0</v>
      </c>
      <c r="S196" s="334">
        <f t="shared" si="52"/>
        <v>0</v>
      </c>
      <c r="T196" s="1181">
        <f t="shared" si="53"/>
        <v>0</v>
      </c>
      <c r="U196" s="1313">
        <f t="shared" si="47"/>
        <v>0</v>
      </c>
      <c r="V196" s="1313">
        <f t="shared" si="48"/>
        <v>0</v>
      </c>
      <c r="W196" s="1310"/>
      <c r="X196" s="1313">
        <f t="shared" si="49"/>
        <v>0</v>
      </c>
      <c r="Y196" s="1313">
        <f t="shared" si="50"/>
        <v>0</v>
      </c>
      <c r="Z196" s="1310"/>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-0.01</v>
      </c>
      <c r="R197" s="703">
        <f t="shared" si="51"/>
        <v>0</v>
      </c>
      <c r="S197" s="334">
        <f t="shared" si="52"/>
        <v>0</v>
      </c>
      <c r="T197" s="1181">
        <f t="shared" si="53"/>
        <v>0</v>
      </c>
      <c r="U197" s="1313">
        <f t="shared" si="47"/>
        <v>0</v>
      </c>
      <c r="V197" s="1313">
        <f t="shared" si="48"/>
        <v>0</v>
      </c>
      <c r="W197" s="1310"/>
      <c r="X197" s="1313">
        <f t="shared" si="49"/>
        <v>0</v>
      </c>
      <c r="Y197" s="1313">
        <f t="shared" si="50"/>
        <v>0</v>
      </c>
      <c r="Z197" s="1310"/>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-0.01</v>
      </c>
      <c r="R198" s="703">
        <f t="shared" si="51"/>
        <v>0</v>
      </c>
      <c r="S198" s="334">
        <f t="shared" si="52"/>
        <v>0</v>
      </c>
      <c r="T198" s="1181">
        <f t="shared" si="53"/>
        <v>0</v>
      </c>
      <c r="U198" s="1313">
        <f t="shared" si="47"/>
        <v>0</v>
      </c>
      <c r="V198" s="1313">
        <f t="shared" si="48"/>
        <v>0</v>
      </c>
      <c r="W198" s="1310"/>
      <c r="X198" s="1313">
        <f t="shared" si="49"/>
        <v>0</v>
      </c>
      <c r="Y198" s="1313">
        <f t="shared" si="50"/>
        <v>0</v>
      </c>
      <c r="Z198" s="1310"/>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-0.01</v>
      </c>
      <c r="R199" s="703">
        <f t="shared" si="51"/>
        <v>0</v>
      </c>
      <c r="S199" s="334">
        <f t="shared" si="52"/>
        <v>0</v>
      </c>
      <c r="T199" s="1181">
        <f t="shared" si="53"/>
        <v>0</v>
      </c>
      <c r="U199" s="1313">
        <f t="shared" si="47"/>
        <v>0</v>
      </c>
      <c r="V199" s="1313">
        <f t="shared" si="48"/>
        <v>0</v>
      </c>
      <c r="W199" s="1310"/>
      <c r="X199" s="1313">
        <f t="shared" si="49"/>
        <v>0</v>
      </c>
      <c r="Y199" s="1313">
        <f t="shared" si="50"/>
        <v>0</v>
      </c>
      <c r="Z199" s="1310"/>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-0.01</v>
      </c>
      <c r="R200" s="703">
        <f t="shared" si="51"/>
        <v>0</v>
      </c>
      <c r="S200" s="334">
        <f t="shared" si="52"/>
        <v>0</v>
      </c>
      <c r="T200" s="1181">
        <f t="shared" si="53"/>
        <v>0</v>
      </c>
      <c r="U200" s="1313">
        <f t="shared" si="47"/>
        <v>0</v>
      </c>
      <c r="V200" s="1313">
        <f t="shared" si="48"/>
        <v>0</v>
      </c>
      <c r="W200" s="1310"/>
      <c r="X200" s="1313">
        <f t="shared" si="49"/>
        <v>0</v>
      </c>
      <c r="Y200" s="1313">
        <f t="shared" si="50"/>
        <v>0</v>
      </c>
      <c r="Z200" s="1310"/>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-0.01</v>
      </c>
      <c r="R201" s="703">
        <f t="shared" si="51"/>
        <v>0</v>
      </c>
      <c r="S201" s="334">
        <f t="shared" si="52"/>
        <v>0</v>
      </c>
      <c r="T201" s="1181">
        <f t="shared" si="53"/>
        <v>0</v>
      </c>
      <c r="U201" s="1313">
        <f t="shared" si="47"/>
        <v>0</v>
      </c>
      <c r="V201" s="1313">
        <f t="shared" si="48"/>
        <v>0</v>
      </c>
      <c r="W201" s="1310"/>
      <c r="X201" s="1313">
        <f t="shared" si="49"/>
        <v>0</v>
      </c>
      <c r="Y201" s="1313">
        <f t="shared" si="50"/>
        <v>0</v>
      </c>
      <c r="Z201" s="1310"/>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-0.01</v>
      </c>
      <c r="R202" s="703">
        <f t="shared" si="51"/>
        <v>0</v>
      </c>
      <c r="S202" s="334">
        <f t="shared" si="52"/>
        <v>0</v>
      </c>
      <c r="T202" s="1181">
        <f t="shared" si="53"/>
        <v>0</v>
      </c>
      <c r="U202" s="1313">
        <f t="shared" si="47"/>
        <v>0</v>
      </c>
      <c r="V202" s="1313">
        <f t="shared" si="48"/>
        <v>0</v>
      </c>
      <c r="W202" s="1310"/>
      <c r="X202" s="1313">
        <f t="shared" si="49"/>
        <v>0</v>
      </c>
      <c r="Y202" s="1313">
        <f t="shared" si="50"/>
        <v>0</v>
      </c>
      <c r="Z202" s="1310"/>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-0.01</v>
      </c>
      <c r="R203" s="703">
        <f t="shared" si="51"/>
        <v>0</v>
      </c>
      <c r="S203" s="334">
        <f t="shared" si="52"/>
        <v>0</v>
      </c>
      <c r="T203" s="1181">
        <f t="shared" si="53"/>
        <v>0</v>
      </c>
      <c r="U203" s="1313">
        <f t="shared" si="47"/>
        <v>0</v>
      </c>
      <c r="V203" s="1313">
        <f t="shared" si="48"/>
        <v>0</v>
      </c>
      <c r="W203" s="1310"/>
      <c r="X203" s="1313">
        <f t="shared" si="49"/>
        <v>0</v>
      </c>
      <c r="Y203" s="1313">
        <f t="shared" si="50"/>
        <v>0</v>
      </c>
      <c r="Z203" s="1310"/>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-0.01</v>
      </c>
      <c r="R204" s="703">
        <f t="shared" si="51"/>
        <v>0</v>
      </c>
      <c r="S204" s="334">
        <f t="shared" si="52"/>
        <v>0</v>
      </c>
      <c r="T204" s="1181">
        <f t="shared" si="53"/>
        <v>0</v>
      </c>
      <c r="U204" s="1313">
        <f t="shared" si="47"/>
        <v>0</v>
      </c>
      <c r="V204" s="1313">
        <f t="shared" si="48"/>
        <v>0</v>
      </c>
      <c r="W204" s="1310"/>
      <c r="X204" s="1313">
        <f t="shared" si="49"/>
        <v>0</v>
      </c>
      <c r="Y204" s="1313">
        <f t="shared" si="50"/>
        <v>0</v>
      </c>
      <c r="Z204" s="1310"/>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-0.01</v>
      </c>
      <c r="R205" s="703">
        <f t="shared" si="51"/>
        <v>0</v>
      </c>
      <c r="S205" s="334">
        <f t="shared" si="52"/>
        <v>0</v>
      </c>
      <c r="T205" s="1181">
        <f t="shared" si="53"/>
        <v>0</v>
      </c>
      <c r="U205" s="1313">
        <f t="shared" si="47"/>
        <v>0</v>
      </c>
      <c r="V205" s="1313">
        <f t="shared" si="48"/>
        <v>0</v>
      </c>
      <c r="W205" s="1310"/>
      <c r="X205" s="1313">
        <f t="shared" si="49"/>
        <v>0</v>
      </c>
      <c r="Y205" s="1313">
        <f t="shared" si="50"/>
        <v>0</v>
      </c>
      <c r="Z205" s="1310"/>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-0.01</v>
      </c>
      <c r="R206" s="703">
        <f t="shared" si="51"/>
        <v>0</v>
      </c>
      <c r="S206" s="334">
        <f t="shared" si="52"/>
        <v>0</v>
      </c>
      <c r="T206" s="1181">
        <f t="shared" si="53"/>
        <v>0</v>
      </c>
      <c r="U206" s="1313">
        <f t="shared" si="47"/>
        <v>0</v>
      </c>
      <c r="V206" s="1313">
        <f t="shared" si="48"/>
        <v>0</v>
      </c>
      <c r="W206" s="1310"/>
      <c r="X206" s="1313">
        <f t="shared" si="49"/>
        <v>0</v>
      </c>
      <c r="Y206" s="1313">
        <f t="shared" si="50"/>
        <v>0</v>
      </c>
      <c r="Z206" s="1310"/>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-0.01</v>
      </c>
      <c r="R207" s="703">
        <f t="shared" si="51"/>
        <v>0</v>
      </c>
      <c r="S207" s="334">
        <f t="shared" si="52"/>
        <v>0</v>
      </c>
      <c r="T207" s="1181">
        <f t="shared" si="53"/>
        <v>0</v>
      </c>
      <c r="U207" s="1313">
        <f t="shared" si="47"/>
        <v>0</v>
      </c>
      <c r="V207" s="1313">
        <f t="shared" si="48"/>
        <v>0</v>
      </c>
      <c r="W207" s="1310"/>
      <c r="X207" s="1313">
        <f t="shared" si="49"/>
        <v>0</v>
      </c>
      <c r="Y207" s="1313">
        <f t="shared" si="50"/>
        <v>0</v>
      </c>
      <c r="Z207" s="1310"/>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-0.01</v>
      </c>
      <c r="R208" s="703">
        <f t="shared" si="51"/>
        <v>0</v>
      </c>
      <c r="S208" s="334">
        <f t="shared" si="52"/>
        <v>0</v>
      </c>
      <c r="T208" s="1181">
        <f t="shared" si="53"/>
        <v>0</v>
      </c>
      <c r="U208" s="1313">
        <f t="shared" si="47"/>
        <v>0</v>
      </c>
      <c r="V208" s="1313">
        <f t="shared" si="48"/>
        <v>0</v>
      </c>
      <c r="W208" s="1310"/>
      <c r="X208" s="1313">
        <f t="shared" si="49"/>
        <v>0</v>
      </c>
      <c r="Y208" s="1313">
        <f t="shared" si="50"/>
        <v>0</v>
      </c>
      <c r="Z208" s="1310"/>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-0.01</v>
      </c>
      <c r="R209" s="703">
        <f t="shared" si="51"/>
        <v>0</v>
      </c>
      <c r="S209" s="334">
        <f t="shared" si="52"/>
        <v>0</v>
      </c>
      <c r="T209" s="1181">
        <f t="shared" si="53"/>
        <v>0</v>
      </c>
      <c r="U209" s="1313">
        <f t="shared" si="47"/>
        <v>0</v>
      </c>
      <c r="V209" s="1313">
        <f t="shared" si="48"/>
        <v>0</v>
      </c>
      <c r="W209" s="1310"/>
      <c r="X209" s="1313">
        <f t="shared" si="49"/>
        <v>0</v>
      </c>
      <c r="Y209" s="1313">
        <f t="shared" si="50"/>
        <v>0</v>
      </c>
      <c r="Z209" s="1310"/>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-0.01</v>
      </c>
      <c r="R210" s="703">
        <f t="shared" si="51"/>
        <v>0</v>
      </c>
      <c r="S210" s="334">
        <f t="shared" si="52"/>
        <v>0</v>
      </c>
      <c r="T210" s="1181">
        <f t="shared" si="53"/>
        <v>0</v>
      </c>
      <c r="U210" s="1313">
        <f t="shared" si="47"/>
        <v>0</v>
      </c>
      <c r="V210" s="1313">
        <f t="shared" si="48"/>
        <v>0</v>
      </c>
      <c r="W210" s="1310"/>
      <c r="X210" s="1313">
        <f t="shared" si="49"/>
        <v>0</v>
      </c>
      <c r="Y210" s="1313">
        <f t="shared" si="50"/>
        <v>0</v>
      </c>
      <c r="Z210" s="1310"/>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-0.01</v>
      </c>
      <c r="R211" s="703">
        <f t="shared" si="51"/>
        <v>0</v>
      </c>
      <c r="S211" s="334">
        <f t="shared" si="52"/>
        <v>0</v>
      </c>
      <c r="T211" s="1181">
        <f t="shared" si="53"/>
        <v>0</v>
      </c>
      <c r="U211" s="1313">
        <f t="shared" si="47"/>
        <v>0</v>
      </c>
      <c r="V211" s="1313">
        <f t="shared" si="48"/>
        <v>0</v>
      </c>
      <c r="W211" s="1310"/>
      <c r="X211" s="1313">
        <f t="shared" si="49"/>
        <v>0</v>
      </c>
      <c r="Y211" s="1313">
        <f t="shared" si="50"/>
        <v>0</v>
      </c>
      <c r="Z211" s="1310"/>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-0.01</v>
      </c>
      <c r="R212" s="703">
        <f t="shared" si="51"/>
        <v>0</v>
      </c>
      <c r="S212" s="334">
        <f t="shared" si="52"/>
        <v>0</v>
      </c>
      <c r="T212" s="1181">
        <f t="shared" si="53"/>
        <v>0</v>
      </c>
      <c r="U212" s="1313">
        <f t="shared" si="47"/>
        <v>0</v>
      </c>
      <c r="V212" s="1313">
        <f t="shared" si="48"/>
        <v>0</v>
      </c>
      <c r="W212" s="1310"/>
      <c r="X212" s="1313">
        <f t="shared" si="49"/>
        <v>0</v>
      </c>
      <c r="Y212" s="1313">
        <f t="shared" si="50"/>
        <v>0</v>
      </c>
      <c r="Z212" s="1310"/>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-0.01</v>
      </c>
      <c r="R213" s="703">
        <f t="shared" si="51"/>
        <v>0</v>
      </c>
      <c r="S213" s="334">
        <f t="shared" si="52"/>
        <v>0</v>
      </c>
      <c r="T213" s="1181">
        <f t="shared" si="53"/>
        <v>0</v>
      </c>
      <c r="U213" s="1313">
        <f t="shared" si="47"/>
        <v>0</v>
      </c>
      <c r="V213" s="1313">
        <f t="shared" si="48"/>
        <v>0</v>
      </c>
      <c r="W213" s="1310"/>
      <c r="X213" s="1313">
        <f t="shared" si="49"/>
        <v>0</v>
      </c>
      <c r="Y213" s="1313">
        <f t="shared" si="50"/>
        <v>0</v>
      </c>
      <c r="Z213" s="1310"/>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-0.01</v>
      </c>
      <c r="R214" s="703">
        <f t="shared" si="51"/>
        <v>0</v>
      </c>
      <c r="S214" s="334">
        <f t="shared" si="52"/>
        <v>0</v>
      </c>
      <c r="T214" s="1181">
        <f t="shared" si="53"/>
        <v>0</v>
      </c>
      <c r="U214" s="1313">
        <f t="shared" si="47"/>
        <v>0</v>
      </c>
      <c r="V214" s="1313">
        <f t="shared" si="48"/>
        <v>0</v>
      </c>
      <c r="W214" s="1310"/>
      <c r="X214" s="1313">
        <f t="shared" si="49"/>
        <v>0</v>
      </c>
      <c r="Y214" s="1313">
        <f t="shared" si="50"/>
        <v>0</v>
      </c>
      <c r="Z214" s="1310"/>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-0.01</v>
      </c>
      <c r="R215" s="703">
        <f t="shared" si="51"/>
        <v>0</v>
      </c>
      <c r="S215" s="334">
        <f t="shared" si="52"/>
        <v>0</v>
      </c>
      <c r="T215" s="1181">
        <f t="shared" si="53"/>
        <v>0</v>
      </c>
      <c r="U215" s="1313">
        <f t="shared" si="47"/>
        <v>0</v>
      </c>
      <c r="V215" s="1313">
        <f t="shared" si="48"/>
        <v>0</v>
      </c>
      <c r="W215" s="1310"/>
      <c r="X215" s="1313">
        <f t="shared" si="49"/>
        <v>0</v>
      </c>
      <c r="Y215" s="1313">
        <f t="shared" si="50"/>
        <v>0</v>
      </c>
      <c r="Z215" s="1310"/>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-0.01</v>
      </c>
      <c r="R216" s="703">
        <f t="shared" si="51"/>
        <v>0</v>
      </c>
      <c r="S216" s="334">
        <f t="shared" si="52"/>
        <v>0</v>
      </c>
      <c r="T216" s="1181">
        <f t="shared" si="53"/>
        <v>0</v>
      </c>
      <c r="U216" s="1313">
        <f t="shared" si="47"/>
        <v>0</v>
      </c>
      <c r="V216" s="1313">
        <f t="shared" si="48"/>
        <v>0</v>
      </c>
      <c r="W216" s="1310"/>
      <c r="X216" s="1313">
        <f t="shared" si="49"/>
        <v>0</v>
      </c>
      <c r="Y216" s="1313">
        <f t="shared" si="50"/>
        <v>0</v>
      </c>
      <c r="Z216" s="1310"/>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-0.01</v>
      </c>
      <c r="R217" s="703">
        <f t="shared" si="51"/>
        <v>0</v>
      </c>
      <c r="S217" s="334">
        <f t="shared" si="52"/>
        <v>0</v>
      </c>
      <c r="T217" s="1181">
        <f t="shared" si="53"/>
        <v>0</v>
      </c>
      <c r="U217" s="1313">
        <f t="shared" si="47"/>
        <v>0</v>
      </c>
      <c r="V217" s="1313">
        <f t="shared" si="48"/>
        <v>0</v>
      </c>
      <c r="W217" s="1310"/>
      <c r="X217" s="1313">
        <f t="shared" si="49"/>
        <v>0</v>
      </c>
      <c r="Y217" s="1313">
        <f t="shared" si="50"/>
        <v>0</v>
      </c>
      <c r="Z217" s="1310"/>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-0.01</v>
      </c>
      <c r="R218" s="703">
        <f t="shared" si="51"/>
        <v>0</v>
      </c>
      <c r="S218" s="334">
        <f t="shared" si="52"/>
        <v>0</v>
      </c>
      <c r="T218" s="1181">
        <f t="shared" si="53"/>
        <v>0</v>
      </c>
      <c r="U218" s="1313">
        <f t="shared" si="47"/>
        <v>0</v>
      </c>
      <c r="V218" s="1313">
        <f t="shared" si="48"/>
        <v>0</v>
      </c>
      <c r="W218" s="1310"/>
      <c r="X218" s="1313">
        <f t="shared" si="49"/>
        <v>0</v>
      </c>
      <c r="Y218" s="1313">
        <f t="shared" si="50"/>
        <v>0</v>
      </c>
      <c r="Z218" s="1310"/>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-0.01</v>
      </c>
      <c r="R219" s="703">
        <f t="shared" si="51"/>
        <v>0</v>
      </c>
      <c r="S219" s="334">
        <f t="shared" si="52"/>
        <v>0</v>
      </c>
      <c r="T219" s="1181">
        <f t="shared" si="53"/>
        <v>0</v>
      </c>
      <c r="U219" s="1313">
        <f t="shared" si="47"/>
        <v>0</v>
      </c>
      <c r="V219" s="1313">
        <f t="shared" si="48"/>
        <v>0</v>
      </c>
      <c r="W219" s="1310"/>
      <c r="X219" s="1313">
        <f t="shared" si="49"/>
        <v>0</v>
      </c>
      <c r="Y219" s="1313">
        <f t="shared" si="50"/>
        <v>0</v>
      </c>
      <c r="Z219" s="1310"/>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-0.01</v>
      </c>
      <c r="R220" s="703">
        <f t="shared" si="51"/>
        <v>0</v>
      </c>
      <c r="S220" s="334">
        <f t="shared" si="52"/>
        <v>0</v>
      </c>
      <c r="T220" s="1181">
        <f t="shared" si="53"/>
        <v>0</v>
      </c>
      <c r="U220" s="1313">
        <f t="shared" ref="U220:U283" si="62">ROUND(W220*B220,0)</f>
        <v>0</v>
      </c>
      <c r="V220" s="1313">
        <f t="shared" ref="V220:V283" si="63">ROUND(W220*B220/10000,0)</f>
        <v>0</v>
      </c>
      <c r="W220" s="1310"/>
      <c r="X220" s="1313">
        <f t="shared" ref="X220:X283" si="64">ROUND(Z220*B220,0)</f>
        <v>0</v>
      </c>
      <c r="Y220" s="1313">
        <f t="shared" ref="Y220:Y283" si="65">ROUND(Z220*B220/10000,0)</f>
        <v>0</v>
      </c>
      <c r="Z220" s="1310"/>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-0.01</v>
      </c>
      <c r="R221" s="703">
        <f t="shared" ref="R221:R284" si="66">IF(B221="",0,ROUND($R$27*C221*E221*G221*I221*K221*M221*O221*Q221,0))</f>
        <v>0</v>
      </c>
      <c r="S221" s="334">
        <f t="shared" ref="S221:S284" si="67">ROUND(R221*B221,0)</f>
        <v>0</v>
      </c>
      <c r="T221" s="1181">
        <f t="shared" ref="T221:T284" si="68">ROUND(R221*B221/10000,0)</f>
        <v>0</v>
      </c>
      <c r="U221" s="1313">
        <f t="shared" si="62"/>
        <v>0</v>
      </c>
      <c r="V221" s="1313">
        <f t="shared" si="63"/>
        <v>0</v>
      </c>
      <c r="W221" s="1310"/>
      <c r="X221" s="1313">
        <f t="shared" si="64"/>
        <v>0</v>
      </c>
      <c r="Y221" s="1313">
        <f t="shared" si="65"/>
        <v>0</v>
      </c>
      <c r="Z221" s="1310"/>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-0.01</v>
      </c>
      <c r="R222" s="703">
        <f t="shared" si="66"/>
        <v>0</v>
      </c>
      <c r="S222" s="334">
        <f t="shared" si="67"/>
        <v>0</v>
      </c>
      <c r="T222" s="1181">
        <f t="shared" si="68"/>
        <v>0</v>
      </c>
      <c r="U222" s="1313">
        <f t="shared" si="62"/>
        <v>0</v>
      </c>
      <c r="V222" s="1313">
        <f t="shared" si="63"/>
        <v>0</v>
      </c>
      <c r="W222" s="1310"/>
      <c r="X222" s="1313">
        <f t="shared" si="64"/>
        <v>0</v>
      </c>
      <c r="Y222" s="1313">
        <f t="shared" si="65"/>
        <v>0</v>
      </c>
      <c r="Z222" s="1310"/>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-0.01</v>
      </c>
      <c r="R223" s="703">
        <f t="shared" si="66"/>
        <v>0</v>
      </c>
      <c r="S223" s="334">
        <f t="shared" si="67"/>
        <v>0</v>
      </c>
      <c r="T223" s="1181">
        <f t="shared" si="68"/>
        <v>0</v>
      </c>
      <c r="U223" s="1313">
        <f t="shared" si="62"/>
        <v>0</v>
      </c>
      <c r="V223" s="1313">
        <f t="shared" si="63"/>
        <v>0</v>
      </c>
      <c r="W223" s="1310"/>
      <c r="X223" s="1313">
        <f t="shared" si="64"/>
        <v>0</v>
      </c>
      <c r="Y223" s="1313">
        <f t="shared" si="65"/>
        <v>0</v>
      </c>
      <c r="Z223" s="1310"/>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-0.01</v>
      </c>
      <c r="R224" s="703">
        <f t="shared" si="66"/>
        <v>0</v>
      </c>
      <c r="S224" s="334">
        <f t="shared" si="67"/>
        <v>0</v>
      </c>
      <c r="T224" s="1181">
        <f t="shared" si="68"/>
        <v>0</v>
      </c>
      <c r="U224" s="1313">
        <f t="shared" si="62"/>
        <v>0</v>
      </c>
      <c r="V224" s="1313">
        <f t="shared" si="63"/>
        <v>0</v>
      </c>
      <c r="W224" s="1310"/>
      <c r="X224" s="1313">
        <f t="shared" si="64"/>
        <v>0</v>
      </c>
      <c r="Y224" s="1313">
        <f t="shared" si="65"/>
        <v>0</v>
      </c>
      <c r="Z224" s="1310"/>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-0.01</v>
      </c>
      <c r="R225" s="703">
        <f t="shared" si="66"/>
        <v>0</v>
      </c>
      <c r="S225" s="334">
        <f t="shared" si="67"/>
        <v>0</v>
      </c>
      <c r="T225" s="1181">
        <f t="shared" si="68"/>
        <v>0</v>
      </c>
      <c r="U225" s="1313">
        <f t="shared" si="62"/>
        <v>0</v>
      </c>
      <c r="V225" s="1313">
        <f t="shared" si="63"/>
        <v>0</v>
      </c>
      <c r="W225" s="1310"/>
      <c r="X225" s="1313">
        <f t="shared" si="64"/>
        <v>0</v>
      </c>
      <c r="Y225" s="1313">
        <f t="shared" si="65"/>
        <v>0</v>
      </c>
      <c r="Z225" s="1310"/>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-0.01</v>
      </c>
      <c r="R226" s="703">
        <f t="shared" si="66"/>
        <v>0</v>
      </c>
      <c r="S226" s="334">
        <f t="shared" si="67"/>
        <v>0</v>
      </c>
      <c r="T226" s="1181">
        <f t="shared" si="68"/>
        <v>0</v>
      </c>
      <c r="U226" s="1313">
        <f t="shared" si="62"/>
        <v>0</v>
      </c>
      <c r="V226" s="1313">
        <f t="shared" si="63"/>
        <v>0</v>
      </c>
      <c r="W226" s="1310"/>
      <c r="X226" s="1313">
        <f t="shared" si="64"/>
        <v>0</v>
      </c>
      <c r="Y226" s="1313">
        <f t="shared" si="65"/>
        <v>0</v>
      </c>
      <c r="Z226" s="1310"/>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-0.01</v>
      </c>
      <c r="R227" s="703">
        <f t="shared" si="66"/>
        <v>0</v>
      </c>
      <c r="S227" s="334">
        <f t="shared" si="67"/>
        <v>0</v>
      </c>
      <c r="T227" s="1181">
        <f t="shared" si="68"/>
        <v>0</v>
      </c>
      <c r="U227" s="1313">
        <f t="shared" si="62"/>
        <v>0</v>
      </c>
      <c r="V227" s="1313">
        <f t="shared" si="63"/>
        <v>0</v>
      </c>
      <c r="W227" s="1310"/>
      <c r="X227" s="1313">
        <f t="shared" si="64"/>
        <v>0</v>
      </c>
      <c r="Y227" s="1313">
        <f t="shared" si="65"/>
        <v>0</v>
      </c>
      <c r="Z227" s="1310"/>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-0.01</v>
      </c>
      <c r="R228" s="703">
        <f t="shared" si="66"/>
        <v>0</v>
      </c>
      <c r="S228" s="334">
        <f t="shared" si="67"/>
        <v>0</v>
      </c>
      <c r="T228" s="1181">
        <f t="shared" si="68"/>
        <v>0</v>
      </c>
      <c r="U228" s="1313">
        <f t="shared" si="62"/>
        <v>0</v>
      </c>
      <c r="V228" s="1313">
        <f t="shared" si="63"/>
        <v>0</v>
      </c>
      <c r="W228" s="1310"/>
      <c r="X228" s="1313">
        <f t="shared" si="64"/>
        <v>0</v>
      </c>
      <c r="Y228" s="1313">
        <f t="shared" si="65"/>
        <v>0</v>
      </c>
      <c r="Z228" s="1310"/>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-0.01</v>
      </c>
      <c r="R229" s="703">
        <f t="shared" si="66"/>
        <v>0</v>
      </c>
      <c r="S229" s="334">
        <f t="shared" si="67"/>
        <v>0</v>
      </c>
      <c r="T229" s="1181">
        <f t="shared" si="68"/>
        <v>0</v>
      </c>
      <c r="U229" s="1313">
        <f t="shared" si="62"/>
        <v>0</v>
      </c>
      <c r="V229" s="1313">
        <f t="shared" si="63"/>
        <v>0</v>
      </c>
      <c r="W229" s="1310"/>
      <c r="X229" s="1313">
        <f t="shared" si="64"/>
        <v>0</v>
      </c>
      <c r="Y229" s="1313">
        <f t="shared" si="65"/>
        <v>0</v>
      </c>
      <c r="Z229" s="1310"/>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-0.01</v>
      </c>
      <c r="R230" s="703">
        <f t="shared" si="66"/>
        <v>0</v>
      </c>
      <c r="S230" s="334">
        <f t="shared" si="67"/>
        <v>0</v>
      </c>
      <c r="T230" s="1181">
        <f t="shared" si="68"/>
        <v>0</v>
      </c>
      <c r="U230" s="1313">
        <f t="shared" si="62"/>
        <v>0</v>
      </c>
      <c r="V230" s="1313">
        <f t="shared" si="63"/>
        <v>0</v>
      </c>
      <c r="W230" s="1310"/>
      <c r="X230" s="1313">
        <f t="shared" si="64"/>
        <v>0</v>
      </c>
      <c r="Y230" s="1313">
        <f t="shared" si="65"/>
        <v>0</v>
      </c>
      <c r="Z230" s="1310"/>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-0.01</v>
      </c>
      <c r="R231" s="703">
        <f t="shared" si="66"/>
        <v>0</v>
      </c>
      <c r="S231" s="334">
        <f t="shared" si="67"/>
        <v>0</v>
      </c>
      <c r="T231" s="1181">
        <f t="shared" si="68"/>
        <v>0</v>
      </c>
      <c r="U231" s="1313">
        <f t="shared" si="62"/>
        <v>0</v>
      </c>
      <c r="V231" s="1313">
        <f t="shared" si="63"/>
        <v>0</v>
      </c>
      <c r="W231" s="1310"/>
      <c r="X231" s="1313">
        <f t="shared" si="64"/>
        <v>0</v>
      </c>
      <c r="Y231" s="1313">
        <f t="shared" si="65"/>
        <v>0</v>
      </c>
      <c r="Z231" s="1310"/>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-0.01</v>
      </c>
      <c r="R232" s="703">
        <f t="shared" si="66"/>
        <v>0</v>
      </c>
      <c r="S232" s="334">
        <f t="shared" si="67"/>
        <v>0</v>
      </c>
      <c r="T232" s="1181">
        <f t="shared" si="68"/>
        <v>0</v>
      </c>
      <c r="U232" s="1313">
        <f t="shared" si="62"/>
        <v>0</v>
      </c>
      <c r="V232" s="1313">
        <f t="shared" si="63"/>
        <v>0</v>
      </c>
      <c r="W232" s="1310"/>
      <c r="X232" s="1313">
        <f t="shared" si="64"/>
        <v>0</v>
      </c>
      <c r="Y232" s="1313">
        <f t="shared" si="65"/>
        <v>0</v>
      </c>
      <c r="Z232" s="1310"/>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-0.01</v>
      </c>
      <c r="R233" s="703">
        <f t="shared" si="66"/>
        <v>0</v>
      </c>
      <c r="S233" s="334">
        <f t="shared" si="67"/>
        <v>0</v>
      </c>
      <c r="T233" s="1181">
        <f t="shared" si="68"/>
        <v>0</v>
      </c>
      <c r="U233" s="1313">
        <f t="shared" si="62"/>
        <v>0</v>
      </c>
      <c r="V233" s="1313">
        <f t="shared" si="63"/>
        <v>0</v>
      </c>
      <c r="W233" s="1310"/>
      <c r="X233" s="1313">
        <f t="shared" si="64"/>
        <v>0</v>
      </c>
      <c r="Y233" s="1313">
        <f t="shared" si="65"/>
        <v>0</v>
      </c>
      <c r="Z233" s="1310"/>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-0.01</v>
      </c>
      <c r="R234" s="703">
        <f t="shared" si="66"/>
        <v>0</v>
      </c>
      <c r="S234" s="334">
        <f t="shared" si="67"/>
        <v>0</v>
      </c>
      <c r="T234" s="1181">
        <f t="shared" si="68"/>
        <v>0</v>
      </c>
      <c r="U234" s="1313">
        <f t="shared" si="62"/>
        <v>0</v>
      </c>
      <c r="V234" s="1313">
        <f t="shared" si="63"/>
        <v>0</v>
      </c>
      <c r="W234" s="1310"/>
      <c r="X234" s="1313">
        <f t="shared" si="64"/>
        <v>0</v>
      </c>
      <c r="Y234" s="1313">
        <f t="shared" si="65"/>
        <v>0</v>
      </c>
      <c r="Z234" s="1310"/>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-0.01</v>
      </c>
      <c r="R235" s="703">
        <f t="shared" si="66"/>
        <v>0</v>
      </c>
      <c r="S235" s="334">
        <f t="shared" si="67"/>
        <v>0</v>
      </c>
      <c r="T235" s="1181">
        <f t="shared" si="68"/>
        <v>0</v>
      </c>
      <c r="U235" s="1313">
        <f t="shared" si="62"/>
        <v>0</v>
      </c>
      <c r="V235" s="1313">
        <f t="shared" si="63"/>
        <v>0</v>
      </c>
      <c r="W235" s="1310"/>
      <c r="X235" s="1313">
        <f t="shared" si="64"/>
        <v>0</v>
      </c>
      <c r="Y235" s="1313">
        <f t="shared" si="65"/>
        <v>0</v>
      </c>
      <c r="Z235" s="1310"/>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-0.01</v>
      </c>
      <c r="R236" s="703">
        <f t="shared" si="66"/>
        <v>0</v>
      </c>
      <c r="S236" s="334">
        <f t="shared" si="67"/>
        <v>0</v>
      </c>
      <c r="T236" s="1181">
        <f t="shared" si="68"/>
        <v>0</v>
      </c>
      <c r="U236" s="1313">
        <f t="shared" si="62"/>
        <v>0</v>
      </c>
      <c r="V236" s="1313">
        <f t="shared" si="63"/>
        <v>0</v>
      </c>
      <c r="W236" s="1310"/>
      <c r="X236" s="1313">
        <f t="shared" si="64"/>
        <v>0</v>
      </c>
      <c r="Y236" s="1313">
        <f t="shared" si="65"/>
        <v>0</v>
      </c>
      <c r="Z236" s="1310"/>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-0.01</v>
      </c>
      <c r="R237" s="703">
        <f t="shared" si="66"/>
        <v>0</v>
      </c>
      <c r="S237" s="334">
        <f t="shared" si="67"/>
        <v>0</v>
      </c>
      <c r="T237" s="1181">
        <f t="shared" si="68"/>
        <v>0</v>
      </c>
      <c r="U237" s="1313">
        <f t="shared" si="62"/>
        <v>0</v>
      </c>
      <c r="V237" s="1313">
        <f t="shared" si="63"/>
        <v>0</v>
      </c>
      <c r="W237" s="1310"/>
      <c r="X237" s="1313">
        <f t="shared" si="64"/>
        <v>0</v>
      </c>
      <c r="Y237" s="1313">
        <f t="shared" si="65"/>
        <v>0</v>
      </c>
      <c r="Z237" s="1310"/>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-0.01</v>
      </c>
      <c r="R238" s="703">
        <f t="shared" si="66"/>
        <v>0</v>
      </c>
      <c r="S238" s="334">
        <f t="shared" si="67"/>
        <v>0</v>
      </c>
      <c r="T238" s="1181">
        <f t="shared" si="68"/>
        <v>0</v>
      </c>
      <c r="U238" s="1313">
        <f t="shared" si="62"/>
        <v>0</v>
      </c>
      <c r="V238" s="1313">
        <f t="shared" si="63"/>
        <v>0</v>
      </c>
      <c r="W238" s="1310"/>
      <c r="X238" s="1313">
        <f t="shared" si="64"/>
        <v>0</v>
      </c>
      <c r="Y238" s="1313">
        <f t="shared" si="65"/>
        <v>0</v>
      </c>
      <c r="Z238" s="1310"/>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-0.01</v>
      </c>
      <c r="R239" s="703">
        <f t="shared" si="66"/>
        <v>0</v>
      </c>
      <c r="S239" s="334">
        <f t="shared" si="67"/>
        <v>0</v>
      </c>
      <c r="T239" s="1181">
        <f t="shared" si="68"/>
        <v>0</v>
      </c>
      <c r="U239" s="1313">
        <f t="shared" si="62"/>
        <v>0</v>
      </c>
      <c r="V239" s="1313">
        <f t="shared" si="63"/>
        <v>0</v>
      </c>
      <c r="W239" s="1310"/>
      <c r="X239" s="1313">
        <f t="shared" si="64"/>
        <v>0</v>
      </c>
      <c r="Y239" s="1313">
        <f t="shared" si="65"/>
        <v>0</v>
      </c>
      <c r="Z239" s="1310"/>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-0.01</v>
      </c>
      <c r="R240" s="703">
        <f t="shared" si="66"/>
        <v>0</v>
      </c>
      <c r="S240" s="334">
        <f t="shared" si="67"/>
        <v>0</v>
      </c>
      <c r="T240" s="1181">
        <f t="shared" si="68"/>
        <v>0</v>
      </c>
      <c r="U240" s="1313">
        <f t="shared" si="62"/>
        <v>0</v>
      </c>
      <c r="V240" s="1313">
        <f t="shared" si="63"/>
        <v>0</v>
      </c>
      <c r="W240" s="1310"/>
      <c r="X240" s="1313">
        <f t="shared" si="64"/>
        <v>0</v>
      </c>
      <c r="Y240" s="1313">
        <f t="shared" si="65"/>
        <v>0</v>
      </c>
      <c r="Z240" s="1310"/>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-0.01</v>
      </c>
      <c r="R241" s="703">
        <f t="shared" si="66"/>
        <v>0</v>
      </c>
      <c r="S241" s="334">
        <f t="shared" si="67"/>
        <v>0</v>
      </c>
      <c r="T241" s="1181">
        <f t="shared" si="68"/>
        <v>0</v>
      </c>
      <c r="U241" s="1313">
        <f t="shared" si="62"/>
        <v>0</v>
      </c>
      <c r="V241" s="1313">
        <f t="shared" si="63"/>
        <v>0</v>
      </c>
      <c r="W241" s="1310"/>
      <c r="X241" s="1313">
        <f t="shared" si="64"/>
        <v>0</v>
      </c>
      <c r="Y241" s="1313">
        <f t="shared" si="65"/>
        <v>0</v>
      </c>
      <c r="Z241" s="1310"/>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-0.01</v>
      </c>
      <c r="R242" s="703">
        <f t="shared" si="66"/>
        <v>0</v>
      </c>
      <c r="S242" s="334">
        <f t="shared" si="67"/>
        <v>0</v>
      </c>
      <c r="T242" s="1181">
        <f t="shared" si="68"/>
        <v>0</v>
      </c>
      <c r="U242" s="1313">
        <f t="shared" si="62"/>
        <v>0</v>
      </c>
      <c r="V242" s="1313">
        <f t="shared" si="63"/>
        <v>0</v>
      </c>
      <c r="W242" s="1310"/>
      <c r="X242" s="1313">
        <f t="shared" si="64"/>
        <v>0</v>
      </c>
      <c r="Y242" s="1313">
        <f t="shared" si="65"/>
        <v>0</v>
      </c>
      <c r="Z242" s="1310"/>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-0.01</v>
      </c>
      <c r="R243" s="703">
        <f t="shared" si="66"/>
        <v>0</v>
      </c>
      <c r="S243" s="334">
        <f t="shared" si="67"/>
        <v>0</v>
      </c>
      <c r="T243" s="1181">
        <f t="shared" si="68"/>
        <v>0</v>
      </c>
      <c r="U243" s="1313">
        <f t="shared" si="62"/>
        <v>0</v>
      </c>
      <c r="V243" s="1313">
        <f t="shared" si="63"/>
        <v>0</v>
      </c>
      <c r="W243" s="1310"/>
      <c r="X243" s="1313">
        <f t="shared" si="64"/>
        <v>0</v>
      </c>
      <c r="Y243" s="1313">
        <f t="shared" si="65"/>
        <v>0</v>
      </c>
      <c r="Z243" s="1310"/>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-0.01</v>
      </c>
      <c r="R244" s="703">
        <f t="shared" si="66"/>
        <v>0</v>
      </c>
      <c r="S244" s="334">
        <f t="shared" si="67"/>
        <v>0</v>
      </c>
      <c r="T244" s="1181">
        <f t="shared" si="68"/>
        <v>0</v>
      </c>
      <c r="U244" s="1313">
        <f t="shared" si="62"/>
        <v>0</v>
      </c>
      <c r="V244" s="1313">
        <f t="shared" si="63"/>
        <v>0</v>
      </c>
      <c r="W244" s="1310"/>
      <c r="X244" s="1313">
        <f t="shared" si="64"/>
        <v>0</v>
      </c>
      <c r="Y244" s="1313">
        <f t="shared" si="65"/>
        <v>0</v>
      </c>
      <c r="Z244" s="1310"/>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-0.01</v>
      </c>
      <c r="R245" s="703">
        <f t="shared" si="66"/>
        <v>0</v>
      </c>
      <c r="S245" s="334">
        <f t="shared" si="67"/>
        <v>0</v>
      </c>
      <c r="T245" s="1181">
        <f t="shared" si="68"/>
        <v>0</v>
      </c>
      <c r="U245" s="1313">
        <f t="shared" si="62"/>
        <v>0</v>
      </c>
      <c r="V245" s="1313">
        <f t="shared" si="63"/>
        <v>0</v>
      </c>
      <c r="W245" s="1310"/>
      <c r="X245" s="1313">
        <f t="shared" si="64"/>
        <v>0</v>
      </c>
      <c r="Y245" s="1313">
        <f t="shared" si="65"/>
        <v>0</v>
      </c>
      <c r="Z245" s="1310"/>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-0.01</v>
      </c>
      <c r="R246" s="703">
        <f t="shared" si="66"/>
        <v>0</v>
      </c>
      <c r="S246" s="334">
        <f t="shared" si="67"/>
        <v>0</v>
      </c>
      <c r="T246" s="1181">
        <f t="shared" si="68"/>
        <v>0</v>
      </c>
      <c r="U246" s="1313">
        <f t="shared" si="62"/>
        <v>0</v>
      </c>
      <c r="V246" s="1313">
        <f t="shared" si="63"/>
        <v>0</v>
      </c>
      <c r="W246" s="1310"/>
      <c r="X246" s="1313">
        <f t="shared" si="64"/>
        <v>0</v>
      </c>
      <c r="Y246" s="1313">
        <f t="shared" si="65"/>
        <v>0</v>
      </c>
      <c r="Z246" s="1310"/>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-0.01</v>
      </c>
      <c r="R247" s="703">
        <f t="shared" si="66"/>
        <v>0</v>
      </c>
      <c r="S247" s="334">
        <f t="shared" si="67"/>
        <v>0</v>
      </c>
      <c r="T247" s="1181">
        <f t="shared" si="68"/>
        <v>0</v>
      </c>
      <c r="U247" s="1313">
        <f t="shared" si="62"/>
        <v>0</v>
      </c>
      <c r="V247" s="1313">
        <f t="shared" si="63"/>
        <v>0</v>
      </c>
      <c r="W247" s="1310"/>
      <c r="X247" s="1313">
        <f t="shared" si="64"/>
        <v>0</v>
      </c>
      <c r="Y247" s="1313">
        <f t="shared" si="65"/>
        <v>0</v>
      </c>
      <c r="Z247" s="1310"/>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-0.01</v>
      </c>
      <c r="R248" s="703">
        <f t="shared" si="66"/>
        <v>0</v>
      </c>
      <c r="S248" s="334">
        <f t="shared" si="67"/>
        <v>0</v>
      </c>
      <c r="T248" s="1181">
        <f t="shared" si="68"/>
        <v>0</v>
      </c>
      <c r="U248" s="1313">
        <f t="shared" si="62"/>
        <v>0</v>
      </c>
      <c r="V248" s="1313">
        <f t="shared" si="63"/>
        <v>0</v>
      </c>
      <c r="W248" s="1310"/>
      <c r="X248" s="1313">
        <f t="shared" si="64"/>
        <v>0</v>
      </c>
      <c r="Y248" s="1313">
        <f t="shared" si="65"/>
        <v>0</v>
      </c>
      <c r="Z248" s="1310"/>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-0.01</v>
      </c>
      <c r="R249" s="703">
        <f t="shared" si="66"/>
        <v>0</v>
      </c>
      <c r="S249" s="334">
        <f t="shared" si="67"/>
        <v>0</v>
      </c>
      <c r="T249" s="1181">
        <f t="shared" si="68"/>
        <v>0</v>
      </c>
      <c r="U249" s="1313">
        <f t="shared" si="62"/>
        <v>0</v>
      </c>
      <c r="V249" s="1313">
        <f t="shared" si="63"/>
        <v>0</v>
      </c>
      <c r="W249" s="1310"/>
      <c r="X249" s="1313">
        <f t="shared" si="64"/>
        <v>0</v>
      </c>
      <c r="Y249" s="1313">
        <f t="shared" si="65"/>
        <v>0</v>
      </c>
      <c r="Z249" s="1310"/>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-0.01</v>
      </c>
      <c r="R250" s="703">
        <f t="shared" si="66"/>
        <v>0</v>
      </c>
      <c r="S250" s="334">
        <f t="shared" si="67"/>
        <v>0</v>
      </c>
      <c r="T250" s="1181">
        <f t="shared" si="68"/>
        <v>0</v>
      </c>
      <c r="U250" s="1313">
        <f t="shared" si="62"/>
        <v>0</v>
      </c>
      <c r="V250" s="1313">
        <f t="shared" si="63"/>
        <v>0</v>
      </c>
      <c r="W250" s="1310"/>
      <c r="X250" s="1313">
        <f t="shared" si="64"/>
        <v>0</v>
      </c>
      <c r="Y250" s="1313">
        <f t="shared" si="65"/>
        <v>0</v>
      </c>
      <c r="Z250" s="1310"/>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-0.01</v>
      </c>
      <c r="R251" s="703">
        <f t="shared" si="66"/>
        <v>0</v>
      </c>
      <c r="S251" s="334">
        <f t="shared" si="67"/>
        <v>0</v>
      </c>
      <c r="T251" s="1181">
        <f t="shared" si="68"/>
        <v>0</v>
      </c>
      <c r="U251" s="1313">
        <f t="shared" si="62"/>
        <v>0</v>
      </c>
      <c r="V251" s="1313">
        <f t="shared" si="63"/>
        <v>0</v>
      </c>
      <c r="W251" s="1310"/>
      <c r="X251" s="1313">
        <f t="shared" si="64"/>
        <v>0</v>
      </c>
      <c r="Y251" s="1313">
        <f t="shared" si="65"/>
        <v>0</v>
      </c>
      <c r="Z251" s="1310"/>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-0.01</v>
      </c>
      <c r="R252" s="703">
        <f t="shared" si="66"/>
        <v>0</v>
      </c>
      <c r="S252" s="334">
        <f t="shared" si="67"/>
        <v>0</v>
      </c>
      <c r="T252" s="1181">
        <f t="shared" si="68"/>
        <v>0</v>
      </c>
      <c r="U252" s="1313">
        <f t="shared" si="62"/>
        <v>0</v>
      </c>
      <c r="V252" s="1313">
        <f t="shared" si="63"/>
        <v>0</v>
      </c>
      <c r="W252" s="1310"/>
      <c r="X252" s="1313">
        <f t="shared" si="64"/>
        <v>0</v>
      </c>
      <c r="Y252" s="1313">
        <f t="shared" si="65"/>
        <v>0</v>
      </c>
      <c r="Z252" s="1310"/>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-0.01</v>
      </c>
      <c r="R253" s="703">
        <f t="shared" si="66"/>
        <v>0</v>
      </c>
      <c r="S253" s="334">
        <f t="shared" si="67"/>
        <v>0</v>
      </c>
      <c r="T253" s="1181">
        <f t="shared" si="68"/>
        <v>0</v>
      </c>
      <c r="U253" s="1313">
        <f t="shared" si="62"/>
        <v>0</v>
      </c>
      <c r="V253" s="1313">
        <f t="shared" si="63"/>
        <v>0</v>
      </c>
      <c r="W253" s="1310"/>
      <c r="X253" s="1313">
        <f t="shared" si="64"/>
        <v>0</v>
      </c>
      <c r="Y253" s="1313">
        <f t="shared" si="65"/>
        <v>0</v>
      </c>
      <c r="Z253" s="1310"/>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-0.01</v>
      </c>
      <c r="R254" s="703">
        <f t="shared" si="66"/>
        <v>0</v>
      </c>
      <c r="S254" s="334">
        <f t="shared" si="67"/>
        <v>0</v>
      </c>
      <c r="T254" s="1181">
        <f t="shared" si="68"/>
        <v>0</v>
      </c>
      <c r="U254" s="1313">
        <f t="shared" si="62"/>
        <v>0</v>
      </c>
      <c r="V254" s="1313">
        <f t="shared" si="63"/>
        <v>0</v>
      </c>
      <c r="W254" s="1310"/>
      <c r="X254" s="1313">
        <f t="shared" si="64"/>
        <v>0</v>
      </c>
      <c r="Y254" s="1313">
        <f t="shared" si="65"/>
        <v>0</v>
      </c>
      <c r="Z254" s="1310"/>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-0.01</v>
      </c>
      <c r="R255" s="703">
        <f t="shared" si="66"/>
        <v>0</v>
      </c>
      <c r="S255" s="334">
        <f t="shared" si="67"/>
        <v>0</v>
      </c>
      <c r="T255" s="1181">
        <f t="shared" si="68"/>
        <v>0</v>
      </c>
      <c r="U255" s="1313">
        <f t="shared" si="62"/>
        <v>0</v>
      </c>
      <c r="V255" s="1313">
        <f t="shared" si="63"/>
        <v>0</v>
      </c>
      <c r="W255" s="1310"/>
      <c r="X255" s="1313">
        <f t="shared" si="64"/>
        <v>0</v>
      </c>
      <c r="Y255" s="1313">
        <f t="shared" si="65"/>
        <v>0</v>
      </c>
      <c r="Z255" s="1310"/>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-0.01</v>
      </c>
      <c r="R256" s="703">
        <f t="shared" si="66"/>
        <v>0</v>
      </c>
      <c r="S256" s="334">
        <f t="shared" si="67"/>
        <v>0</v>
      </c>
      <c r="T256" s="1181">
        <f t="shared" si="68"/>
        <v>0</v>
      </c>
      <c r="U256" s="1313">
        <f t="shared" si="62"/>
        <v>0</v>
      </c>
      <c r="V256" s="1313">
        <f t="shared" si="63"/>
        <v>0</v>
      </c>
      <c r="W256" s="1310"/>
      <c r="X256" s="1313">
        <f t="shared" si="64"/>
        <v>0</v>
      </c>
      <c r="Y256" s="1313">
        <f t="shared" si="65"/>
        <v>0</v>
      </c>
      <c r="Z256" s="1310"/>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-0.01</v>
      </c>
      <c r="R257" s="703">
        <f t="shared" si="66"/>
        <v>0</v>
      </c>
      <c r="S257" s="334">
        <f t="shared" si="67"/>
        <v>0</v>
      </c>
      <c r="T257" s="1181">
        <f t="shared" si="68"/>
        <v>0</v>
      </c>
      <c r="U257" s="1313">
        <f t="shared" si="62"/>
        <v>0</v>
      </c>
      <c r="V257" s="1313">
        <f t="shared" si="63"/>
        <v>0</v>
      </c>
      <c r="W257" s="1310"/>
      <c r="X257" s="1313">
        <f t="shared" si="64"/>
        <v>0</v>
      </c>
      <c r="Y257" s="1313">
        <f t="shared" si="65"/>
        <v>0</v>
      </c>
      <c r="Z257" s="1310"/>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-0.01</v>
      </c>
      <c r="R258" s="703">
        <f t="shared" si="66"/>
        <v>0</v>
      </c>
      <c r="S258" s="334">
        <f t="shared" si="67"/>
        <v>0</v>
      </c>
      <c r="T258" s="1181">
        <f t="shared" si="68"/>
        <v>0</v>
      </c>
      <c r="U258" s="1313">
        <f t="shared" si="62"/>
        <v>0</v>
      </c>
      <c r="V258" s="1313">
        <f t="shared" si="63"/>
        <v>0</v>
      </c>
      <c r="W258" s="1310"/>
      <c r="X258" s="1313">
        <f t="shared" si="64"/>
        <v>0</v>
      </c>
      <c r="Y258" s="1313">
        <f t="shared" si="65"/>
        <v>0</v>
      </c>
      <c r="Z258" s="1310"/>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-0.01</v>
      </c>
      <c r="R259" s="703">
        <f t="shared" si="66"/>
        <v>0</v>
      </c>
      <c r="S259" s="334">
        <f t="shared" si="67"/>
        <v>0</v>
      </c>
      <c r="T259" s="1181">
        <f t="shared" si="68"/>
        <v>0</v>
      </c>
      <c r="U259" s="1313">
        <f t="shared" si="62"/>
        <v>0</v>
      </c>
      <c r="V259" s="1313">
        <f t="shared" si="63"/>
        <v>0</v>
      </c>
      <c r="W259" s="1310"/>
      <c r="X259" s="1313">
        <f t="shared" si="64"/>
        <v>0</v>
      </c>
      <c r="Y259" s="1313">
        <f t="shared" si="65"/>
        <v>0</v>
      </c>
      <c r="Z259" s="1310"/>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-0.01</v>
      </c>
      <c r="R260" s="703">
        <f t="shared" si="66"/>
        <v>0</v>
      </c>
      <c r="S260" s="334">
        <f t="shared" si="67"/>
        <v>0</v>
      </c>
      <c r="T260" s="1181">
        <f t="shared" si="68"/>
        <v>0</v>
      </c>
      <c r="U260" s="1313">
        <f t="shared" si="62"/>
        <v>0</v>
      </c>
      <c r="V260" s="1313">
        <f t="shared" si="63"/>
        <v>0</v>
      </c>
      <c r="W260" s="1310"/>
      <c r="X260" s="1313">
        <f t="shared" si="64"/>
        <v>0</v>
      </c>
      <c r="Y260" s="1313">
        <f t="shared" si="65"/>
        <v>0</v>
      </c>
      <c r="Z260" s="1310"/>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-0.01</v>
      </c>
      <c r="R261" s="703">
        <f t="shared" si="66"/>
        <v>0</v>
      </c>
      <c r="S261" s="334">
        <f t="shared" si="67"/>
        <v>0</v>
      </c>
      <c r="T261" s="1181">
        <f t="shared" si="68"/>
        <v>0</v>
      </c>
      <c r="U261" s="1313">
        <f t="shared" si="62"/>
        <v>0</v>
      </c>
      <c r="V261" s="1313">
        <f t="shared" si="63"/>
        <v>0</v>
      </c>
      <c r="W261" s="1310"/>
      <c r="X261" s="1313">
        <f t="shared" si="64"/>
        <v>0</v>
      </c>
      <c r="Y261" s="1313">
        <f t="shared" si="65"/>
        <v>0</v>
      </c>
      <c r="Z261" s="1310"/>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-0.01</v>
      </c>
      <c r="R262" s="703">
        <f t="shared" si="66"/>
        <v>0</v>
      </c>
      <c r="S262" s="334">
        <f t="shared" si="67"/>
        <v>0</v>
      </c>
      <c r="T262" s="1181">
        <f t="shared" si="68"/>
        <v>0</v>
      </c>
      <c r="U262" s="1313">
        <f t="shared" si="62"/>
        <v>0</v>
      </c>
      <c r="V262" s="1313">
        <f t="shared" si="63"/>
        <v>0</v>
      </c>
      <c r="W262" s="1310"/>
      <c r="X262" s="1313">
        <f t="shared" si="64"/>
        <v>0</v>
      </c>
      <c r="Y262" s="1313">
        <f t="shared" si="65"/>
        <v>0</v>
      </c>
      <c r="Z262" s="1310"/>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-0.01</v>
      </c>
      <c r="R263" s="703">
        <f t="shared" si="66"/>
        <v>0</v>
      </c>
      <c r="S263" s="334">
        <f t="shared" si="67"/>
        <v>0</v>
      </c>
      <c r="T263" s="1181">
        <f t="shared" si="68"/>
        <v>0</v>
      </c>
      <c r="U263" s="1313">
        <f t="shared" si="62"/>
        <v>0</v>
      </c>
      <c r="V263" s="1313">
        <f t="shared" si="63"/>
        <v>0</v>
      </c>
      <c r="W263" s="1310"/>
      <c r="X263" s="1313">
        <f t="shared" si="64"/>
        <v>0</v>
      </c>
      <c r="Y263" s="1313">
        <f t="shared" si="65"/>
        <v>0</v>
      </c>
      <c r="Z263" s="1310"/>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-0.01</v>
      </c>
      <c r="R264" s="703">
        <f t="shared" si="66"/>
        <v>0</v>
      </c>
      <c r="S264" s="334">
        <f t="shared" si="67"/>
        <v>0</v>
      </c>
      <c r="T264" s="1181">
        <f t="shared" si="68"/>
        <v>0</v>
      </c>
      <c r="U264" s="1313">
        <f t="shared" si="62"/>
        <v>0</v>
      </c>
      <c r="V264" s="1313">
        <f t="shared" si="63"/>
        <v>0</v>
      </c>
      <c r="W264" s="1310"/>
      <c r="X264" s="1313">
        <f t="shared" si="64"/>
        <v>0</v>
      </c>
      <c r="Y264" s="1313">
        <f t="shared" si="65"/>
        <v>0</v>
      </c>
      <c r="Z264" s="1310"/>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-0.01</v>
      </c>
      <c r="R265" s="703">
        <f t="shared" si="66"/>
        <v>0</v>
      </c>
      <c r="S265" s="334">
        <f t="shared" si="67"/>
        <v>0</v>
      </c>
      <c r="T265" s="1181">
        <f t="shared" si="68"/>
        <v>0</v>
      </c>
      <c r="U265" s="1313">
        <f t="shared" si="62"/>
        <v>0</v>
      </c>
      <c r="V265" s="1313">
        <f t="shared" si="63"/>
        <v>0</v>
      </c>
      <c r="W265" s="1310"/>
      <c r="X265" s="1313">
        <f t="shared" si="64"/>
        <v>0</v>
      </c>
      <c r="Y265" s="1313">
        <f t="shared" si="65"/>
        <v>0</v>
      </c>
      <c r="Z265" s="1310"/>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-0.01</v>
      </c>
      <c r="R266" s="703">
        <f t="shared" si="66"/>
        <v>0</v>
      </c>
      <c r="S266" s="334">
        <f t="shared" si="67"/>
        <v>0</v>
      </c>
      <c r="T266" s="1181">
        <f t="shared" si="68"/>
        <v>0</v>
      </c>
      <c r="U266" s="1313">
        <f t="shared" si="62"/>
        <v>0</v>
      </c>
      <c r="V266" s="1313">
        <f t="shared" si="63"/>
        <v>0</v>
      </c>
      <c r="W266" s="1310"/>
      <c r="X266" s="1313">
        <f t="shared" si="64"/>
        <v>0</v>
      </c>
      <c r="Y266" s="1313">
        <f t="shared" si="65"/>
        <v>0</v>
      </c>
      <c r="Z266" s="1310"/>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-0.01</v>
      </c>
      <c r="R267" s="703">
        <f t="shared" si="66"/>
        <v>0</v>
      </c>
      <c r="S267" s="334">
        <f t="shared" si="67"/>
        <v>0</v>
      </c>
      <c r="T267" s="1181">
        <f t="shared" si="68"/>
        <v>0</v>
      </c>
      <c r="U267" s="1313">
        <f t="shared" si="62"/>
        <v>0</v>
      </c>
      <c r="V267" s="1313">
        <f t="shared" si="63"/>
        <v>0</v>
      </c>
      <c r="W267" s="1310"/>
      <c r="X267" s="1313">
        <f t="shared" si="64"/>
        <v>0</v>
      </c>
      <c r="Y267" s="1313">
        <f t="shared" si="65"/>
        <v>0</v>
      </c>
      <c r="Z267" s="1310"/>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-0.01</v>
      </c>
      <c r="R268" s="703">
        <f t="shared" si="66"/>
        <v>0</v>
      </c>
      <c r="S268" s="334">
        <f t="shared" si="67"/>
        <v>0</v>
      </c>
      <c r="T268" s="1181">
        <f t="shared" si="68"/>
        <v>0</v>
      </c>
      <c r="U268" s="1313">
        <f t="shared" si="62"/>
        <v>0</v>
      </c>
      <c r="V268" s="1313">
        <f t="shared" si="63"/>
        <v>0</v>
      </c>
      <c r="W268" s="1310"/>
      <c r="X268" s="1313">
        <f t="shared" si="64"/>
        <v>0</v>
      </c>
      <c r="Y268" s="1313">
        <f t="shared" si="65"/>
        <v>0</v>
      </c>
      <c r="Z268" s="1310"/>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-0.01</v>
      </c>
      <c r="R269" s="703">
        <f t="shared" si="66"/>
        <v>0</v>
      </c>
      <c r="S269" s="334">
        <f t="shared" si="67"/>
        <v>0</v>
      </c>
      <c r="T269" s="1181">
        <f t="shared" si="68"/>
        <v>0</v>
      </c>
      <c r="U269" s="1313">
        <f t="shared" si="62"/>
        <v>0</v>
      </c>
      <c r="V269" s="1313">
        <f t="shared" si="63"/>
        <v>0</v>
      </c>
      <c r="W269" s="1310"/>
      <c r="X269" s="1313">
        <f t="shared" si="64"/>
        <v>0</v>
      </c>
      <c r="Y269" s="1313">
        <f t="shared" si="65"/>
        <v>0</v>
      </c>
      <c r="Z269" s="1310"/>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-0.01</v>
      </c>
      <c r="R270" s="703">
        <f t="shared" si="66"/>
        <v>0</v>
      </c>
      <c r="S270" s="334">
        <f t="shared" si="67"/>
        <v>0</v>
      </c>
      <c r="T270" s="1181">
        <f t="shared" si="68"/>
        <v>0</v>
      </c>
      <c r="U270" s="1313">
        <f t="shared" si="62"/>
        <v>0</v>
      </c>
      <c r="V270" s="1313">
        <f t="shared" si="63"/>
        <v>0</v>
      </c>
      <c r="W270" s="1310"/>
      <c r="X270" s="1313">
        <f t="shared" si="64"/>
        <v>0</v>
      </c>
      <c r="Y270" s="1313">
        <f t="shared" si="65"/>
        <v>0</v>
      </c>
      <c r="Z270" s="1310"/>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-0.01</v>
      </c>
      <c r="R271" s="703">
        <f t="shared" si="66"/>
        <v>0</v>
      </c>
      <c r="S271" s="334">
        <f t="shared" si="67"/>
        <v>0</v>
      </c>
      <c r="T271" s="1181">
        <f t="shared" si="68"/>
        <v>0</v>
      </c>
      <c r="U271" s="1313">
        <f t="shared" si="62"/>
        <v>0</v>
      </c>
      <c r="V271" s="1313">
        <f t="shared" si="63"/>
        <v>0</v>
      </c>
      <c r="W271" s="1310"/>
      <c r="X271" s="1313">
        <f t="shared" si="64"/>
        <v>0</v>
      </c>
      <c r="Y271" s="1313">
        <f t="shared" si="65"/>
        <v>0</v>
      </c>
      <c r="Z271" s="1310"/>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-0.01</v>
      </c>
      <c r="R272" s="703">
        <f t="shared" si="66"/>
        <v>0</v>
      </c>
      <c r="S272" s="334">
        <f t="shared" si="67"/>
        <v>0</v>
      </c>
      <c r="T272" s="1181">
        <f t="shared" si="68"/>
        <v>0</v>
      </c>
      <c r="U272" s="1313">
        <f t="shared" si="62"/>
        <v>0</v>
      </c>
      <c r="V272" s="1313">
        <f t="shared" si="63"/>
        <v>0</v>
      </c>
      <c r="W272" s="1310"/>
      <c r="X272" s="1313">
        <f t="shared" si="64"/>
        <v>0</v>
      </c>
      <c r="Y272" s="1313">
        <f t="shared" si="65"/>
        <v>0</v>
      </c>
      <c r="Z272" s="1310"/>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-0.01</v>
      </c>
      <c r="R273" s="703">
        <f t="shared" si="66"/>
        <v>0</v>
      </c>
      <c r="S273" s="334">
        <f t="shared" si="67"/>
        <v>0</v>
      </c>
      <c r="T273" s="1181">
        <f t="shared" si="68"/>
        <v>0</v>
      </c>
      <c r="U273" s="1313">
        <f t="shared" si="62"/>
        <v>0</v>
      </c>
      <c r="V273" s="1313">
        <f t="shared" si="63"/>
        <v>0</v>
      </c>
      <c r="W273" s="1310"/>
      <c r="X273" s="1313">
        <f t="shared" si="64"/>
        <v>0</v>
      </c>
      <c r="Y273" s="1313">
        <f t="shared" si="65"/>
        <v>0</v>
      </c>
      <c r="Z273" s="1310"/>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-0.01</v>
      </c>
      <c r="R274" s="703">
        <f t="shared" si="66"/>
        <v>0</v>
      </c>
      <c r="S274" s="334">
        <f t="shared" si="67"/>
        <v>0</v>
      </c>
      <c r="T274" s="1181">
        <f t="shared" si="68"/>
        <v>0</v>
      </c>
      <c r="U274" s="1313">
        <f t="shared" si="62"/>
        <v>0</v>
      </c>
      <c r="V274" s="1313">
        <f t="shared" si="63"/>
        <v>0</v>
      </c>
      <c r="W274" s="1310"/>
      <c r="X274" s="1313">
        <f t="shared" si="64"/>
        <v>0</v>
      </c>
      <c r="Y274" s="1313">
        <f t="shared" si="65"/>
        <v>0</v>
      </c>
      <c r="Z274" s="1310"/>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-0.01</v>
      </c>
      <c r="R275" s="703">
        <f t="shared" si="66"/>
        <v>0</v>
      </c>
      <c r="S275" s="334">
        <f t="shared" si="67"/>
        <v>0</v>
      </c>
      <c r="T275" s="1181">
        <f t="shared" si="68"/>
        <v>0</v>
      </c>
      <c r="U275" s="1313">
        <f t="shared" si="62"/>
        <v>0</v>
      </c>
      <c r="V275" s="1313">
        <f t="shared" si="63"/>
        <v>0</v>
      </c>
      <c r="W275" s="1310"/>
      <c r="X275" s="1313">
        <f t="shared" si="64"/>
        <v>0</v>
      </c>
      <c r="Y275" s="1313">
        <f t="shared" si="65"/>
        <v>0</v>
      </c>
      <c r="Z275" s="1310"/>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-0.01</v>
      </c>
      <c r="R276" s="703">
        <f t="shared" si="66"/>
        <v>0</v>
      </c>
      <c r="S276" s="334">
        <f t="shared" si="67"/>
        <v>0</v>
      </c>
      <c r="T276" s="1181">
        <f t="shared" si="68"/>
        <v>0</v>
      </c>
      <c r="U276" s="1313">
        <f t="shared" si="62"/>
        <v>0</v>
      </c>
      <c r="V276" s="1313">
        <f t="shared" si="63"/>
        <v>0</v>
      </c>
      <c r="W276" s="1310"/>
      <c r="X276" s="1313">
        <f t="shared" si="64"/>
        <v>0</v>
      </c>
      <c r="Y276" s="1313">
        <f t="shared" si="65"/>
        <v>0</v>
      </c>
      <c r="Z276" s="1310"/>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-0.01</v>
      </c>
      <c r="R277" s="703">
        <f t="shared" si="66"/>
        <v>0</v>
      </c>
      <c r="S277" s="334">
        <f t="shared" si="67"/>
        <v>0</v>
      </c>
      <c r="T277" s="1181">
        <f t="shared" si="68"/>
        <v>0</v>
      </c>
      <c r="U277" s="1313">
        <f t="shared" si="62"/>
        <v>0</v>
      </c>
      <c r="V277" s="1313">
        <f t="shared" si="63"/>
        <v>0</v>
      </c>
      <c r="W277" s="1310"/>
      <c r="X277" s="1313">
        <f t="shared" si="64"/>
        <v>0</v>
      </c>
      <c r="Y277" s="1313">
        <f t="shared" si="65"/>
        <v>0</v>
      </c>
      <c r="Z277" s="1310"/>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-0.01</v>
      </c>
      <c r="R278" s="703">
        <f t="shared" si="66"/>
        <v>0</v>
      </c>
      <c r="S278" s="334">
        <f t="shared" si="67"/>
        <v>0</v>
      </c>
      <c r="T278" s="1181">
        <f t="shared" si="68"/>
        <v>0</v>
      </c>
      <c r="U278" s="1313">
        <f t="shared" si="62"/>
        <v>0</v>
      </c>
      <c r="V278" s="1313">
        <f t="shared" si="63"/>
        <v>0</v>
      </c>
      <c r="W278" s="1310"/>
      <c r="X278" s="1313">
        <f t="shared" si="64"/>
        <v>0</v>
      </c>
      <c r="Y278" s="1313">
        <f t="shared" si="65"/>
        <v>0</v>
      </c>
      <c r="Z278" s="1310"/>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-0.01</v>
      </c>
      <c r="R279" s="703">
        <f t="shared" si="66"/>
        <v>0</v>
      </c>
      <c r="S279" s="334">
        <f t="shared" si="67"/>
        <v>0</v>
      </c>
      <c r="T279" s="1181">
        <f t="shared" si="68"/>
        <v>0</v>
      </c>
      <c r="U279" s="1313">
        <f t="shared" si="62"/>
        <v>0</v>
      </c>
      <c r="V279" s="1313">
        <f t="shared" si="63"/>
        <v>0</v>
      </c>
      <c r="W279" s="1310"/>
      <c r="X279" s="1313">
        <f t="shared" si="64"/>
        <v>0</v>
      </c>
      <c r="Y279" s="1313">
        <f t="shared" si="65"/>
        <v>0</v>
      </c>
      <c r="Z279" s="1310"/>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-0.01</v>
      </c>
      <c r="R280" s="703">
        <f t="shared" si="66"/>
        <v>0</v>
      </c>
      <c r="S280" s="334">
        <f t="shared" si="67"/>
        <v>0</v>
      </c>
      <c r="T280" s="1181">
        <f t="shared" si="68"/>
        <v>0</v>
      </c>
      <c r="U280" s="1313">
        <f t="shared" si="62"/>
        <v>0</v>
      </c>
      <c r="V280" s="1313">
        <f t="shared" si="63"/>
        <v>0</v>
      </c>
      <c r="W280" s="1310"/>
      <c r="X280" s="1313">
        <f t="shared" si="64"/>
        <v>0</v>
      </c>
      <c r="Y280" s="1313">
        <f t="shared" si="65"/>
        <v>0</v>
      </c>
      <c r="Z280" s="1310"/>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-0.01</v>
      </c>
      <c r="R281" s="703">
        <f t="shared" si="66"/>
        <v>0</v>
      </c>
      <c r="S281" s="334">
        <f t="shared" si="67"/>
        <v>0</v>
      </c>
      <c r="T281" s="1181">
        <f t="shared" si="68"/>
        <v>0</v>
      </c>
      <c r="U281" s="1313">
        <f t="shared" si="62"/>
        <v>0</v>
      </c>
      <c r="V281" s="1313">
        <f t="shared" si="63"/>
        <v>0</v>
      </c>
      <c r="W281" s="1310"/>
      <c r="X281" s="1313">
        <f t="shared" si="64"/>
        <v>0</v>
      </c>
      <c r="Y281" s="1313">
        <f t="shared" si="65"/>
        <v>0</v>
      </c>
      <c r="Z281" s="1310"/>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-0.01</v>
      </c>
      <c r="R282" s="703">
        <f t="shared" si="66"/>
        <v>0</v>
      </c>
      <c r="S282" s="334">
        <f t="shared" si="67"/>
        <v>0</v>
      </c>
      <c r="T282" s="1181">
        <f t="shared" si="68"/>
        <v>0</v>
      </c>
      <c r="U282" s="1313">
        <f t="shared" si="62"/>
        <v>0</v>
      </c>
      <c r="V282" s="1313">
        <f t="shared" si="63"/>
        <v>0</v>
      </c>
      <c r="W282" s="1310"/>
      <c r="X282" s="1313">
        <f t="shared" si="64"/>
        <v>0</v>
      </c>
      <c r="Y282" s="1313">
        <f t="shared" si="65"/>
        <v>0</v>
      </c>
      <c r="Z282" s="1310"/>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-0.01</v>
      </c>
      <c r="R283" s="703">
        <f t="shared" si="66"/>
        <v>0</v>
      </c>
      <c r="S283" s="334">
        <f t="shared" si="67"/>
        <v>0</v>
      </c>
      <c r="T283" s="1181">
        <f t="shared" si="68"/>
        <v>0</v>
      </c>
      <c r="U283" s="1313">
        <f t="shared" si="62"/>
        <v>0</v>
      </c>
      <c r="V283" s="1313">
        <f t="shared" si="63"/>
        <v>0</v>
      </c>
      <c r="W283" s="1310"/>
      <c r="X283" s="1313">
        <f t="shared" si="64"/>
        <v>0</v>
      </c>
      <c r="Y283" s="1313">
        <f t="shared" si="65"/>
        <v>0</v>
      </c>
      <c r="Z283" s="1310"/>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-0.01</v>
      </c>
      <c r="R284" s="703">
        <f t="shared" si="66"/>
        <v>0</v>
      </c>
      <c r="S284" s="334">
        <f t="shared" si="67"/>
        <v>0</v>
      </c>
      <c r="T284" s="1181">
        <f t="shared" si="68"/>
        <v>0</v>
      </c>
      <c r="U284" s="1313">
        <f t="shared" ref="U284:U347" si="77">ROUND(W284*B284,0)</f>
        <v>0</v>
      </c>
      <c r="V284" s="1313">
        <f t="shared" ref="V284:V347" si="78">ROUND(W284*B284/10000,0)</f>
        <v>0</v>
      </c>
      <c r="W284" s="1310"/>
      <c r="X284" s="1313">
        <f t="shared" ref="X284:X347" si="79">ROUND(Z284*B284,0)</f>
        <v>0</v>
      </c>
      <c r="Y284" s="1313">
        <f t="shared" ref="Y284:Y347" si="80">ROUND(Z284*B284/10000,0)</f>
        <v>0</v>
      </c>
      <c r="Z284" s="1310"/>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-0.01</v>
      </c>
      <c r="R285" s="703">
        <f t="shared" ref="R285:R348" si="81">IF(B285="",0,ROUND($R$27*C285*E285*G285*I285*K285*M285*O285*Q285,0))</f>
        <v>0</v>
      </c>
      <c r="S285" s="334">
        <f t="shared" ref="S285:S348" si="82">ROUND(R285*B285,0)</f>
        <v>0</v>
      </c>
      <c r="T285" s="1181">
        <f t="shared" ref="T285:T348" si="83">ROUND(R285*B285/10000,0)</f>
        <v>0</v>
      </c>
      <c r="U285" s="1313">
        <f t="shared" si="77"/>
        <v>0</v>
      </c>
      <c r="V285" s="1313">
        <f t="shared" si="78"/>
        <v>0</v>
      </c>
      <c r="W285" s="1310"/>
      <c r="X285" s="1313">
        <f t="shared" si="79"/>
        <v>0</v>
      </c>
      <c r="Y285" s="1313">
        <f t="shared" si="80"/>
        <v>0</v>
      </c>
      <c r="Z285" s="1310"/>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-0.01</v>
      </c>
      <c r="R286" s="703">
        <f t="shared" si="81"/>
        <v>0</v>
      </c>
      <c r="S286" s="334">
        <f t="shared" si="82"/>
        <v>0</v>
      </c>
      <c r="T286" s="1181">
        <f t="shared" si="83"/>
        <v>0</v>
      </c>
      <c r="U286" s="1313">
        <f t="shared" si="77"/>
        <v>0</v>
      </c>
      <c r="V286" s="1313">
        <f t="shared" si="78"/>
        <v>0</v>
      </c>
      <c r="W286" s="1310"/>
      <c r="X286" s="1313">
        <f t="shared" si="79"/>
        <v>0</v>
      </c>
      <c r="Y286" s="1313">
        <f t="shared" si="80"/>
        <v>0</v>
      </c>
      <c r="Z286" s="1310"/>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-0.01</v>
      </c>
      <c r="R287" s="703">
        <f t="shared" si="81"/>
        <v>0</v>
      </c>
      <c r="S287" s="334">
        <f t="shared" si="82"/>
        <v>0</v>
      </c>
      <c r="T287" s="1181">
        <f t="shared" si="83"/>
        <v>0</v>
      </c>
      <c r="U287" s="1313">
        <f t="shared" si="77"/>
        <v>0</v>
      </c>
      <c r="V287" s="1313">
        <f t="shared" si="78"/>
        <v>0</v>
      </c>
      <c r="W287" s="1310"/>
      <c r="X287" s="1313">
        <f t="shared" si="79"/>
        <v>0</v>
      </c>
      <c r="Y287" s="1313">
        <f t="shared" si="80"/>
        <v>0</v>
      </c>
      <c r="Z287" s="1310"/>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-0.01</v>
      </c>
      <c r="R288" s="703">
        <f t="shared" si="81"/>
        <v>0</v>
      </c>
      <c r="S288" s="334">
        <f t="shared" si="82"/>
        <v>0</v>
      </c>
      <c r="T288" s="1181">
        <f t="shared" si="83"/>
        <v>0</v>
      </c>
      <c r="U288" s="1313">
        <f t="shared" si="77"/>
        <v>0</v>
      </c>
      <c r="V288" s="1313">
        <f t="shared" si="78"/>
        <v>0</v>
      </c>
      <c r="W288" s="1310"/>
      <c r="X288" s="1313">
        <f t="shared" si="79"/>
        <v>0</v>
      </c>
      <c r="Y288" s="1313">
        <f t="shared" si="80"/>
        <v>0</v>
      </c>
      <c r="Z288" s="1310"/>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-0.01</v>
      </c>
      <c r="R289" s="703">
        <f t="shared" si="81"/>
        <v>0</v>
      </c>
      <c r="S289" s="334">
        <f t="shared" si="82"/>
        <v>0</v>
      </c>
      <c r="T289" s="1181">
        <f t="shared" si="83"/>
        <v>0</v>
      </c>
      <c r="U289" s="1313">
        <f t="shared" si="77"/>
        <v>0</v>
      </c>
      <c r="V289" s="1313">
        <f t="shared" si="78"/>
        <v>0</v>
      </c>
      <c r="W289" s="1310"/>
      <c r="X289" s="1313">
        <f t="shared" si="79"/>
        <v>0</v>
      </c>
      <c r="Y289" s="1313">
        <f t="shared" si="80"/>
        <v>0</v>
      </c>
      <c r="Z289" s="1310"/>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-0.01</v>
      </c>
      <c r="R290" s="703">
        <f t="shared" si="81"/>
        <v>0</v>
      </c>
      <c r="S290" s="334">
        <f t="shared" si="82"/>
        <v>0</v>
      </c>
      <c r="T290" s="1181">
        <f t="shared" si="83"/>
        <v>0</v>
      </c>
      <c r="U290" s="1313">
        <f t="shared" si="77"/>
        <v>0</v>
      </c>
      <c r="V290" s="1313">
        <f t="shared" si="78"/>
        <v>0</v>
      </c>
      <c r="W290" s="1310"/>
      <c r="X290" s="1313">
        <f t="shared" si="79"/>
        <v>0</v>
      </c>
      <c r="Y290" s="1313">
        <f t="shared" si="80"/>
        <v>0</v>
      </c>
      <c r="Z290" s="1310"/>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-0.01</v>
      </c>
      <c r="R291" s="703">
        <f t="shared" si="81"/>
        <v>0</v>
      </c>
      <c r="S291" s="334">
        <f t="shared" si="82"/>
        <v>0</v>
      </c>
      <c r="T291" s="1181">
        <f t="shared" si="83"/>
        <v>0</v>
      </c>
      <c r="U291" s="1313">
        <f t="shared" si="77"/>
        <v>0</v>
      </c>
      <c r="V291" s="1313">
        <f t="shared" si="78"/>
        <v>0</v>
      </c>
      <c r="W291" s="1310"/>
      <c r="X291" s="1313">
        <f t="shared" si="79"/>
        <v>0</v>
      </c>
      <c r="Y291" s="1313">
        <f t="shared" si="80"/>
        <v>0</v>
      </c>
      <c r="Z291" s="1310"/>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-0.01</v>
      </c>
      <c r="R292" s="703">
        <f t="shared" si="81"/>
        <v>0</v>
      </c>
      <c r="S292" s="334">
        <f t="shared" si="82"/>
        <v>0</v>
      </c>
      <c r="T292" s="1181">
        <f t="shared" si="83"/>
        <v>0</v>
      </c>
      <c r="U292" s="1313">
        <f t="shared" si="77"/>
        <v>0</v>
      </c>
      <c r="V292" s="1313">
        <f t="shared" si="78"/>
        <v>0</v>
      </c>
      <c r="W292" s="1310"/>
      <c r="X292" s="1313">
        <f t="shared" si="79"/>
        <v>0</v>
      </c>
      <c r="Y292" s="1313">
        <f t="shared" si="80"/>
        <v>0</v>
      </c>
      <c r="Z292" s="1310"/>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-0.01</v>
      </c>
      <c r="R293" s="703">
        <f t="shared" si="81"/>
        <v>0</v>
      </c>
      <c r="S293" s="334">
        <f t="shared" si="82"/>
        <v>0</v>
      </c>
      <c r="T293" s="1181">
        <f t="shared" si="83"/>
        <v>0</v>
      </c>
      <c r="U293" s="1313">
        <f t="shared" si="77"/>
        <v>0</v>
      </c>
      <c r="V293" s="1313">
        <f t="shared" si="78"/>
        <v>0</v>
      </c>
      <c r="W293" s="1310"/>
      <c r="X293" s="1313">
        <f t="shared" si="79"/>
        <v>0</v>
      </c>
      <c r="Y293" s="1313">
        <f t="shared" si="80"/>
        <v>0</v>
      </c>
      <c r="Z293" s="1310"/>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-0.01</v>
      </c>
      <c r="R294" s="703">
        <f t="shared" si="81"/>
        <v>0</v>
      </c>
      <c r="S294" s="334">
        <f t="shared" si="82"/>
        <v>0</v>
      </c>
      <c r="T294" s="1181">
        <f t="shared" si="83"/>
        <v>0</v>
      </c>
      <c r="U294" s="1313">
        <f t="shared" si="77"/>
        <v>0</v>
      </c>
      <c r="V294" s="1313">
        <f t="shared" si="78"/>
        <v>0</v>
      </c>
      <c r="W294" s="1310"/>
      <c r="X294" s="1313">
        <f t="shared" si="79"/>
        <v>0</v>
      </c>
      <c r="Y294" s="1313">
        <f t="shared" si="80"/>
        <v>0</v>
      </c>
      <c r="Z294" s="1310"/>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-0.01</v>
      </c>
      <c r="R295" s="703">
        <f t="shared" si="81"/>
        <v>0</v>
      </c>
      <c r="S295" s="334">
        <f t="shared" si="82"/>
        <v>0</v>
      </c>
      <c r="T295" s="1181">
        <f t="shared" si="83"/>
        <v>0</v>
      </c>
      <c r="U295" s="1313">
        <f t="shared" si="77"/>
        <v>0</v>
      </c>
      <c r="V295" s="1313">
        <f t="shared" si="78"/>
        <v>0</v>
      </c>
      <c r="W295" s="1310"/>
      <c r="X295" s="1313">
        <f t="shared" si="79"/>
        <v>0</v>
      </c>
      <c r="Y295" s="1313">
        <f t="shared" si="80"/>
        <v>0</v>
      </c>
      <c r="Z295" s="1310"/>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-0.01</v>
      </c>
      <c r="R296" s="703">
        <f t="shared" si="81"/>
        <v>0</v>
      </c>
      <c r="S296" s="334">
        <f t="shared" si="82"/>
        <v>0</v>
      </c>
      <c r="T296" s="1181">
        <f t="shared" si="83"/>
        <v>0</v>
      </c>
      <c r="U296" s="1313">
        <f t="shared" si="77"/>
        <v>0</v>
      </c>
      <c r="V296" s="1313">
        <f t="shared" si="78"/>
        <v>0</v>
      </c>
      <c r="W296" s="1310"/>
      <c r="X296" s="1313">
        <f t="shared" si="79"/>
        <v>0</v>
      </c>
      <c r="Y296" s="1313">
        <f t="shared" si="80"/>
        <v>0</v>
      </c>
      <c r="Z296" s="1310"/>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-0.01</v>
      </c>
      <c r="R297" s="703">
        <f t="shared" si="81"/>
        <v>0</v>
      </c>
      <c r="S297" s="334">
        <f t="shared" si="82"/>
        <v>0</v>
      </c>
      <c r="T297" s="1181">
        <f t="shared" si="83"/>
        <v>0</v>
      </c>
      <c r="U297" s="1313">
        <f t="shared" si="77"/>
        <v>0</v>
      </c>
      <c r="V297" s="1313">
        <f t="shared" si="78"/>
        <v>0</v>
      </c>
      <c r="W297" s="1310"/>
      <c r="X297" s="1313">
        <f t="shared" si="79"/>
        <v>0</v>
      </c>
      <c r="Y297" s="1313">
        <f t="shared" si="80"/>
        <v>0</v>
      </c>
      <c r="Z297" s="1310"/>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-0.01</v>
      </c>
      <c r="R298" s="703">
        <f t="shared" si="81"/>
        <v>0</v>
      </c>
      <c r="S298" s="334">
        <f t="shared" si="82"/>
        <v>0</v>
      </c>
      <c r="T298" s="1181">
        <f t="shared" si="83"/>
        <v>0</v>
      </c>
      <c r="U298" s="1313">
        <f t="shared" si="77"/>
        <v>0</v>
      </c>
      <c r="V298" s="1313">
        <f t="shared" si="78"/>
        <v>0</v>
      </c>
      <c r="W298" s="1310"/>
      <c r="X298" s="1313">
        <f t="shared" si="79"/>
        <v>0</v>
      </c>
      <c r="Y298" s="1313">
        <f t="shared" si="80"/>
        <v>0</v>
      </c>
      <c r="Z298" s="1310"/>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-0.01</v>
      </c>
      <c r="R299" s="703">
        <f t="shared" si="81"/>
        <v>0</v>
      </c>
      <c r="S299" s="334">
        <f t="shared" si="82"/>
        <v>0</v>
      </c>
      <c r="T299" s="1181">
        <f t="shared" si="83"/>
        <v>0</v>
      </c>
      <c r="U299" s="1313">
        <f t="shared" si="77"/>
        <v>0</v>
      </c>
      <c r="V299" s="1313">
        <f t="shared" si="78"/>
        <v>0</v>
      </c>
      <c r="W299" s="1310"/>
      <c r="X299" s="1313">
        <f t="shared" si="79"/>
        <v>0</v>
      </c>
      <c r="Y299" s="1313">
        <f t="shared" si="80"/>
        <v>0</v>
      </c>
      <c r="Z299" s="1310"/>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-0.01</v>
      </c>
      <c r="R300" s="703">
        <f t="shared" si="81"/>
        <v>0</v>
      </c>
      <c r="S300" s="334">
        <f t="shared" si="82"/>
        <v>0</v>
      </c>
      <c r="T300" s="1181">
        <f t="shared" si="83"/>
        <v>0</v>
      </c>
      <c r="U300" s="1313">
        <f t="shared" si="77"/>
        <v>0</v>
      </c>
      <c r="V300" s="1313">
        <f t="shared" si="78"/>
        <v>0</v>
      </c>
      <c r="W300" s="1310"/>
      <c r="X300" s="1313">
        <f t="shared" si="79"/>
        <v>0</v>
      </c>
      <c r="Y300" s="1313">
        <f t="shared" si="80"/>
        <v>0</v>
      </c>
      <c r="Z300" s="1310"/>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-0.01</v>
      </c>
      <c r="R301" s="703">
        <f t="shared" si="81"/>
        <v>0</v>
      </c>
      <c r="S301" s="334">
        <f t="shared" si="82"/>
        <v>0</v>
      </c>
      <c r="T301" s="1181">
        <f t="shared" si="83"/>
        <v>0</v>
      </c>
      <c r="U301" s="1313">
        <f t="shared" si="77"/>
        <v>0</v>
      </c>
      <c r="V301" s="1313">
        <f t="shared" si="78"/>
        <v>0</v>
      </c>
      <c r="W301" s="1310"/>
      <c r="X301" s="1313">
        <f t="shared" si="79"/>
        <v>0</v>
      </c>
      <c r="Y301" s="1313">
        <f t="shared" si="80"/>
        <v>0</v>
      </c>
      <c r="Z301" s="1310"/>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-0.01</v>
      </c>
      <c r="R302" s="703">
        <f t="shared" si="81"/>
        <v>0</v>
      </c>
      <c r="S302" s="334">
        <f t="shared" si="82"/>
        <v>0</v>
      </c>
      <c r="T302" s="1181">
        <f t="shared" si="83"/>
        <v>0</v>
      </c>
      <c r="U302" s="1313">
        <f t="shared" si="77"/>
        <v>0</v>
      </c>
      <c r="V302" s="1313">
        <f t="shared" si="78"/>
        <v>0</v>
      </c>
      <c r="W302" s="1310"/>
      <c r="X302" s="1313">
        <f t="shared" si="79"/>
        <v>0</v>
      </c>
      <c r="Y302" s="1313">
        <f t="shared" si="80"/>
        <v>0</v>
      </c>
      <c r="Z302" s="1310"/>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-0.01</v>
      </c>
      <c r="R303" s="703">
        <f t="shared" si="81"/>
        <v>0</v>
      </c>
      <c r="S303" s="334">
        <f t="shared" si="82"/>
        <v>0</v>
      </c>
      <c r="T303" s="1181">
        <f t="shared" si="83"/>
        <v>0</v>
      </c>
      <c r="U303" s="1313">
        <f t="shared" si="77"/>
        <v>0</v>
      </c>
      <c r="V303" s="1313">
        <f t="shared" si="78"/>
        <v>0</v>
      </c>
      <c r="W303" s="1310"/>
      <c r="X303" s="1313">
        <f t="shared" si="79"/>
        <v>0</v>
      </c>
      <c r="Y303" s="1313">
        <f t="shared" si="80"/>
        <v>0</v>
      </c>
      <c r="Z303" s="1310"/>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-0.01</v>
      </c>
      <c r="R304" s="703">
        <f t="shared" si="81"/>
        <v>0</v>
      </c>
      <c r="S304" s="334">
        <f t="shared" si="82"/>
        <v>0</v>
      </c>
      <c r="T304" s="1181">
        <f t="shared" si="83"/>
        <v>0</v>
      </c>
      <c r="U304" s="1313">
        <f t="shared" si="77"/>
        <v>0</v>
      </c>
      <c r="V304" s="1313">
        <f t="shared" si="78"/>
        <v>0</v>
      </c>
      <c r="W304" s="1310"/>
      <c r="X304" s="1313">
        <f t="shared" si="79"/>
        <v>0</v>
      </c>
      <c r="Y304" s="1313">
        <f t="shared" si="80"/>
        <v>0</v>
      </c>
      <c r="Z304" s="1310"/>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-0.01</v>
      </c>
      <c r="R305" s="703">
        <f t="shared" si="81"/>
        <v>0</v>
      </c>
      <c r="S305" s="334">
        <f t="shared" si="82"/>
        <v>0</v>
      </c>
      <c r="T305" s="1181">
        <f t="shared" si="83"/>
        <v>0</v>
      </c>
      <c r="U305" s="1313">
        <f t="shared" si="77"/>
        <v>0</v>
      </c>
      <c r="V305" s="1313">
        <f t="shared" si="78"/>
        <v>0</v>
      </c>
      <c r="W305" s="1310"/>
      <c r="X305" s="1313">
        <f t="shared" si="79"/>
        <v>0</v>
      </c>
      <c r="Y305" s="1313">
        <f t="shared" si="80"/>
        <v>0</v>
      </c>
      <c r="Z305" s="1310"/>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-0.01</v>
      </c>
      <c r="R306" s="703">
        <f t="shared" si="81"/>
        <v>0</v>
      </c>
      <c r="S306" s="334">
        <f t="shared" si="82"/>
        <v>0</v>
      </c>
      <c r="T306" s="1181">
        <f t="shared" si="83"/>
        <v>0</v>
      </c>
      <c r="U306" s="1313">
        <f t="shared" si="77"/>
        <v>0</v>
      </c>
      <c r="V306" s="1313">
        <f t="shared" si="78"/>
        <v>0</v>
      </c>
      <c r="W306" s="1310"/>
      <c r="X306" s="1313">
        <f t="shared" si="79"/>
        <v>0</v>
      </c>
      <c r="Y306" s="1313">
        <f t="shared" si="80"/>
        <v>0</v>
      </c>
      <c r="Z306" s="1310"/>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-0.01</v>
      </c>
      <c r="R307" s="703">
        <f t="shared" si="81"/>
        <v>0</v>
      </c>
      <c r="S307" s="334">
        <f t="shared" si="82"/>
        <v>0</v>
      </c>
      <c r="T307" s="1181">
        <f t="shared" si="83"/>
        <v>0</v>
      </c>
      <c r="U307" s="1313">
        <f t="shared" si="77"/>
        <v>0</v>
      </c>
      <c r="V307" s="1313">
        <f t="shared" si="78"/>
        <v>0</v>
      </c>
      <c r="W307" s="1310"/>
      <c r="X307" s="1313">
        <f t="shared" si="79"/>
        <v>0</v>
      </c>
      <c r="Y307" s="1313">
        <f t="shared" si="80"/>
        <v>0</v>
      </c>
      <c r="Z307" s="1310"/>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-0.01</v>
      </c>
      <c r="R308" s="703">
        <f t="shared" si="81"/>
        <v>0</v>
      </c>
      <c r="S308" s="334">
        <f t="shared" si="82"/>
        <v>0</v>
      </c>
      <c r="T308" s="1181">
        <f t="shared" si="83"/>
        <v>0</v>
      </c>
      <c r="U308" s="1313">
        <f t="shared" si="77"/>
        <v>0</v>
      </c>
      <c r="V308" s="1313">
        <f t="shared" si="78"/>
        <v>0</v>
      </c>
      <c r="W308" s="1310"/>
      <c r="X308" s="1313">
        <f t="shared" si="79"/>
        <v>0</v>
      </c>
      <c r="Y308" s="1313">
        <f t="shared" si="80"/>
        <v>0</v>
      </c>
      <c r="Z308" s="1310"/>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-0.01</v>
      </c>
      <c r="R309" s="703">
        <f t="shared" si="81"/>
        <v>0</v>
      </c>
      <c r="S309" s="334">
        <f t="shared" si="82"/>
        <v>0</v>
      </c>
      <c r="T309" s="1181">
        <f t="shared" si="83"/>
        <v>0</v>
      </c>
      <c r="U309" s="1313">
        <f t="shared" si="77"/>
        <v>0</v>
      </c>
      <c r="V309" s="1313">
        <f t="shared" si="78"/>
        <v>0</v>
      </c>
      <c r="W309" s="1310"/>
      <c r="X309" s="1313">
        <f t="shared" si="79"/>
        <v>0</v>
      </c>
      <c r="Y309" s="1313">
        <f t="shared" si="80"/>
        <v>0</v>
      </c>
      <c r="Z309" s="1310"/>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-0.01</v>
      </c>
      <c r="R310" s="703">
        <f t="shared" si="81"/>
        <v>0</v>
      </c>
      <c r="S310" s="334">
        <f t="shared" si="82"/>
        <v>0</v>
      </c>
      <c r="T310" s="1181">
        <f t="shared" si="83"/>
        <v>0</v>
      </c>
      <c r="U310" s="1313">
        <f t="shared" si="77"/>
        <v>0</v>
      </c>
      <c r="V310" s="1313">
        <f t="shared" si="78"/>
        <v>0</v>
      </c>
      <c r="W310" s="1310"/>
      <c r="X310" s="1313">
        <f t="shared" si="79"/>
        <v>0</v>
      </c>
      <c r="Y310" s="1313">
        <f t="shared" si="80"/>
        <v>0</v>
      </c>
      <c r="Z310" s="1310"/>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-0.01</v>
      </c>
      <c r="R311" s="703">
        <f t="shared" si="81"/>
        <v>0</v>
      </c>
      <c r="S311" s="334">
        <f t="shared" si="82"/>
        <v>0</v>
      </c>
      <c r="T311" s="1181">
        <f t="shared" si="83"/>
        <v>0</v>
      </c>
      <c r="U311" s="1313">
        <f t="shared" si="77"/>
        <v>0</v>
      </c>
      <c r="V311" s="1313">
        <f t="shared" si="78"/>
        <v>0</v>
      </c>
      <c r="W311" s="1310"/>
      <c r="X311" s="1313">
        <f t="shared" si="79"/>
        <v>0</v>
      </c>
      <c r="Y311" s="1313">
        <f t="shared" si="80"/>
        <v>0</v>
      </c>
      <c r="Z311" s="1310"/>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-0.01</v>
      </c>
      <c r="R312" s="703">
        <f t="shared" si="81"/>
        <v>0</v>
      </c>
      <c r="S312" s="334">
        <f t="shared" si="82"/>
        <v>0</v>
      </c>
      <c r="T312" s="1181">
        <f t="shared" si="83"/>
        <v>0</v>
      </c>
      <c r="U312" s="1313">
        <f t="shared" si="77"/>
        <v>0</v>
      </c>
      <c r="V312" s="1313">
        <f t="shared" si="78"/>
        <v>0</v>
      </c>
      <c r="W312" s="1310"/>
      <c r="X312" s="1313">
        <f t="shared" si="79"/>
        <v>0</v>
      </c>
      <c r="Y312" s="1313">
        <f t="shared" si="80"/>
        <v>0</v>
      </c>
      <c r="Z312" s="1310"/>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-0.01</v>
      </c>
      <c r="R313" s="703">
        <f t="shared" si="81"/>
        <v>0</v>
      </c>
      <c r="S313" s="334">
        <f t="shared" si="82"/>
        <v>0</v>
      </c>
      <c r="T313" s="1181">
        <f t="shared" si="83"/>
        <v>0</v>
      </c>
      <c r="U313" s="1313">
        <f t="shared" si="77"/>
        <v>0</v>
      </c>
      <c r="V313" s="1313">
        <f t="shared" si="78"/>
        <v>0</v>
      </c>
      <c r="W313" s="1310"/>
      <c r="X313" s="1313">
        <f t="shared" si="79"/>
        <v>0</v>
      </c>
      <c r="Y313" s="1313">
        <f t="shared" si="80"/>
        <v>0</v>
      </c>
      <c r="Z313" s="1310"/>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-0.01</v>
      </c>
      <c r="R314" s="703">
        <f t="shared" si="81"/>
        <v>0</v>
      </c>
      <c r="S314" s="334">
        <f t="shared" si="82"/>
        <v>0</v>
      </c>
      <c r="T314" s="1181">
        <f t="shared" si="83"/>
        <v>0</v>
      </c>
      <c r="U314" s="1313">
        <f t="shared" si="77"/>
        <v>0</v>
      </c>
      <c r="V314" s="1313">
        <f t="shared" si="78"/>
        <v>0</v>
      </c>
      <c r="W314" s="1310"/>
      <c r="X314" s="1313">
        <f t="shared" si="79"/>
        <v>0</v>
      </c>
      <c r="Y314" s="1313">
        <f t="shared" si="80"/>
        <v>0</v>
      </c>
      <c r="Z314" s="1310"/>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-0.01</v>
      </c>
      <c r="R315" s="703">
        <f t="shared" si="81"/>
        <v>0</v>
      </c>
      <c r="S315" s="334">
        <f t="shared" si="82"/>
        <v>0</v>
      </c>
      <c r="T315" s="1181">
        <f t="shared" si="83"/>
        <v>0</v>
      </c>
      <c r="U315" s="1313">
        <f t="shared" si="77"/>
        <v>0</v>
      </c>
      <c r="V315" s="1313">
        <f t="shared" si="78"/>
        <v>0</v>
      </c>
      <c r="W315" s="1310"/>
      <c r="X315" s="1313">
        <f t="shared" si="79"/>
        <v>0</v>
      </c>
      <c r="Y315" s="1313">
        <f t="shared" si="80"/>
        <v>0</v>
      </c>
      <c r="Z315" s="1310"/>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-0.01</v>
      </c>
      <c r="R316" s="703">
        <f t="shared" si="81"/>
        <v>0</v>
      </c>
      <c r="S316" s="334">
        <f t="shared" si="82"/>
        <v>0</v>
      </c>
      <c r="T316" s="1181">
        <f t="shared" si="83"/>
        <v>0</v>
      </c>
      <c r="U316" s="1313">
        <f t="shared" si="77"/>
        <v>0</v>
      </c>
      <c r="V316" s="1313">
        <f t="shared" si="78"/>
        <v>0</v>
      </c>
      <c r="W316" s="1310"/>
      <c r="X316" s="1313">
        <f t="shared" si="79"/>
        <v>0</v>
      </c>
      <c r="Y316" s="1313">
        <f t="shared" si="80"/>
        <v>0</v>
      </c>
      <c r="Z316" s="1310"/>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-0.01</v>
      </c>
      <c r="R317" s="703">
        <f t="shared" si="81"/>
        <v>0</v>
      </c>
      <c r="S317" s="334">
        <f t="shared" si="82"/>
        <v>0</v>
      </c>
      <c r="T317" s="1181">
        <f t="shared" si="83"/>
        <v>0</v>
      </c>
      <c r="U317" s="1313">
        <f t="shared" si="77"/>
        <v>0</v>
      </c>
      <c r="V317" s="1313">
        <f t="shared" si="78"/>
        <v>0</v>
      </c>
      <c r="W317" s="1310"/>
      <c r="X317" s="1313">
        <f t="shared" si="79"/>
        <v>0</v>
      </c>
      <c r="Y317" s="1313">
        <f t="shared" si="80"/>
        <v>0</v>
      </c>
      <c r="Z317" s="1310"/>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-0.01</v>
      </c>
      <c r="R318" s="703">
        <f t="shared" si="81"/>
        <v>0</v>
      </c>
      <c r="S318" s="334">
        <f t="shared" si="82"/>
        <v>0</v>
      </c>
      <c r="T318" s="1181">
        <f t="shared" si="83"/>
        <v>0</v>
      </c>
      <c r="U318" s="1313">
        <f t="shared" si="77"/>
        <v>0</v>
      </c>
      <c r="V318" s="1313">
        <f t="shared" si="78"/>
        <v>0</v>
      </c>
      <c r="W318" s="1310"/>
      <c r="X318" s="1313">
        <f t="shared" si="79"/>
        <v>0</v>
      </c>
      <c r="Y318" s="1313">
        <f t="shared" si="80"/>
        <v>0</v>
      </c>
      <c r="Z318" s="1310"/>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-0.01</v>
      </c>
      <c r="R319" s="703">
        <f t="shared" si="81"/>
        <v>0</v>
      </c>
      <c r="S319" s="334">
        <f t="shared" si="82"/>
        <v>0</v>
      </c>
      <c r="T319" s="1181">
        <f t="shared" si="83"/>
        <v>0</v>
      </c>
      <c r="U319" s="1313">
        <f t="shared" si="77"/>
        <v>0</v>
      </c>
      <c r="V319" s="1313">
        <f t="shared" si="78"/>
        <v>0</v>
      </c>
      <c r="W319" s="1310"/>
      <c r="X319" s="1313">
        <f t="shared" si="79"/>
        <v>0</v>
      </c>
      <c r="Y319" s="1313">
        <f t="shared" si="80"/>
        <v>0</v>
      </c>
      <c r="Z319" s="1310"/>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-0.01</v>
      </c>
      <c r="R320" s="703">
        <f t="shared" si="81"/>
        <v>0</v>
      </c>
      <c r="S320" s="334">
        <f t="shared" si="82"/>
        <v>0</v>
      </c>
      <c r="T320" s="1181">
        <f t="shared" si="83"/>
        <v>0</v>
      </c>
      <c r="U320" s="1313">
        <f t="shared" si="77"/>
        <v>0</v>
      </c>
      <c r="V320" s="1313">
        <f t="shared" si="78"/>
        <v>0</v>
      </c>
      <c r="W320" s="1310"/>
      <c r="X320" s="1313">
        <f t="shared" si="79"/>
        <v>0</v>
      </c>
      <c r="Y320" s="1313">
        <f t="shared" si="80"/>
        <v>0</v>
      </c>
      <c r="Z320" s="1310"/>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-0.01</v>
      </c>
      <c r="R321" s="703">
        <f t="shared" si="81"/>
        <v>0</v>
      </c>
      <c r="S321" s="334">
        <f t="shared" si="82"/>
        <v>0</v>
      </c>
      <c r="T321" s="1181">
        <f t="shared" si="83"/>
        <v>0</v>
      </c>
      <c r="U321" s="1313">
        <f t="shared" si="77"/>
        <v>0</v>
      </c>
      <c r="V321" s="1313">
        <f t="shared" si="78"/>
        <v>0</v>
      </c>
      <c r="W321" s="1310"/>
      <c r="X321" s="1313">
        <f t="shared" si="79"/>
        <v>0</v>
      </c>
      <c r="Y321" s="1313">
        <f t="shared" si="80"/>
        <v>0</v>
      </c>
      <c r="Z321" s="1310"/>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-0.01</v>
      </c>
      <c r="R322" s="703">
        <f t="shared" si="81"/>
        <v>0</v>
      </c>
      <c r="S322" s="334">
        <f t="shared" si="82"/>
        <v>0</v>
      </c>
      <c r="T322" s="1181">
        <f t="shared" si="83"/>
        <v>0</v>
      </c>
      <c r="U322" s="1313">
        <f t="shared" si="77"/>
        <v>0</v>
      </c>
      <c r="V322" s="1313">
        <f t="shared" si="78"/>
        <v>0</v>
      </c>
      <c r="W322" s="1310"/>
      <c r="X322" s="1313">
        <f t="shared" si="79"/>
        <v>0</v>
      </c>
      <c r="Y322" s="1313">
        <f t="shared" si="80"/>
        <v>0</v>
      </c>
      <c r="Z322" s="1310"/>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-0.01</v>
      </c>
      <c r="R323" s="703">
        <f t="shared" si="81"/>
        <v>0</v>
      </c>
      <c r="S323" s="334">
        <f t="shared" si="82"/>
        <v>0</v>
      </c>
      <c r="T323" s="1181">
        <f t="shared" si="83"/>
        <v>0</v>
      </c>
      <c r="U323" s="1313">
        <f t="shared" si="77"/>
        <v>0</v>
      </c>
      <c r="V323" s="1313">
        <f t="shared" si="78"/>
        <v>0</v>
      </c>
      <c r="W323" s="1310"/>
      <c r="X323" s="1313">
        <f t="shared" si="79"/>
        <v>0</v>
      </c>
      <c r="Y323" s="1313">
        <f t="shared" si="80"/>
        <v>0</v>
      </c>
      <c r="Z323" s="1310"/>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-0.01</v>
      </c>
      <c r="R324" s="703">
        <f t="shared" si="81"/>
        <v>0</v>
      </c>
      <c r="S324" s="334">
        <f t="shared" si="82"/>
        <v>0</v>
      </c>
      <c r="T324" s="1181">
        <f t="shared" si="83"/>
        <v>0</v>
      </c>
      <c r="U324" s="1313">
        <f t="shared" si="77"/>
        <v>0</v>
      </c>
      <c r="V324" s="1313">
        <f t="shared" si="78"/>
        <v>0</v>
      </c>
      <c r="W324" s="1310"/>
      <c r="X324" s="1313">
        <f t="shared" si="79"/>
        <v>0</v>
      </c>
      <c r="Y324" s="1313">
        <f t="shared" si="80"/>
        <v>0</v>
      </c>
      <c r="Z324" s="1310"/>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-0.01</v>
      </c>
      <c r="R325" s="703">
        <f t="shared" si="81"/>
        <v>0</v>
      </c>
      <c r="S325" s="334">
        <f t="shared" si="82"/>
        <v>0</v>
      </c>
      <c r="T325" s="1181">
        <f t="shared" si="83"/>
        <v>0</v>
      </c>
      <c r="U325" s="1313">
        <f t="shared" si="77"/>
        <v>0</v>
      </c>
      <c r="V325" s="1313">
        <f t="shared" si="78"/>
        <v>0</v>
      </c>
      <c r="W325" s="1310"/>
      <c r="X325" s="1313">
        <f t="shared" si="79"/>
        <v>0</v>
      </c>
      <c r="Y325" s="1313">
        <f t="shared" si="80"/>
        <v>0</v>
      </c>
      <c r="Z325" s="1310"/>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-0.01</v>
      </c>
      <c r="R326" s="703">
        <f t="shared" si="81"/>
        <v>0</v>
      </c>
      <c r="S326" s="334">
        <f t="shared" si="82"/>
        <v>0</v>
      </c>
      <c r="T326" s="1181">
        <f t="shared" si="83"/>
        <v>0</v>
      </c>
      <c r="U326" s="1313">
        <f t="shared" si="77"/>
        <v>0</v>
      </c>
      <c r="V326" s="1313">
        <f t="shared" si="78"/>
        <v>0</v>
      </c>
      <c r="W326" s="1310"/>
      <c r="X326" s="1313">
        <f t="shared" si="79"/>
        <v>0</v>
      </c>
      <c r="Y326" s="1313">
        <f t="shared" si="80"/>
        <v>0</v>
      </c>
      <c r="Z326" s="1310"/>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-0.01</v>
      </c>
      <c r="R327" s="703">
        <f t="shared" si="81"/>
        <v>0</v>
      </c>
      <c r="S327" s="334">
        <f t="shared" si="82"/>
        <v>0</v>
      </c>
      <c r="T327" s="1181">
        <f t="shared" si="83"/>
        <v>0</v>
      </c>
      <c r="U327" s="1313">
        <f t="shared" si="77"/>
        <v>0</v>
      </c>
      <c r="V327" s="1313">
        <f t="shared" si="78"/>
        <v>0</v>
      </c>
      <c r="W327" s="1310"/>
      <c r="X327" s="1313">
        <f t="shared" si="79"/>
        <v>0</v>
      </c>
      <c r="Y327" s="1313">
        <f t="shared" si="80"/>
        <v>0</v>
      </c>
      <c r="Z327" s="1310"/>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-0.01</v>
      </c>
      <c r="R328" s="703">
        <f t="shared" si="81"/>
        <v>0</v>
      </c>
      <c r="S328" s="334">
        <f t="shared" si="82"/>
        <v>0</v>
      </c>
      <c r="T328" s="1181">
        <f t="shared" si="83"/>
        <v>0</v>
      </c>
      <c r="U328" s="1313">
        <f t="shared" si="77"/>
        <v>0</v>
      </c>
      <c r="V328" s="1313">
        <f t="shared" si="78"/>
        <v>0</v>
      </c>
      <c r="W328" s="1310"/>
      <c r="X328" s="1313">
        <f t="shared" si="79"/>
        <v>0</v>
      </c>
      <c r="Y328" s="1313">
        <f t="shared" si="80"/>
        <v>0</v>
      </c>
      <c r="Z328" s="1310"/>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-0.01</v>
      </c>
      <c r="R329" s="703">
        <f t="shared" si="81"/>
        <v>0</v>
      </c>
      <c r="S329" s="334">
        <f t="shared" si="82"/>
        <v>0</v>
      </c>
      <c r="T329" s="1181">
        <f t="shared" si="83"/>
        <v>0</v>
      </c>
      <c r="U329" s="1313">
        <f t="shared" si="77"/>
        <v>0</v>
      </c>
      <c r="V329" s="1313">
        <f t="shared" si="78"/>
        <v>0</v>
      </c>
      <c r="W329" s="1310"/>
      <c r="X329" s="1313">
        <f t="shared" si="79"/>
        <v>0</v>
      </c>
      <c r="Y329" s="1313">
        <f t="shared" si="80"/>
        <v>0</v>
      </c>
      <c r="Z329" s="1310"/>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-0.01</v>
      </c>
      <c r="R330" s="703">
        <f t="shared" si="81"/>
        <v>0</v>
      </c>
      <c r="S330" s="334">
        <f t="shared" si="82"/>
        <v>0</v>
      </c>
      <c r="T330" s="1181">
        <f t="shared" si="83"/>
        <v>0</v>
      </c>
      <c r="U330" s="1313">
        <f t="shared" si="77"/>
        <v>0</v>
      </c>
      <c r="V330" s="1313">
        <f t="shared" si="78"/>
        <v>0</v>
      </c>
      <c r="W330" s="1310"/>
      <c r="X330" s="1313">
        <f t="shared" si="79"/>
        <v>0</v>
      </c>
      <c r="Y330" s="1313">
        <f t="shared" si="80"/>
        <v>0</v>
      </c>
      <c r="Z330" s="1310"/>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-0.01</v>
      </c>
      <c r="R331" s="703">
        <f t="shared" si="81"/>
        <v>0</v>
      </c>
      <c r="S331" s="334">
        <f t="shared" si="82"/>
        <v>0</v>
      </c>
      <c r="T331" s="1181">
        <f t="shared" si="83"/>
        <v>0</v>
      </c>
      <c r="U331" s="1313">
        <f t="shared" si="77"/>
        <v>0</v>
      </c>
      <c r="V331" s="1313">
        <f t="shared" si="78"/>
        <v>0</v>
      </c>
      <c r="W331" s="1310"/>
      <c r="X331" s="1313">
        <f t="shared" si="79"/>
        <v>0</v>
      </c>
      <c r="Y331" s="1313">
        <f t="shared" si="80"/>
        <v>0</v>
      </c>
      <c r="Z331" s="1310"/>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-0.01</v>
      </c>
      <c r="R332" s="703">
        <f t="shared" si="81"/>
        <v>0</v>
      </c>
      <c r="S332" s="334">
        <f t="shared" si="82"/>
        <v>0</v>
      </c>
      <c r="T332" s="1181">
        <f t="shared" si="83"/>
        <v>0</v>
      </c>
      <c r="U332" s="1313">
        <f t="shared" si="77"/>
        <v>0</v>
      </c>
      <c r="V332" s="1313">
        <f t="shared" si="78"/>
        <v>0</v>
      </c>
      <c r="W332" s="1310"/>
      <c r="X332" s="1313">
        <f t="shared" si="79"/>
        <v>0</v>
      </c>
      <c r="Y332" s="1313">
        <f t="shared" si="80"/>
        <v>0</v>
      </c>
      <c r="Z332" s="1310"/>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-0.01</v>
      </c>
      <c r="R333" s="703">
        <f t="shared" si="81"/>
        <v>0</v>
      </c>
      <c r="S333" s="334">
        <f t="shared" si="82"/>
        <v>0</v>
      </c>
      <c r="T333" s="1181">
        <f t="shared" si="83"/>
        <v>0</v>
      </c>
      <c r="U333" s="1313">
        <f t="shared" si="77"/>
        <v>0</v>
      </c>
      <c r="V333" s="1313">
        <f t="shared" si="78"/>
        <v>0</v>
      </c>
      <c r="W333" s="1310"/>
      <c r="X333" s="1313">
        <f t="shared" si="79"/>
        <v>0</v>
      </c>
      <c r="Y333" s="1313">
        <f t="shared" si="80"/>
        <v>0</v>
      </c>
      <c r="Z333" s="1310"/>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-0.01</v>
      </c>
      <c r="R334" s="703">
        <f t="shared" si="81"/>
        <v>0</v>
      </c>
      <c r="S334" s="334">
        <f t="shared" si="82"/>
        <v>0</v>
      </c>
      <c r="T334" s="1181">
        <f t="shared" si="83"/>
        <v>0</v>
      </c>
      <c r="U334" s="1313">
        <f t="shared" si="77"/>
        <v>0</v>
      </c>
      <c r="V334" s="1313">
        <f t="shared" si="78"/>
        <v>0</v>
      </c>
      <c r="W334" s="1310"/>
      <c r="X334" s="1313">
        <f t="shared" si="79"/>
        <v>0</v>
      </c>
      <c r="Y334" s="1313">
        <f t="shared" si="80"/>
        <v>0</v>
      </c>
      <c r="Z334" s="1310"/>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-0.01</v>
      </c>
      <c r="R335" s="703">
        <f t="shared" si="81"/>
        <v>0</v>
      </c>
      <c r="S335" s="334">
        <f t="shared" si="82"/>
        <v>0</v>
      </c>
      <c r="T335" s="1181">
        <f t="shared" si="83"/>
        <v>0</v>
      </c>
      <c r="U335" s="1313">
        <f t="shared" si="77"/>
        <v>0</v>
      </c>
      <c r="V335" s="1313">
        <f t="shared" si="78"/>
        <v>0</v>
      </c>
      <c r="W335" s="1310"/>
      <c r="X335" s="1313">
        <f t="shared" si="79"/>
        <v>0</v>
      </c>
      <c r="Y335" s="1313">
        <f t="shared" si="80"/>
        <v>0</v>
      </c>
      <c r="Z335" s="1310"/>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-0.01</v>
      </c>
      <c r="R336" s="703">
        <f t="shared" si="81"/>
        <v>0</v>
      </c>
      <c r="S336" s="334">
        <f t="shared" si="82"/>
        <v>0</v>
      </c>
      <c r="T336" s="1181">
        <f t="shared" si="83"/>
        <v>0</v>
      </c>
      <c r="U336" s="1313">
        <f t="shared" si="77"/>
        <v>0</v>
      </c>
      <c r="V336" s="1313">
        <f t="shared" si="78"/>
        <v>0</v>
      </c>
      <c r="W336" s="1310"/>
      <c r="X336" s="1313">
        <f t="shared" si="79"/>
        <v>0</v>
      </c>
      <c r="Y336" s="1313">
        <f t="shared" si="80"/>
        <v>0</v>
      </c>
      <c r="Z336" s="1310"/>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-0.01</v>
      </c>
      <c r="R337" s="703">
        <f t="shared" si="81"/>
        <v>0</v>
      </c>
      <c r="S337" s="334">
        <f t="shared" si="82"/>
        <v>0</v>
      </c>
      <c r="T337" s="1181">
        <f t="shared" si="83"/>
        <v>0</v>
      </c>
      <c r="U337" s="1313">
        <f t="shared" si="77"/>
        <v>0</v>
      </c>
      <c r="V337" s="1313">
        <f t="shared" si="78"/>
        <v>0</v>
      </c>
      <c r="W337" s="1310"/>
      <c r="X337" s="1313">
        <f t="shared" si="79"/>
        <v>0</v>
      </c>
      <c r="Y337" s="1313">
        <f t="shared" si="80"/>
        <v>0</v>
      </c>
      <c r="Z337" s="1310"/>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-0.01</v>
      </c>
      <c r="R338" s="703">
        <f t="shared" si="81"/>
        <v>0</v>
      </c>
      <c r="S338" s="334">
        <f t="shared" si="82"/>
        <v>0</v>
      </c>
      <c r="T338" s="1181">
        <f t="shared" si="83"/>
        <v>0</v>
      </c>
      <c r="U338" s="1313">
        <f t="shared" si="77"/>
        <v>0</v>
      </c>
      <c r="V338" s="1313">
        <f t="shared" si="78"/>
        <v>0</v>
      </c>
      <c r="W338" s="1310"/>
      <c r="X338" s="1313">
        <f t="shared" si="79"/>
        <v>0</v>
      </c>
      <c r="Y338" s="1313">
        <f t="shared" si="80"/>
        <v>0</v>
      </c>
      <c r="Z338" s="1310"/>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-0.01</v>
      </c>
      <c r="R339" s="703">
        <f t="shared" si="81"/>
        <v>0</v>
      </c>
      <c r="S339" s="334">
        <f t="shared" si="82"/>
        <v>0</v>
      </c>
      <c r="T339" s="1181">
        <f t="shared" si="83"/>
        <v>0</v>
      </c>
      <c r="U339" s="1313">
        <f t="shared" si="77"/>
        <v>0</v>
      </c>
      <c r="V339" s="1313">
        <f t="shared" si="78"/>
        <v>0</v>
      </c>
      <c r="W339" s="1310"/>
      <c r="X339" s="1313">
        <f t="shared" si="79"/>
        <v>0</v>
      </c>
      <c r="Y339" s="1313">
        <f t="shared" si="80"/>
        <v>0</v>
      </c>
      <c r="Z339" s="1310"/>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-0.01</v>
      </c>
      <c r="R340" s="703">
        <f t="shared" si="81"/>
        <v>0</v>
      </c>
      <c r="S340" s="334">
        <f t="shared" si="82"/>
        <v>0</v>
      </c>
      <c r="T340" s="1181">
        <f t="shared" si="83"/>
        <v>0</v>
      </c>
      <c r="U340" s="1313">
        <f t="shared" si="77"/>
        <v>0</v>
      </c>
      <c r="V340" s="1313">
        <f t="shared" si="78"/>
        <v>0</v>
      </c>
      <c r="W340" s="1310"/>
      <c r="X340" s="1313">
        <f t="shared" si="79"/>
        <v>0</v>
      </c>
      <c r="Y340" s="1313">
        <f t="shared" si="80"/>
        <v>0</v>
      </c>
      <c r="Z340" s="1310"/>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-0.01</v>
      </c>
      <c r="R341" s="703">
        <f t="shared" si="81"/>
        <v>0</v>
      </c>
      <c r="S341" s="334">
        <f t="shared" si="82"/>
        <v>0</v>
      </c>
      <c r="T341" s="1181">
        <f t="shared" si="83"/>
        <v>0</v>
      </c>
      <c r="U341" s="1313">
        <f t="shared" si="77"/>
        <v>0</v>
      </c>
      <c r="V341" s="1313">
        <f t="shared" si="78"/>
        <v>0</v>
      </c>
      <c r="W341" s="1310"/>
      <c r="X341" s="1313">
        <f t="shared" si="79"/>
        <v>0</v>
      </c>
      <c r="Y341" s="1313">
        <f t="shared" si="80"/>
        <v>0</v>
      </c>
      <c r="Z341" s="1310"/>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-0.01</v>
      </c>
      <c r="R342" s="703">
        <f t="shared" si="81"/>
        <v>0</v>
      </c>
      <c r="S342" s="334">
        <f t="shared" si="82"/>
        <v>0</v>
      </c>
      <c r="T342" s="1181">
        <f t="shared" si="83"/>
        <v>0</v>
      </c>
      <c r="U342" s="1313">
        <f t="shared" si="77"/>
        <v>0</v>
      </c>
      <c r="V342" s="1313">
        <f t="shared" si="78"/>
        <v>0</v>
      </c>
      <c r="W342" s="1310"/>
      <c r="X342" s="1313">
        <f t="shared" si="79"/>
        <v>0</v>
      </c>
      <c r="Y342" s="1313">
        <f t="shared" si="80"/>
        <v>0</v>
      </c>
      <c r="Z342" s="1310"/>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-0.01</v>
      </c>
      <c r="R343" s="703">
        <f t="shared" si="81"/>
        <v>0</v>
      </c>
      <c r="S343" s="334">
        <f t="shared" si="82"/>
        <v>0</v>
      </c>
      <c r="T343" s="1181">
        <f t="shared" si="83"/>
        <v>0</v>
      </c>
      <c r="U343" s="1313">
        <f t="shared" si="77"/>
        <v>0</v>
      </c>
      <c r="V343" s="1313">
        <f t="shared" si="78"/>
        <v>0</v>
      </c>
      <c r="W343" s="1310"/>
      <c r="X343" s="1313">
        <f t="shared" si="79"/>
        <v>0</v>
      </c>
      <c r="Y343" s="1313">
        <f t="shared" si="80"/>
        <v>0</v>
      </c>
      <c r="Z343" s="1310"/>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-0.01</v>
      </c>
      <c r="R344" s="703">
        <f t="shared" si="81"/>
        <v>0</v>
      </c>
      <c r="S344" s="334">
        <f t="shared" si="82"/>
        <v>0</v>
      </c>
      <c r="T344" s="1181">
        <f t="shared" si="83"/>
        <v>0</v>
      </c>
      <c r="U344" s="1313">
        <f t="shared" si="77"/>
        <v>0</v>
      </c>
      <c r="V344" s="1313">
        <f t="shared" si="78"/>
        <v>0</v>
      </c>
      <c r="W344" s="1310"/>
      <c r="X344" s="1313">
        <f t="shared" si="79"/>
        <v>0</v>
      </c>
      <c r="Y344" s="1313">
        <f t="shared" si="80"/>
        <v>0</v>
      </c>
      <c r="Z344" s="1310"/>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-0.01</v>
      </c>
      <c r="R345" s="703">
        <f t="shared" si="81"/>
        <v>0</v>
      </c>
      <c r="S345" s="334">
        <f t="shared" si="82"/>
        <v>0</v>
      </c>
      <c r="T345" s="1181">
        <f t="shared" si="83"/>
        <v>0</v>
      </c>
      <c r="U345" s="1313">
        <f t="shared" si="77"/>
        <v>0</v>
      </c>
      <c r="V345" s="1313">
        <f t="shared" si="78"/>
        <v>0</v>
      </c>
      <c r="W345" s="1310"/>
      <c r="X345" s="1313">
        <f t="shared" si="79"/>
        <v>0</v>
      </c>
      <c r="Y345" s="1313">
        <f t="shared" si="80"/>
        <v>0</v>
      </c>
      <c r="Z345" s="1310"/>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-0.01</v>
      </c>
      <c r="R346" s="703">
        <f t="shared" si="81"/>
        <v>0</v>
      </c>
      <c r="S346" s="334">
        <f t="shared" si="82"/>
        <v>0</v>
      </c>
      <c r="T346" s="1181">
        <f t="shared" si="83"/>
        <v>0</v>
      </c>
      <c r="U346" s="1313">
        <f t="shared" si="77"/>
        <v>0</v>
      </c>
      <c r="V346" s="1313">
        <f t="shared" si="78"/>
        <v>0</v>
      </c>
      <c r="W346" s="1310"/>
      <c r="X346" s="1313">
        <f t="shared" si="79"/>
        <v>0</v>
      </c>
      <c r="Y346" s="1313">
        <f t="shared" si="80"/>
        <v>0</v>
      </c>
      <c r="Z346" s="1310"/>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-0.01</v>
      </c>
      <c r="R347" s="703">
        <f t="shared" si="81"/>
        <v>0</v>
      </c>
      <c r="S347" s="334">
        <f t="shared" si="82"/>
        <v>0</v>
      </c>
      <c r="T347" s="1181">
        <f t="shared" si="83"/>
        <v>0</v>
      </c>
      <c r="U347" s="1313">
        <f t="shared" si="77"/>
        <v>0</v>
      </c>
      <c r="V347" s="1313">
        <f t="shared" si="78"/>
        <v>0</v>
      </c>
      <c r="W347" s="1310"/>
      <c r="X347" s="1313">
        <f t="shared" si="79"/>
        <v>0</v>
      </c>
      <c r="Y347" s="1313">
        <f t="shared" si="80"/>
        <v>0</v>
      </c>
      <c r="Z347" s="1310"/>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-0.01</v>
      </c>
      <c r="R348" s="703">
        <f t="shared" si="81"/>
        <v>0</v>
      </c>
      <c r="S348" s="334">
        <f t="shared" si="82"/>
        <v>0</v>
      </c>
      <c r="T348" s="1181">
        <f t="shared" si="83"/>
        <v>0</v>
      </c>
      <c r="U348" s="1313">
        <f t="shared" ref="U348:U411" si="92">ROUND(W348*B348,0)</f>
        <v>0</v>
      </c>
      <c r="V348" s="1313">
        <f t="shared" ref="V348:V411" si="93">ROUND(W348*B348/10000,0)</f>
        <v>0</v>
      </c>
      <c r="W348" s="1310"/>
      <c r="X348" s="1313">
        <f t="shared" ref="X348:X411" si="94">ROUND(Z348*B348,0)</f>
        <v>0</v>
      </c>
      <c r="Y348" s="1313">
        <f t="shared" ref="Y348:Y411" si="95">ROUND(Z348*B348/10000,0)</f>
        <v>0</v>
      </c>
      <c r="Z348" s="1310"/>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-0.01</v>
      </c>
      <c r="R349" s="703">
        <f t="shared" ref="R349:R412" si="96">IF(B349="",0,ROUND($R$27*C349*E349*G349*I349*K349*M349*O349*Q349,0))</f>
        <v>0</v>
      </c>
      <c r="S349" s="334">
        <f t="shared" ref="S349:S412" si="97">ROUND(R349*B349,0)</f>
        <v>0</v>
      </c>
      <c r="T349" s="1181">
        <f t="shared" ref="T349:T412" si="98">ROUND(R349*B349/10000,0)</f>
        <v>0</v>
      </c>
      <c r="U349" s="1313">
        <f t="shared" si="92"/>
        <v>0</v>
      </c>
      <c r="V349" s="1313">
        <f t="shared" si="93"/>
        <v>0</v>
      </c>
      <c r="W349" s="1310"/>
      <c r="X349" s="1313">
        <f t="shared" si="94"/>
        <v>0</v>
      </c>
      <c r="Y349" s="1313">
        <f t="shared" si="95"/>
        <v>0</v>
      </c>
      <c r="Z349" s="1310"/>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-0.01</v>
      </c>
      <c r="R350" s="703">
        <f t="shared" si="96"/>
        <v>0</v>
      </c>
      <c r="S350" s="334">
        <f t="shared" si="97"/>
        <v>0</v>
      </c>
      <c r="T350" s="1181">
        <f t="shared" si="98"/>
        <v>0</v>
      </c>
      <c r="U350" s="1313">
        <f t="shared" si="92"/>
        <v>0</v>
      </c>
      <c r="V350" s="1313">
        <f t="shared" si="93"/>
        <v>0</v>
      </c>
      <c r="W350" s="1310"/>
      <c r="X350" s="1313">
        <f t="shared" si="94"/>
        <v>0</v>
      </c>
      <c r="Y350" s="1313">
        <f t="shared" si="95"/>
        <v>0</v>
      </c>
      <c r="Z350" s="1310"/>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-0.01</v>
      </c>
      <c r="R351" s="703">
        <f t="shared" si="96"/>
        <v>0</v>
      </c>
      <c r="S351" s="334">
        <f t="shared" si="97"/>
        <v>0</v>
      </c>
      <c r="T351" s="1181">
        <f t="shared" si="98"/>
        <v>0</v>
      </c>
      <c r="U351" s="1313">
        <f t="shared" si="92"/>
        <v>0</v>
      </c>
      <c r="V351" s="1313">
        <f t="shared" si="93"/>
        <v>0</v>
      </c>
      <c r="W351" s="1310"/>
      <c r="X351" s="1313">
        <f t="shared" si="94"/>
        <v>0</v>
      </c>
      <c r="Y351" s="1313">
        <f t="shared" si="95"/>
        <v>0</v>
      </c>
      <c r="Z351" s="1310"/>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-0.01</v>
      </c>
      <c r="R352" s="703">
        <f t="shared" si="96"/>
        <v>0</v>
      </c>
      <c r="S352" s="334">
        <f t="shared" si="97"/>
        <v>0</v>
      </c>
      <c r="T352" s="1181">
        <f t="shared" si="98"/>
        <v>0</v>
      </c>
      <c r="U352" s="1313">
        <f t="shared" si="92"/>
        <v>0</v>
      </c>
      <c r="V352" s="1313">
        <f t="shared" si="93"/>
        <v>0</v>
      </c>
      <c r="W352" s="1310"/>
      <c r="X352" s="1313">
        <f t="shared" si="94"/>
        <v>0</v>
      </c>
      <c r="Y352" s="1313">
        <f t="shared" si="95"/>
        <v>0</v>
      </c>
      <c r="Z352" s="1310"/>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-0.01</v>
      </c>
      <c r="R353" s="703">
        <f t="shared" si="96"/>
        <v>0</v>
      </c>
      <c r="S353" s="334">
        <f t="shared" si="97"/>
        <v>0</v>
      </c>
      <c r="T353" s="1181">
        <f t="shared" si="98"/>
        <v>0</v>
      </c>
      <c r="U353" s="1313">
        <f t="shared" si="92"/>
        <v>0</v>
      </c>
      <c r="V353" s="1313">
        <f t="shared" si="93"/>
        <v>0</v>
      </c>
      <c r="W353" s="1310"/>
      <c r="X353" s="1313">
        <f t="shared" si="94"/>
        <v>0</v>
      </c>
      <c r="Y353" s="1313">
        <f t="shared" si="95"/>
        <v>0</v>
      </c>
      <c r="Z353" s="1310"/>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-0.01</v>
      </c>
      <c r="R354" s="703">
        <f t="shared" si="96"/>
        <v>0</v>
      </c>
      <c r="S354" s="334">
        <f t="shared" si="97"/>
        <v>0</v>
      </c>
      <c r="T354" s="1181">
        <f t="shared" si="98"/>
        <v>0</v>
      </c>
      <c r="U354" s="1313">
        <f t="shared" si="92"/>
        <v>0</v>
      </c>
      <c r="V354" s="1313">
        <f t="shared" si="93"/>
        <v>0</v>
      </c>
      <c r="W354" s="1310"/>
      <c r="X354" s="1313">
        <f t="shared" si="94"/>
        <v>0</v>
      </c>
      <c r="Y354" s="1313">
        <f t="shared" si="95"/>
        <v>0</v>
      </c>
      <c r="Z354" s="1310"/>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-0.01</v>
      </c>
      <c r="R355" s="703">
        <f t="shared" si="96"/>
        <v>0</v>
      </c>
      <c r="S355" s="334">
        <f t="shared" si="97"/>
        <v>0</v>
      </c>
      <c r="T355" s="1181">
        <f t="shared" si="98"/>
        <v>0</v>
      </c>
      <c r="U355" s="1313">
        <f t="shared" si="92"/>
        <v>0</v>
      </c>
      <c r="V355" s="1313">
        <f t="shared" si="93"/>
        <v>0</v>
      </c>
      <c r="W355" s="1310"/>
      <c r="X355" s="1313">
        <f t="shared" si="94"/>
        <v>0</v>
      </c>
      <c r="Y355" s="1313">
        <f t="shared" si="95"/>
        <v>0</v>
      </c>
      <c r="Z355" s="1310"/>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-0.01</v>
      </c>
      <c r="R356" s="703">
        <f t="shared" si="96"/>
        <v>0</v>
      </c>
      <c r="S356" s="334">
        <f t="shared" si="97"/>
        <v>0</v>
      </c>
      <c r="T356" s="1181">
        <f t="shared" si="98"/>
        <v>0</v>
      </c>
      <c r="U356" s="1313">
        <f t="shared" si="92"/>
        <v>0</v>
      </c>
      <c r="V356" s="1313">
        <f t="shared" si="93"/>
        <v>0</v>
      </c>
      <c r="W356" s="1310"/>
      <c r="X356" s="1313">
        <f t="shared" si="94"/>
        <v>0</v>
      </c>
      <c r="Y356" s="1313">
        <f t="shared" si="95"/>
        <v>0</v>
      </c>
      <c r="Z356" s="1310"/>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-0.01</v>
      </c>
      <c r="R357" s="703">
        <f t="shared" si="96"/>
        <v>0</v>
      </c>
      <c r="S357" s="334">
        <f t="shared" si="97"/>
        <v>0</v>
      </c>
      <c r="T357" s="1181">
        <f t="shared" si="98"/>
        <v>0</v>
      </c>
      <c r="U357" s="1313">
        <f t="shared" si="92"/>
        <v>0</v>
      </c>
      <c r="V357" s="1313">
        <f t="shared" si="93"/>
        <v>0</v>
      </c>
      <c r="W357" s="1310"/>
      <c r="X357" s="1313">
        <f t="shared" si="94"/>
        <v>0</v>
      </c>
      <c r="Y357" s="1313">
        <f t="shared" si="95"/>
        <v>0</v>
      </c>
      <c r="Z357" s="1310"/>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-0.01</v>
      </c>
      <c r="R358" s="703">
        <f t="shared" si="96"/>
        <v>0</v>
      </c>
      <c r="S358" s="334">
        <f t="shared" si="97"/>
        <v>0</v>
      </c>
      <c r="T358" s="1181">
        <f t="shared" si="98"/>
        <v>0</v>
      </c>
      <c r="U358" s="1313">
        <f t="shared" si="92"/>
        <v>0</v>
      </c>
      <c r="V358" s="1313">
        <f t="shared" si="93"/>
        <v>0</v>
      </c>
      <c r="W358" s="1310"/>
      <c r="X358" s="1313">
        <f t="shared" si="94"/>
        <v>0</v>
      </c>
      <c r="Y358" s="1313">
        <f t="shared" si="95"/>
        <v>0</v>
      </c>
      <c r="Z358" s="1310"/>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-0.01</v>
      </c>
      <c r="R359" s="703">
        <f t="shared" si="96"/>
        <v>0</v>
      </c>
      <c r="S359" s="334">
        <f t="shared" si="97"/>
        <v>0</v>
      </c>
      <c r="T359" s="1181">
        <f t="shared" si="98"/>
        <v>0</v>
      </c>
      <c r="U359" s="1313">
        <f t="shared" si="92"/>
        <v>0</v>
      </c>
      <c r="V359" s="1313">
        <f t="shared" si="93"/>
        <v>0</v>
      </c>
      <c r="W359" s="1310"/>
      <c r="X359" s="1313">
        <f t="shared" si="94"/>
        <v>0</v>
      </c>
      <c r="Y359" s="1313">
        <f t="shared" si="95"/>
        <v>0</v>
      </c>
      <c r="Z359" s="1310"/>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-0.01</v>
      </c>
      <c r="R360" s="703">
        <f t="shared" si="96"/>
        <v>0</v>
      </c>
      <c r="S360" s="334">
        <f t="shared" si="97"/>
        <v>0</v>
      </c>
      <c r="T360" s="1181">
        <f t="shared" si="98"/>
        <v>0</v>
      </c>
      <c r="U360" s="1313">
        <f t="shared" si="92"/>
        <v>0</v>
      </c>
      <c r="V360" s="1313">
        <f t="shared" si="93"/>
        <v>0</v>
      </c>
      <c r="W360" s="1310"/>
      <c r="X360" s="1313">
        <f t="shared" si="94"/>
        <v>0</v>
      </c>
      <c r="Y360" s="1313">
        <f t="shared" si="95"/>
        <v>0</v>
      </c>
      <c r="Z360" s="1310"/>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-0.01</v>
      </c>
      <c r="R361" s="703">
        <f t="shared" si="96"/>
        <v>0</v>
      </c>
      <c r="S361" s="334">
        <f t="shared" si="97"/>
        <v>0</v>
      </c>
      <c r="T361" s="1181">
        <f t="shared" si="98"/>
        <v>0</v>
      </c>
      <c r="U361" s="1313">
        <f t="shared" si="92"/>
        <v>0</v>
      </c>
      <c r="V361" s="1313">
        <f t="shared" si="93"/>
        <v>0</v>
      </c>
      <c r="W361" s="1310"/>
      <c r="X361" s="1313">
        <f t="shared" si="94"/>
        <v>0</v>
      </c>
      <c r="Y361" s="1313">
        <f t="shared" si="95"/>
        <v>0</v>
      </c>
      <c r="Z361" s="1310"/>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-0.01</v>
      </c>
      <c r="R362" s="703">
        <f t="shared" si="96"/>
        <v>0</v>
      </c>
      <c r="S362" s="334">
        <f t="shared" si="97"/>
        <v>0</v>
      </c>
      <c r="T362" s="1181">
        <f t="shared" si="98"/>
        <v>0</v>
      </c>
      <c r="U362" s="1313">
        <f t="shared" si="92"/>
        <v>0</v>
      </c>
      <c r="V362" s="1313">
        <f t="shared" si="93"/>
        <v>0</v>
      </c>
      <c r="W362" s="1310"/>
      <c r="X362" s="1313">
        <f t="shared" si="94"/>
        <v>0</v>
      </c>
      <c r="Y362" s="1313">
        <f t="shared" si="95"/>
        <v>0</v>
      </c>
      <c r="Z362" s="1310"/>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-0.01</v>
      </c>
      <c r="R363" s="703">
        <f t="shared" si="96"/>
        <v>0</v>
      </c>
      <c r="S363" s="334">
        <f t="shared" si="97"/>
        <v>0</v>
      </c>
      <c r="T363" s="1181">
        <f t="shared" si="98"/>
        <v>0</v>
      </c>
      <c r="U363" s="1313">
        <f t="shared" si="92"/>
        <v>0</v>
      </c>
      <c r="V363" s="1313">
        <f t="shared" si="93"/>
        <v>0</v>
      </c>
      <c r="W363" s="1310"/>
      <c r="X363" s="1313">
        <f t="shared" si="94"/>
        <v>0</v>
      </c>
      <c r="Y363" s="1313">
        <f t="shared" si="95"/>
        <v>0</v>
      </c>
      <c r="Z363" s="1310"/>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-0.01</v>
      </c>
      <c r="R364" s="703">
        <f t="shared" si="96"/>
        <v>0</v>
      </c>
      <c r="S364" s="334">
        <f t="shared" si="97"/>
        <v>0</v>
      </c>
      <c r="T364" s="1181">
        <f t="shared" si="98"/>
        <v>0</v>
      </c>
      <c r="U364" s="1313">
        <f t="shared" si="92"/>
        <v>0</v>
      </c>
      <c r="V364" s="1313">
        <f t="shared" si="93"/>
        <v>0</v>
      </c>
      <c r="W364" s="1310"/>
      <c r="X364" s="1313">
        <f t="shared" si="94"/>
        <v>0</v>
      </c>
      <c r="Y364" s="1313">
        <f t="shared" si="95"/>
        <v>0</v>
      </c>
      <c r="Z364" s="1310"/>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-0.01</v>
      </c>
      <c r="R365" s="703">
        <f t="shared" si="96"/>
        <v>0</v>
      </c>
      <c r="S365" s="334">
        <f t="shared" si="97"/>
        <v>0</v>
      </c>
      <c r="T365" s="1181">
        <f t="shared" si="98"/>
        <v>0</v>
      </c>
      <c r="U365" s="1313">
        <f t="shared" si="92"/>
        <v>0</v>
      </c>
      <c r="V365" s="1313">
        <f t="shared" si="93"/>
        <v>0</v>
      </c>
      <c r="W365" s="1310"/>
      <c r="X365" s="1313">
        <f t="shared" si="94"/>
        <v>0</v>
      </c>
      <c r="Y365" s="1313">
        <f t="shared" si="95"/>
        <v>0</v>
      </c>
      <c r="Z365" s="1310"/>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-0.01</v>
      </c>
      <c r="R366" s="703">
        <f t="shared" si="96"/>
        <v>0</v>
      </c>
      <c r="S366" s="334">
        <f t="shared" si="97"/>
        <v>0</v>
      </c>
      <c r="T366" s="1181">
        <f t="shared" si="98"/>
        <v>0</v>
      </c>
      <c r="U366" s="1313">
        <f t="shared" si="92"/>
        <v>0</v>
      </c>
      <c r="V366" s="1313">
        <f t="shared" si="93"/>
        <v>0</v>
      </c>
      <c r="W366" s="1310"/>
      <c r="X366" s="1313">
        <f t="shared" si="94"/>
        <v>0</v>
      </c>
      <c r="Y366" s="1313">
        <f t="shared" si="95"/>
        <v>0</v>
      </c>
      <c r="Z366" s="1310"/>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-0.01</v>
      </c>
      <c r="R367" s="703">
        <f t="shared" si="96"/>
        <v>0</v>
      </c>
      <c r="S367" s="334">
        <f t="shared" si="97"/>
        <v>0</v>
      </c>
      <c r="T367" s="1181">
        <f t="shared" si="98"/>
        <v>0</v>
      </c>
      <c r="U367" s="1313">
        <f t="shared" si="92"/>
        <v>0</v>
      </c>
      <c r="V367" s="1313">
        <f t="shared" si="93"/>
        <v>0</v>
      </c>
      <c r="W367" s="1310"/>
      <c r="X367" s="1313">
        <f t="shared" si="94"/>
        <v>0</v>
      </c>
      <c r="Y367" s="1313">
        <f t="shared" si="95"/>
        <v>0</v>
      </c>
      <c r="Z367" s="1310"/>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-0.01</v>
      </c>
      <c r="R368" s="703">
        <f t="shared" si="96"/>
        <v>0</v>
      </c>
      <c r="S368" s="334">
        <f t="shared" si="97"/>
        <v>0</v>
      </c>
      <c r="T368" s="1181">
        <f t="shared" si="98"/>
        <v>0</v>
      </c>
      <c r="U368" s="1313">
        <f t="shared" si="92"/>
        <v>0</v>
      </c>
      <c r="V368" s="1313">
        <f t="shared" si="93"/>
        <v>0</v>
      </c>
      <c r="W368" s="1310"/>
      <c r="X368" s="1313">
        <f t="shared" si="94"/>
        <v>0</v>
      </c>
      <c r="Y368" s="1313">
        <f t="shared" si="95"/>
        <v>0</v>
      </c>
      <c r="Z368" s="1310"/>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-0.01</v>
      </c>
      <c r="R369" s="703">
        <f t="shared" si="96"/>
        <v>0</v>
      </c>
      <c r="S369" s="334">
        <f t="shared" si="97"/>
        <v>0</v>
      </c>
      <c r="T369" s="1181">
        <f t="shared" si="98"/>
        <v>0</v>
      </c>
      <c r="U369" s="1313">
        <f t="shared" si="92"/>
        <v>0</v>
      </c>
      <c r="V369" s="1313">
        <f t="shared" si="93"/>
        <v>0</v>
      </c>
      <c r="W369" s="1310"/>
      <c r="X369" s="1313">
        <f t="shared" si="94"/>
        <v>0</v>
      </c>
      <c r="Y369" s="1313">
        <f t="shared" si="95"/>
        <v>0</v>
      </c>
      <c r="Z369" s="1310"/>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-0.01</v>
      </c>
      <c r="R370" s="703">
        <f t="shared" si="96"/>
        <v>0</v>
      </c>
      <c r="S370" s="334">
        <f t="shared" si="97"/>
        <v>0</v>
      </c>
      <c r="T370" s="1181">
        <f t="shared" si="98"/>
        <v>0</v>
      </c>
      <c r="U370" s="1313">
        <f t="shared" si="92"/>
        <v>0</v>
      </c>
      <c r="V370" s="1313">
        <f t="shared" si="93"/>
        <v>0</v>
      </c>
      <c r="W370" s="1310"/>
      <c r="X370" s="1313">
        <f t="shared" si="94"/>
        <v>0</v>
      </c>
      <c r="Y370" s="1313">
        <f t="shared" si="95"/>
        <v>0</v>
      </c>
      <c r="Z370" s="1310"/>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-0.01</v>
      </c>
      <c r="R371" s="703">
        <f t="shared" si="96"/>
        <v>0</v>
      </c>
      <c r="S371" s="334">
        <f t="shared" si="97"/>
        <v>0</v>
      </c>
      <c r="T371" s="1181">
        <f t="shared" si="98"/>
        <v>0</v>
      </c>
      <c r="U371" s="1313">
        <f t="shared" si="92"/>
        <v>0</v>
      </c>
      <c r="V371" s="1313">
        <f t="shared" si="93"/>
        <v>0</v>
      </c>
      <c r="W371" s="1310"/>
      <c r="X371" s="1313">
        <f t="shared" si="94"/>
        <v>0</v>
      </c>
      <c r="Y371" s="1313">
        <f t="shared" si="95"/>
        <v>0</v>
      </c>
      <c r="Z371" s="1310"/>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-0.01</v>
      </c>
      <c r="R372" s="703">
        <f t="shared" si="96"/>
        <v>0</v>
      </c>
      <c r="S372" s="334">
        <f t="shared" si="97"/>
        <v>0</v>
      </c>
      <c r="T372" s="1181">
        <f t="shared" si="98"/>
        <v>0</v>
      </c>
      <c r="U372" s="1313">
        <f t="shared" si="92"/>
        <v>0</v>
      </c>
      <c r="V372" s="1313">
        <f t="shared" si="93"/>
        <v>0</v>
      </c>
      <c r="W372" s="1310"/>
      <c r="X372" s="1313">
        <f t="shared" si="94"/>
        <v>0</v>
      </c>
      <c r="Y372" s="1313">
        <f t="shared" si="95"/>
        <v>0</v>
      </c>
      <c r="Z372" s="1310"/>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-0.01</v>
      </c>
      <c r="R373" s="703">
        <f t="shared" si="96"/>
        <v>0</v>
      </c>
      <c r="S373" s="334">
        <f t="shared" si="97"/>
        <v>0</v>
      </c>
      <c r="T373" s="1181">
        <f t="shared" si="98"/>
        <v>0</v>
      </c>
      <c r="U373" s="1313">
        <f t="shared" si="92"/>
        <v>0</v>
      </c>
      <c r="V373" s="1313">
        <f t="shared" si="93"/>
        <v>0</v>
      </c>
      <c r="W373" s="1310"/>
      <c r="X373" s="1313">
        <f t="shared" si="94"/>
        <v>0</v>
      </c>
      <c r="Y373" s="1313">
        <f t="shared" si="95"/>
        <v>0</v>
      </c>
      <c r="Z373" s="1310"/>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-0.01</v>
      </c>
      <c r="R374" s="703">
        <f t="shared" si="96"/>
        <v>0</v>
      </c>
      <c r="S374" s="334">
        <f t="shared" si="97"/>
        <v>0</v>
      </c>
      <c r="T374" s="1181">
        <f t="shared" si="98"/>
        <v>0</v>
      </c>
      <c r="U374" s="1313">
        <f t="shared" si="92"/>
        <v>0</v>
      </c>
      <c r="V374" s="1313">
        <f t="shared" si="93"/>
        <v>0</v>
      </c>
      <c r="W374" s="1310"/>
      <c r="X374" s="1313">
        <f t="shared" si="94"/>
        <v>0</v>
      </c>
      <c r="Y374" s="1313">
        <f t="shared" si="95"/>
        <v>0</v>
      </c>
      <c r="Z374" s="1310"/>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-0.01</v>
      </c>
      <c r="R375" s="703">
        <f t="shared" si="96"/>
        <v>0</v>
      </c>
      <c r="S375" s="334">
        <f t="shared" si="97"/>
        <v>0</v>
      </c>
      <c r="T375" s="1181">
        <f t="shared" si="98"/>
        <v>0</v>
      </c>
      <c r="U375" s="1313">
        <f t="shared" si="92"/>
        <v>0</v>
      </c>
      <c r="V375" s="1313">
        <f t="shared" si="93"/>
        <v>0</v>
      </c>
      <c r="W375" s="1310"/>
      <c r="X375" s="1313">
        <f t="shared" si="94"/>
        <v>0</v>
      </c>
      <c r="Y375" s="1313">
        <f t="shared" si="95"/>
        <v>0</v>
      </c>
      <c r="Z375" s="1310"/>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-0.01</v>
      </c>
      <c r="R376" s="703">
        <f t="shared" si="96"/>
        <v>0</v>
      </c>
      <c r="S376" s="334">
        <f t="shared" si="97"/>
        <v>0</v>
      </c>
      <c r="T376" s="1181">
        <f t="shared" si="98"/>
        <v>0</v>
      </c>
      <c r="U376" s="1313">
        <f t="shared" si="92"/>
        <v>0</v>
      </c>
      <c r="V376" s="1313">
        <f t="shared" si="93"/>
        <v>0</v>
      </c>
      <c r="W376" s="1310"/>
      <c r="X376" s="1313">
        <f t="shared" si="94"/>
        <v>0</v>
      </c>
      <c r="Y376" s="1313">
        <f t="shared" si="95"/>
        <v>0</v>
      </c>
      <c r="Z376" s="1310"/>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-0.01</v>
      </c>
      <c r="R377" s="703">
        <f t="shared" si="96"/>
        <v>0</v>
      </c>
      <c r="S377" s="334">
        <f t="shared" si="97"/>
        <v>0</v>
      </c>
      <c r="T377" s="1181">
        <f t="shared" si="98"/>
        <v>0</v>
      </c>
      <c r="U377" s="1313">
        <f t="shared" si="92"/>
        <v>0</v>
      </c>
      <c r="V377" s="1313">
        <f t="shared" si="93"/>
        <v>0</v>
      </c>
      <c r="W377" s="1310"/>
      <c r="X377" s="1313">
        <f t="shared" si="94"/>
        <v>0</v>
      </c>
      <c r="Y377" s="1313">
        <f t="shared" si="95"/>
        <v>0</v>
      </c>
      <c r="Z377" s="1310"/>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-0.01</v>
      </c>
      <c r="R378" s="703">
        <f t="shared" si="96"/>
        <v>0</v>
      </c>
      <c r="S378" s="334">
        <f t="shared" si="97"/>
        <v>0</v>
      </c>
      <c r="T378" s="1181">
        <f t="shared" si="98"/>
        <v>0</v>
      </c>
      <c r="U378" s="1313">
        <f t="shared" si="92"/>
        <v>0</v>
      </c>
      <c r="V378" s="1313">
        <f t="shared" si="93"/>
        <v>0</v>
      </c>
      <c r="W378" s="1310"/>
      <c r="X378" s="1313">
        <f t="shared" si="94"/>
        <v>0</v>
      </c>
      <c r="Y378" s="1313">
        <f t="shared" si="95"/>
        <v>0</v>
      </c>
      <c r="Z378" s="1310"/>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-0.01</v>
      </c>
      <c r="R379" s="703">
        <f t="shared" si="96"/>
        <v>0</v>
      </c>
      <c r="S379" s="334">
        <f t="shared" si="97"/>
        <v>0</v>
      </c>
      <c r="T379" s="1181">
        <f t="shared" si="98"/>
        <v>0</v>
      </c>
      <c r="U379" s="1313">
        <f t="shared" si="92"/>
        <v>0</v>
      </c>
      <c r="V379" s="1313">
        <f t="shared" si="93"/>
        <v>0</v>
      </c>
      <c r="W379" s="1310"/>
      <c r="X379" s="1313">
        <f t="shared" si="94"/>
        <v>0</v>
      </c>
      <c r="Y379" s="1313">
        <f t="shared" si="95"/>
        <v>0</v>
      </c>
      <c r="Z379" s="1310"/>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-0.01</v>
      </c>
      <c r="R380" s="703">
        <f t="shared" si="96"/>
        <v>0</v>
      </c>
      <c r="S380" s="334">
        <f t="shared" si="97"/>
        <v>0</v>
      </c>
      <c r="T380" s="1181">
        <f t="shared" si="98"/>
        <v>0</v>
      </c>
      <c r="U380" s="1313">
        <f t="shared" si="92"/>
        <v>0</v>
      </c>
      <c r="V380" s="1313">
        <f t="shared" si="93"/>
        <v>0</v>
      </c>
      <c r="W380" s="1310"/>
      <c r="X380" s="1313">
        <f t="shared" si="94"/>
        <v>0</v>
      </c>
      <c r="Y380" s="1313">
        <f t="shared" si="95"/>
        <v>0</v>
      </c>
      <c r="Z380" s="1310"/>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-0.01</v>
      </c>
      <c r="R381" s="703">
        <f t="shared" si="96"/>
        <v>0</v>
      </c>
      <c r="S381" s="334">
        <f t="shared" si="97"/>
        <v>0</v>
      </c>
      <c r="T381" s="1181">
        <f t="shared" si="98"/>
        <v>0</v>
      </c>
      <c r="U381" s="1313">
        <f t="shared" si="92"/>
        <v>0</v>
      </c>
      <c r="V381" s="1313">
        <f t="shared" si="93"/>
        <v>0</v>
      </c>
      <c r="W381" s="1310"/>
      <c r="X381" s="1313">
        <f t="shared" si="94"/>
        <v>0</v>
      </c>
      <c r="Y381" s="1313">
        <f t="shared" si="95"/>
        <v>0</v>
      </c>
      <c r="Z381" s="1310"/>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-0.01</v>
      </c>
      <c r="R382" s="703">
        <f t="shared" si="96"/>
        <v>0</v>
      </c>
      <c r="S382" s="334">
        <f t="shared" si="97"/>
        <v>0</v>
      </c>
      <c r="T382" s="1181">
        <f t="shared" si="98"/>
        <v>0</v>
      </c>
      <c r="U382" s="1313">
        <f t="shared" si="92"/>
        <v>0</v>
      </c>
      <c r="V382" s="1313">
        <f t="shared" si="93"/>
        <v>0</v>
      </c>
      <c r="W382" s="1310"/>
      <c r="X382" s="1313">
        <f t="shared" si="94"/>
        <v>0</v>
      </c>
      <c r="Y382" s="1313">
        <f t="shared" si="95"/>
        <v>0</v>
      </c>
      <c r="Z382" s="1310"/>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-0.01</v>
      </c>
      <c r="R383" s="703">
        <f t="shared" si="96"/>
        <v>0</v>
      </c>
      <c r="S383" s="334">
        <f t="shared" si="97"/>
        <v>0</v>
      </c>
      <c r="T383" s="1181">
        <f t="shared" si="98"/>
        <v>0</v>
      </c>
      <c r="U383" s="1313">
        <f t="shared" si="92"/>
        <v>0</v>
      </c>
      <c r="V383" s="1313">
        <f t="shared" si="93"/>
        <v>0</v>
      </c>
      <c r="W383" s="1310"/>
      <c r="X383" s="1313">
        <f t="shared" si="94"/>
        <v>0</v>
      </c>
      <c r="Y383" s="1313">
        <f t="shared" si="95"/>
        <v>0</v>
      </c>
      <c r="Z383" s="1310"/>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-0.01</v>
      </c>
      <c r="R384" s="703">
        <f t="shared" si="96"/>
        <v>0</v>
      </c>
      <c r="S384" s="334">
        <f t="shared" si="97"/>
        <v>0</v>
      </c>
      <c r="T384" s="1181">
        <f t="shared" si="98"/>
        <v>0</v>
      </c>
      <c r="U384" s="1313">
        <f t="shared" si="92"/>
        <v>0</v>
      </c>
      <c r="V384" s="1313">
        <f t="shared" si="93"/>
        <v>0</v>
      </c>
      <c r="W384" s="1310"/>
      <c r="X384" s="1313">
        <f t="shared" si="94"/>
        <v>0</v>
      </c>
      <c r="Y384" s="1313">
        <f t="shared" si="95"/>
        <v>0</v>
      </c>
      <c r="Z384" s="1310"/>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-0.01</v>
      </c>
      <c r="R385" s="703">
        <f t="shared" si="96"/>
        <v>0</v>
      </c>
      <c r="S385" s="334">
        <f t="shared" si="97"/>
        <v>0</v>
      </c>
      <c r="T385" s="1181">
        <f t="shared" si="98"/>
        <v>0</v>
      </c>
      <c r="U385" s="1313">
        <f t="shared" si="92"/>
        <v>0</v>
      </c>
      <c r="V385" s="1313">
        <f t="shared" si="93"/>
        <v>0</v>
      </c>
      <c r="W385" s="1310"/>
      <c r="X385" s="1313">
        <f t="shared" si="94"/>
        <v>0</v>
      </c>
      <c r="Y385" s="1313">
        <f t="shared" si="95"/>
        <v>0</v>
      </c>
      <c r="Z385" s="1310"/>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-0.01</v>
      </c>
      <c r="R386" s="703">
        <f t="shared" si="96"/>
        <v>0</v>
      </c>
      <c r="S386" s="334">
        <f t="shared" si="97"/>
        <v>0</v>
      </c>
      <c r="T386" s="1181">
        <f t="shared" si="98"/>
        <v>0</v>
      </c>
      <c r="U386" s="1313">
        <f t="shared" si="92"/>
        <v>0</v>
      </c>
      <c r="V386" s="1313">
        <f t="shared" si="93"/>
        <v>0</v>
      </c>
      <c r="W386" s="1310"/>
      <c r="X386" s="1313">
        <f t="shared" si="94"/>
        <v>0</v>
      </c>
      <c r="Y386" s="1313">
        <f t="shared" si="95"/>
        <v>0</v>
      </c>
      <c r="Z386" s="1310"/>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-0.01</v>
      </c>
      <c r="R387" s="703">
        <f t="shared" si="96"/>
        <v>0</v>
      </c>
      <c r="S387" s="334">
        <f t="shared" si="97"/>
        <v>0</v>
      </c>
      <c r="T387" s="1181">
        <f t="shared" si="98"/>
        <v>0</v>
      </c>
      <c r="U387" s="1313">
        <f t="shared" si="92"/>
        <v>0</v>
      </c>
      <c r="V387" s="1313">
        <f t="shared" si="93"/>
        <v>0</v>
      </c>
      <c r="W387" s="1310"/>
      <c r="X387" s="1313">
        <f t="shared" si="94"/>
        <v>0</v>
      </c>
      <c r="Y387" s="1313">
        <f t="shared" si="95"/>
        <v>0</v>
      </c>
      <c r="Z387" s="1310"/>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-0.01</v>
      </c>
      <c r="R388" s="703">
        <f t="shared" si="96"/>
        <v>0</v>
      </c>
      <c r="S388" s="334">
        <f t="shared" si="97"/>
        <v>0</v>
      </c>
      <c r="T388" s="1181">
        <f t="shared" si="98"/>
        <v>0</v>
      </c>
      <c r="U388" s="1313">
        <f t="shared" si="92"/>
        <v>0</v>
      </c>
      <c r="V388" s="1313">
        <f t="shared" si="93"/>
        <v>0</v>
      </c>
      <c r="W388" s="1310"/>
      <c r="X388" s="1313">
        <f t="shared" si="94"/>
        <v>0</v>
      </c>
      <c r="Y388" s="1313">
        <f t="shared" si="95"/>
        <v>0</v>
      </c>
      <c r="Z388" s="1310"/>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-0.01</v>
      </c>
      <c r="R389" s="703">
        <f t="shared" si="96"/>
        <v>0</v>
      </c>
      <c r="S389" s="334">
        <f t="shared" si="97"/>
        <v>0</v>
      </c>
      <c r="T389" s="1181">
        <f t="shared" si="98"/>
        <v>0</v>
      </c>
      <c r="U389" s="1313">
        <f t="shared" si="92"/>
        <v>0</v>
      </c>
      <c r="V389" s="1313">
        <f t="shared" si="93"/>
        <v>0</v>
      </c>
      <c r="W389" s="1310"/>
      <c r="X389" s="1313">
        <f t="shared" si="94"/>
        <v>0</v>
      </c>
      <c r="Y389" s="1313">
        <f t="shared" si="95"/>
        <v>0</v>
      </c>
      <c r="Z389" s="1310"/>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-0.01</v>
      </c>
      <c r="R390" s="703">
        <f t="shared" si="96"/>
        <v>0</v>
      </c>
      <c r="S390" s="334">
        <f t="shared" si="97"/>
        <v>0</v>
      </c>
      <c r="T390" s="1181">
        <f t="shared" si="98"/>
        <v>0</v>
      </c>
      <c r="U390" s="1313">
        <f t="shared" si="92"/>
        <v>0</v>
      </c>
      <c r="V390" s="1313">
        <f t="shared" si="93"/>
        <v>0</v>
      </c>
      <c r="W390" s="1310"/>
      <c r="X390" s="1313">
        <f t="shared" si="94"/>
        <v>0</v>
      </c>
      <c r="Y390" s="1313">
        <f t="shared" si="95"/>
        <v>0</v>
      </c>
      <c r="Z390" s="1310"/>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-0.01</v>
      </c>
      <c r="R391" s="703">
        <f t="shared" si="96"/>
        <v>0</v>
      </c>
      <c r="S391" s="334">
        <f t="shared" si="97"/>
        <v>0</v>
      </c>
      <c r="T391" s="1181">
        <f t="shared" si="98"/>
        <v>0</v>
      </c>
      <c r="U391" s="1313">
        <f t="shared" si="92"/>
        <v>0</v>
      </c>
      <c r="V391" s="1313">
        <f t="shared" si="93"/>
        <v>0</v>
      </c>
      <c r="W391" s="1310"/>
      <c r="X391" s="1313">
        <f t="shared" si="94"/>
        <v>0</v>
      </c>
      <c r="Y391" s="1313">
        <f t="shared" si="95"/>
        <v>0</v>
      </c>
      <c r="Z391" s="1310"/>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-0.01</v>
      </c>
      <c r="R392" s="703">
        <f t="shared" si="96"/>
        <v>0</v>
      </c>
      <c r="S392" s="334">
        <f t="shared" si="97"/>
        <v>0</v>
      </c>
      <c r="T392" s="1181">
        <f t="shared" si="98"/>
        <v>0</v>
      </c>
      <c r="U392" s="1313">
        <f t="shared" si="92"/>
        <v>0</v>
      </c>
      <c r="V392" s="1313">
        <f t="shared" si="93"/>
        <v>0</v>
      </c>
      <c r="W392" s="1310"/>
      <c r="X392" s="1313">
        <f t="shared" si="94"/>
        <v>0</v>
      </c>
      <c r="Y392" s="1313">
        <f t="shared" si="95"/>
        <v>0</v>
      </c>
      <c r="Z392" s="1310"/>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-0.01</v>
      </c>
      <c r="R393" s="703">
        <f t="shared" si="96"/>
        <v>0</v>
      </c>
      <c r="S393" s="334">
        <f t="shared" si="97"/>
        <v>0</v>
      </c>
      <c r="T393" s="1181">
        <f t="shared" si="98"/>
        <v>0</v>
      </c>
      <c r="U393" s="1313">
        <f t="shared" si="92"/>
        <v>0</v>
      </c>
      <c r="V393" s="1313">
        <f t="shared" si="93"/>
        <v>0</v>
      </c>
      <c r="W393" s="1310"/>
      <c r="X393" s="1313">
        <f t="shared" si="94"/>
        <v>0</v>
      </c>
      <c r="Y393" s="1313">
        <f t="shared" si="95"/>
        <v>0</v>
      </c>
      <c r="Z393" s="1310"/>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-0.01</v>
      </c>
      <c r="R394" s="703">
        <f t="shared" si="96"/>
        <v>0</v>
      </c>
      <c r="S394" s="334">
        <f t="shared" si="97"/>
        <v>0</v>
      </c>
      <c r="T394" s="1181">
        <f t="shared" si="98"/>
        <v>0</v>
      </c>
      <c r="U394" s="1313">
        <f t="shared" si="92"/>
        <v>0</v>
      </c>
      <c r="V394" s="1313">
        <f t="shared" si="93"/>
        <v>0</v>
      </c>
      <c r="W394" s="1310"/>
      <c r="X394" s="1313">
        <f t="shared" si="94"/>
        <v>0</v>
      </c>
      <c r="Y394" s="1313">
        <f t="shared" si="95"/>
        <v>0</v>
      </c>
      <c r="Z394" s="1310"/>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-0.01</v>
      </c>
      <c r="R395" s="703">
        <f t="shared" si="96"/>
        <v>0</v>
      </c>
      <c r="S395" s="334">
        <f t="shared" si="97"/>
        <v>0</v>
      </c>
      <c r="T395" s="1181">
        <f t="shared" si="98"/>
        <v>0</v>
      </c>
      <c r="U395" s="1313">
        <f t="shared" si="92"/>
        <v>0</v>
      </c>
      <c r="V395" s="1313">
        <f t="shared" si="93"/>
        <v>0</v>
      </c>
      <c r="W395" s="1310"/>
      <c r="X395" s="1313">
        <f t="shared" si="94"/>
        <v>0</v>
      </c>
      <c r="Y395" s="1313">
        <f t="shared" si="95"/>
        <v>0</v>
      </c>
      <c r="Z395" s="1310"/>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-0.01</v>
      </c>
      <c r="R396" s="703">
        <f t="shared" si="96"/>
        <v>0</v>
      </c>
      <c r="S396" s="334">
        <f t="shared" si="97"/>
        <v>0</v>
      </c>
      <c r="T396" s="1181">
        <f t="shared" si="98"/>
        <v>0</v>
      </c>
      <c r="U396" s="1313">
        <f t="shared" si="92"/>
        <v>0</v>
      </c>
      <c r="V396" s="1313">
        <f t="shared" si="93"/>
        <v>0</v>
      </c>
      <c r="W396" s="1310"/>
      <c r="X396" s="1313">
        <f t="shared" si="94"/>
        <v>0</v>
      </c>
      <c r="Y396" s="1313">
        <f t="shared" si="95"/>
        <v>0</v>
      </c>
      <c r="Z396" s="1310"/>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-0.01</v>
      </c>
      <c r="R397" s="703">
        <f t="shared" si="96"/>
        <v>0</v>
      </c>
      <c r="S397" s="334">
        <f t="shared" si="97"/>
        <v>0</v>
      </c>
      <c r="T397" s="1181">
        <f t="shared" si="98"/>
        <v>0</v>
      </c>
      <c r="U397" s="1313">
        <f t="shared" si="92"/>
        <v>0</v>
      </c>
      <c r="V397" s="1313">
        <f t="shared" si="93"/>
        <v>0</v>
      </c>
      <c r="W397" s="1310"/>
      <c r="X397" s="1313">
        <f t="shared" si="94"/>
        <v>0</v>
      </c>
      <c r="Y397" s="1313">
        <f t="shared" si="95"/>
        <v>0</v>
      </c>
      <c r="Z397" s="1310"/>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-0.01</v>
      </c>
      <c r="R398" s="703">
        <f t="shared" si="96"/>
        <v>0</v>
      </c>
      <c r="S398" s="334">
        <f t="shared" si="97"/>
        <v>0</v>
      </c>
      <c r="T398" s="1181">
        <f t="shared" si="98"/>
        <v>0</v>
      </c>
      <c r="U398" s="1313">
        <f t="shared" si="92"/>
        <v>0</v>
      </c>
      <c r="V398" s="1313">
        <f t="shared" si="93"/>
        <v>0</v>
      </c>
      <c r="W398" s="1310"/>
      <c r="X398" s="1313">
        <f t="shared" si="94"/>
        <v>0</v>
      </c>
      <c r="Y398" s="1313">
        <f t="shared" si="95"/>
        <v>0</v>
      </c>
      <c r="Z398" s="1310"/>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-0.01</v>
      </c>
      <c r="R399" s="703">
        <f t="shared" si="96"/>
        <v>0</v>
      </c>
      <c r="S399" s="334">
        <f t="shared" si="97"/>
        <v>0</v>
      </c>
      <c r="T399" s="1181">
        <f t="shared" si="98"/>
        <v>0</v>
      </c>
      <c r="U399" s="1313">
        <f t="shared" si="92"/>
        <v>0</v>
      </c>
      <c r="V399" s="1313">
        <f t="shared" si="93"/>
        <v>0</v>
      </c>
      <c r="W399" s="1310"/>
      <c r="X399" s="1313">
        <f t="shared" si="94"/>
        <v>0</v>
      </c>
      <c r="Y399" s="1313">
        <f t="shared" si="95"/>
        <v>0</v>
      </c>
      <c r="Z399" s="1310"/>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-0.01</v>
      </c>
      <c r="R400" s="703">
        <f t="shared" si="96"/>
        <v>0</v>
      </c>
      <c r="S400" s="334">
        <f t="shared" si="97"/>
        <v>0</v>
      </c>
      <c r="T400" s="1181">
        <f t="shared" si="98"/>
        <v>0</v>
      </c>
      <c r="U400" s="1313">
        <f t="shared" si="92"/>
        <v>0</v>
      </c>
      <c r="V400" s="1313">
        <f t="shared" si="93"/>
        <v>0</v>
      </c>
      <c r="W400" s="1310"/>
      <c r="X400" s="1313">
        <f t="shared" si="94"/>
        <v>0</v>
      </c>
      <c r="Y400" s="1313">
        <f t="shared" si="95"/>
        <v>0</v>
      </c>
      <c r="Z400" s="1310"/>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-0.01</v>
      </c>
      <c r="R401" s="703">
        <f t="shared" si="96"/>
        <v>0</v>
      </c>
      <c r="S401" s="334">
        <f t="shared" si="97"/>
        <v>0</v>
      </c>
      <c r="T401" s="1181">
        <f t="shared" si="98"/>
        <v>0</v>
      </c>
      <c r="U401" s="1313">
        <f t="shared" si="92"/>
        <v>0</v>
      </c>
      <c r="V401" s="1313">
        <f t="shared" si="93"/>
        <v>0</v>
      </c>
      <c r="W401" s="1310"/>
      <c r="X401" s="1313">
        <f t="shared" si="94"/>
        <v>0</v>
      </c>
      <c r="Y401" s="1313">
        <f t="shared" si="95"/>
        <v>0</v>
      </c>
      <c r="Z401" s="1310"/>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-0.01</v>
      </c>
      <c r="R402" s="703">
        <f t="shared" si="96"/>
        <v>0</v>
      </c>
      <c r="S402" s="334">
        <f t="shared" si="97"/>
        <v>0</v>
      </c>
      <c r="T402" s="1181">
        <f t="shared" si="98"/>
        <v>0</v>
      </c>
      <c r="U402" s="1313">
        <f t="shared" si="92"/>
        <v>0</v>
      </c>
      <c r="V402" s="1313">
        <f t="shared" si="93"/>
        <v>0</v>
      </c>
      <c r="W402" s="1310"/>
      <c r="X402" s="1313">
        <f t="shared" si="94"/>
        <v>0</v>
      </c>
      <c r="Y402" s="1313">
        <f t="shared" si="95"/>
        <v>0</v>
      </c>
      <c r="Z402" s="1310"/>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-0.01</v>
      </c>
      <c r="R403" s="703">
        <f t="shared" si="96"/>
        <v>0</v>
      </c>
      <c r="S403" s="334">
        <f t="shared" si="97"/>
        <v>0</v>
      </c>
      <c r="T403" s="1181">
        <f t="shared" si="98"/>
        <v>0</v>
      </c>
      <c r="U403" s="1313">
        <f t="shared" si="92"/>
        <v>0</v>
      </c>
      <c r="V403" s="1313">
        <f t="shared" si="93"/>
        <v>0</v>
      </c>
      <c r="W403" s="1310"/>
      <c r="X403" s="1313">
        <f t="shared" si="94"/>
        <v>0</v>
      </c>
      <c r="Y403" s="1313">
        <f t="shared" si="95"/>
        <v>0</v>
      </c>
      <c r="Z403" s="1310"/>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-0.01</v>
      </c>
      <c r="R404" s="703">
        <f t="shared" si="96"/>
        <v>0</v>
      </c>
      <c r="S404" s="334">
        <f t="shared" si="97"/>
        <v>0</v>
      </c>
      <c r="T404" s="1181">
        <f t="shared" si="98"/>
        <v>0</v>
      </c>
      <c r="U404" s="1313">
        <f t="shared" si="92"/>
        <v>0</v>
      </c>
      <c r="V404" s="1313">
        <f t="shared" si="93"/>
        <v>0</v>
      </c>
      <c r="W404" s="1310"/>
      <c r="X404" s="1313">
        <f t="shared" si="94"/>
        <v>0</v>
      </c>
      <c r="Y404" s="1313">
        <f t="shared" si="95"/>
        <v>0</v>
      </c>
      <c r="Z404" s="1310"/>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-0.01</v>
      </c>
      <c r="R405" s="703">
        <f t="shared" si="96"/>
        <v>0</v>
      </c>
      <c r="S405" s="334">
        <f t="shared" si="97"/>
        <v>0</v>
      </c>
      <c r="T405" s="1181">
        <f t="shared" si="98"/>
        <v>0</v>
      </c>
      <c r="U405" s="1313">
        <f t="shared" si="92"/>
        <v>0</v>
      </c>
      <c r="V405" s="1313">
        <f t="shared" si="93"/>
        <v>0</v>
      </c>
      <c r="W405" s="1310"/>
      <c r="X405" s="1313">
        <f t="shared" si="94"/>
        <v>0</v>
      </c>
      <c r="Y405" s="1313">
        <f t="shared" si="95"/>
        <v>0</v>
      </c>
      <c r="Z405" s="1310"/>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-0.01</v>
      </c>
      <c r="R406" s="703">
        <f t="shared" si="96"/>
        <v>0</v>
      </c>
      <c r="S406" s="334">
        <f t="shared" si="97"/>
        <v>0</v>
      </c>
      <c r="T406" s="1181">
        <f t="shared" si="98"/>
        <v>0</v>
      </c>
      <c r="U406" s="1313">
        <f t="shared" si="92"/>
        <v>0</v>
      </c>
      <c r="V406" s="1313">
        <f t="shared" si="93"/>
        <v>0</v>
      </c>
      <c r="W406" s="1310"/>
      <c r="X406" s="1313">
        <f t="shared" si="94"/>
        <v>0</v>
      </c>
      <c r="Y406" s="1313">
        <f t="shared" si="95"/>
        <v>0</v>
      </c>
      <c r="Z406" s="1310"/>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-0.01</v>
      </c>
      <c r="R407" s="703">
        <f t="shared" si="96"/>
        <v>0</v>
      </c>
      <c r="S407" s="334">
        <f t="shared" si="97"/>
        <v>0</v>
      </c>
      <c r="T407" s="1181">
        <f t="shared" si="98"/>
        <v>0</v>
      </c>
      <c r="U407" s="1313">
        <f t="shared" si="92"/>
        <v>0</v>
      </c>
      <c r="V407" s="1313">
        <f t="shared" si="93"/>
        <v>0</v>
      </c>
      <c r="W407" s="1310"/>
      <c r="X407" s="1313">
        <f t="shared" si="94"/>
        <v>0</v>
      </c>
      <c r="Y407" s="1313">
        <f t="shared" si="95"/>
        <v>0</v>
      </c>
      <c r="Z407" s="1310"/>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-0.01</v>
      </c>
      <c r="R408" s="703">
        <f t="shared" si="96"/>
        <v>0</v>
      </c>
      <c r="S408" s="334">
        <f t="shared" si="97"/>
        <v>0</v>
      </c>
      <c r="T408" s="1181">
        <f t="shared" si="98"/>
        <v>0</v>
      </c>
      <c r="U408" s="1313">
        <f t="shared" si="92"/>
        <v>0</v>
      </c>
      <c r="V408" s="1313">
        <f t="shared" si="93"/>
        <v>0</v>
      </c>
      <c r="W408" s="1310"/>
      <c r="X408" s="1313">
        <f t="shared" si="94"/>
        <v>0</v>
      </c>
      <c r="Y408" s="1313">
        <f t="shared" si="95"/>
        <v>0</v>
      </c>
      <c r="Z408" s="1310"/>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-0.01</v>
      </c>
      <c r="R409" s="703">
        <f t="shared" si="96"/>
        <v>0</v>
      </c>
      <c r="S409" s="334">
        <f t="shared" si="97"/>
        <v>0</v>
      </c>
      <c r="T409" s="1181">
        <f t="shared" si="98"/>
        <v>0</v>
      </c>
      <c r="U409" s="1313">
        <f t="shared" si="92"/>
        <v>0</v>
      </c>
      <c r="V409" s="1313">
        <f t="shared" si="93"/>
        <v>0</v>
      </c>
      <c r="W409" s="1310"/>
      <c r="X409" s="1313">
        <f t="shared" si="94"/>
        <v>0</v>
      </c>
      <c r="Y409" s="1313">
        <f t="shared" si="95"/>
        <v>0</v>
      </c>
      <c r="Z409" s="1310"/>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-0.01</v>
      </c>
      <c r="R410" s="703">
        <f t="shared" si="96"/>
        <v>0</v>
      </c>
      <c r="S410" s="334">
        <f t="shared" si="97"/>
        <v>0</v>
      </c>
      <c r="T410" s="1181">
        <f t="shared" si="98"/>
        <v>0</v>
      </c>
      <c r="U410" s="1313">
        <f t="shared" si="92"/>
        <v>0</v>
      </c>
      <c r="V410" s="1313">
        <f t="shared" si="93"/>
        <v>0</v>
      </c>
      <c r="W410" s="1310"/>
      <c r="X410" s="1313">
        <f t="shared" si="94"/>
        <v>0</v>
      </c>
      <c r="Y410" s="1313">
        <f t="shared" si="95"/>
        <v>0</v>
      </c>
      <c r="Z410" s="1310"/>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-0.01</v>
      </c>
      <c r="R411" s="703">
        <f t="shared" si="96"/>
        <v>0</v>
      </c>
      <c r="S411" s="334">
        <f t="shared" si="97"/>
        <v>0</v>
      </c>
      <c r="T411" s="1181">
        <f t="shared" si="98"/>
        <v>0</v>
      </c>
      <c r="U411" s="1313">
        <f t="shared" si="92"/>
        <v>0</v>
      </c>
      <c r="V411" s="1313">
        <f t="shared" si="93"/>
        <v>0</v>
      </c>
      <c r="W411" s="1310"/>
      <c r="X411" s="1313">
        <f t="shared" si="94"/>
        <v>0</v>
      </c>
      <c r="Y411" s="1313">
        <f t="shared" si="95"/>
        <v>0</v>
      </c>
      <c r="Z411" s="1310"/>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-0.01</v>
      </c>
      <c r="R412" s="703">
        <f t="shared" si="96"/>
        <v>0</v>
      </c>
      <c r="S412" s="334">
        <f t="shared" si="97"/>
        <v>0</v>
      </c>
      <c r="T412" s="1181">
        <f t="shared" si="98"/>
        <v>0</v>
      </c>
      <c r="U412" s="1313">
        <f t="shared" ref="U412:U475" si="107">ROUND(W412*B412,0)</f>
        <v>0</v>
      </c>
      <c r="V412" s="1313">
        <f t="shared" ref="V412:V475" si="108">ROUND(W412*B412/10000,0)</f>
        <v>0</v>
      </c>
      <c r="W412" s="1310"/>
      <c r="X412" s="1313">
        <f t="shared" ref="X412:X475" si="109">ROUND(Z412*B412,0)</f>
        <v>0</v>
      </c>
      <c r="Y412" s="1313">
        <f t="shared" ref="Y412:Y475" si="110">ROUND(Z412*B412/10000,0)</f>
        <v>0</v>
      </c>
      <c r="Z412" s="1310"/>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-0.01</v>
      </c>
      <c r="R413" s="703">
        <f t="shared" ref="R413:R476" si="111">IF(B413="",0,ROUND($R$27*C413*E413*G413*I413*K413*M413*O413*Q413,0))</f>
        <v>0</v>
      </c>
      <c r="S413" s="334">
        <f t="shared" ref="S413:S476" si="112">ROUND(R413*B413,0)</f>
        <v>0</v>
      </c>
      <c r="T413" s="1181">
        <f t="shared" ref="T413:T476" si="113">ROUND(R413*B413/10000,0)</f>
        <v>0</v>
      </c>
      <c r="U413" s="1313">
        <f t="shared" si="107"/>
        <v>0</v>
      </c>
      <c r="V413" s="1313">
        <f t="shared" si="108"/>
        <v>0</v>
      </c>
      <c r="W413" s="1310"/>
      <c r="X413" s="1313">
        <f t="shared" si="109"/>
        <v>0</v>
      </c>
      <c r="Y413" s="1313">
        <f t="shared" si="110"/>
        <v>0</v>
      </c>
      <c r="Z413" s="1310"/>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-0.01</v>
      </c>
      <c r="R414" s="703">
        <f t="shared" si="111"/>
        <v>0</v>
      </c>
      <c r="S414" s="334">
        <f t="shared" si="112"/>
        <v>0</v>
      </c>
      <c r="T414" s="1181">
        <f t="shared" si="113"/>
        <v>0</v>
      </c>
      <c r="U414" s="1313">
        <f t="shared" si="107"/>
        <v>0</v>
      </c>
      <c r="V414" s="1313">
        <f t="shared" si="108"/>
        <v>0</v>
      </c>
      <c r="W414" s="1310"/>
      <c r="X414" s="1313">
        <f t="shared" si="109"/>
        <v>0</v>
      </c>
      <c r="Y414" s="1313">
        <f t="shared" si="110"/>
        <v>0</v>
      </c>
      <c r="Z414" s="1310"/>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-0.01</v>
      </c>
      <c r="R415" s="703">
        <f t="shared" si="111"/>
        <v>0</v>
      </c>
      <c r="S415" s="334">
        <f t="shared" si="112"/>
        <v>0</v>
      </c>
      <c r="T415" s="1181">
        <f t="shared" si="113"/>
        <v>0</v>
      </c>
      <c r="U415" s="1313">
        <f t="shared" si="107"/>
        <v>0</v>
      </c>
      <c r="V415" s="1313">
        <f t="shared" si="108"/>
        <v>0</v>
      </c>
      <c r="W415" s="1310"/>
      <c r="X415" s="1313">
        <f t="shared" si="109"/>
        <v>0</v>
      </c>
      <c r="Y415" s="1313">
        <f t="shared" si="110"/>
        <v>0</v>
      </c>
      <c r="Z415" s="1310"/>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-0.01</v>
      </c>
      <c r="R416" s="703">
        <f t="shared" si="111"/>
        <v>0</v>
      </c>
      <c r="S416" s="334">
        <f t="shared" si="112"/>
        <v>0</v>
      </c>
      <c r="T416" s="1181">
        <f t="shared" si="113"/>
        <v>0</v>
      </c>
      <c r="U416" s="1313">
        <f t="shared" si="107"/>
        <v>0</v>
      </c>
      <c r="V416" s="1313">
        <f t="shared" si="108"/>
        <v>0</v>
      </c>
      <c r="W416" s="1310"/>
      <c r="X416" s="1313">
        <f t="shared" si="109"/>
        <v>0</v>
      </c>
      <c r="Y416" s="1313">
        <f t="shared" si="110"/>
        <v>0</v>
      </c>
      <c r="Z416" s="1310"/>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-0.01</v>
      </c>
      <c r="R417" s="703">
        <f t="shared" si="111"/>
        <v>0</v>
      </c>
      <c r="S417" s="334">
        <f t="shared" si="112"/>
        <v>0</v>
      </c>
      <c r="T417" s="1181">
        <f t="shared" si="113"/>
        <v>0</v>
      </c>
      <c r="U417" s="1313">
        <f t="shared" si="107"/>
        <v>0</v>
      </c>
      <c r="V417" s="1313">
        <f t="shared" si="108"/>
        <v>0</v>
      </c>
      <c r="W417" s="1310"/>
      <c r="X417" s="1313">
        <f t="shared" si="109"/>
        <v>0</v>
      </c>
      <c r="Y417" s="1313">
        <f t="shared" si="110"/>
        <v>0</v>
      </c>
      <c r="Z417" s="1310"/>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-0.01</v>
      </c>
      <c r="R418" s="703">
        <f t="shared" si="111"/>
        <v>0</v>
      </c>
      <c r="S418" s="334">
        <f t="shared" si="112"/>
        <v>0</v>
      </c>
      <c r="T418" s="1181">
        <f t="shared" si="113"/>
        <v>0</v>
      </c>
      <c r="U418" s="1313">
        <f t="shared" si="107"/>
        <v>0</v>
      </c>
      <c r="V418" s="1313">
        <f t="shared" si="108"/>
        <v>0</v>
      </c>
      <c r="W418" s="1310"/>
      <c r="X418" s="1313">
        <f t="shared" si="109"/>
        <v>0</v>
      </c>
      <c r="Y418" s="1313">
        <f t="shared" si="110"/>
        <v>0</v>
      </c>
      <c r="Z418" s="1310"/>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-0.01</v>
      </c>
      <c r="R419" s="703">
        <f t="shared" si="111"/>
        <v>0</v>
      </c>
      <c r="S419" s="334">
        <f t="shared" si="112"/>
        <v>0</v>
      </c>
      <c r="T419" s="1181">
        <f t="shared" si="113"/>
        <v>0</v>
      </c>
      <c r="U419" s="1313">
        <f t="shared" si="107"/>
        <v>0</v>
      </c>
      <c r="V419" s="1313">
        <f t="shared" si="108"/>
        <v>0</v>
      </c>
      <c r="W419" s="1310"/>
      <c r="X419" s="1313">
        <f t="shared" si="109"/>
        <v>0</v>
      </c>
      <c r="Y419" s="1313">
        <f t="shared" si="110"/>
        <v>0</v>
      </c>
      <c r="Z419" s="1310"/>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-0.01</v>
      </c>
      <c r="R420" s="703">
        <f t="shared" si="111"/>
        <v>0</v>
      </c>
      <c r="S420" s="334">
        <f t="shared" si="112"/>
        <v>0</v>
      </c>
      <c r="T420" s="1181">
        <f t="shared" si="113"/>
        <v>0</v>
      </c>
      <c r="U420" s="1313">
        <f t="shared" si="107"/>
        <v>0</v>
      </c>
      <c r="V420" s="1313">
        <f t="shared" si="108"/>
        <v>0</v>
      </c>
      <c r="W420" s="1310"/>
      <c r="X420" s="1313">
        <f t="shared" si="109"/>
        <v>0</v>
      </c>
      <c r="Y420" s="1313">
        <f t="shared" si="110"/>
        <v>0</v>
      </c>
      <c r="Z420" s="1310"/>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-0.01</v>
      </c>
      <c r="R421" s="703">
        <f t="shared" si="111"/>
        <v>0</v>
      </c>
      <c r="S421" s="334">
        <f t="shared" si="112"/>
        <v>0</v>
      </c>
      <c r="T421" s="1181">
        <f t="shared" si="113"/>
        <v>0</v>
      </c>
      <c r="U421" s="1313">
        <f t="shared" si="107"/>
        <v>0</v>
      </c>
      <c r="V421" s="1313">
        <f t="shared" si="108"/>
        <v>0</v>
      </c>
      <c r="W421" s="1310"/>
      <c r="X421" s="1313">
        <f t="shared" si="109"/>
        <v>0</v>
      </c>
      <c r="Y421" s="1313">
        <f t="shared" si="110"/>
        <v>0</v>
      </c>
      <c r="Z421" s="1310"/>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-0.01</v>
      </c>
      <c r="R422" s="703">
        <f t="shared" si="111"/>
        <v>0</v>
      </c>
      <c r="S422" s="334">
        <f t="shared" si="112"/>
        <v>0</v>
      </c>
      <c r="T422" s="1181">
        <f t="shared" si="113"/>
        <v>0</v>
      </c>
      <c r="U422" s="1313">
        <f t="shared" si="107"/>
        <v>0</v>
      </c>
      <c r="V422" s="1313">
        <f t="shared" si="108"/>
        <v>0</v>
      </c>
      <c r="W422" s="1310"/>
      <c r="X422" s="1313">
        <f t="shared" si="109"/>
        <v>0</v>
      </c>
      <c r="Y422" s="1313">
        <f t="shared" si="110"/>
        <v>0</v>
      </c>
      <c r="Z422" s="1310"/>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-0.01</v>
      </c>
      <c r="R423" s="703">
        <f t="shared" si="111"/>
        <v>0</v>
      </c>
      <c r="S423" s="334">
        <f t="shared" si="112"/>
        <v>0</v>
      </c>
      <c r="T423" s="1181">
        <f t="shared" si="113"/>
        <v>0</v>
      </c>
      <c r="U423" s="1313">
        <f t="shared" si="107"/>
        <v>0</v>
      </c>
      <c r="V423" s="1313">
        <f t="shared" si="108"/>
        <v>0</v>
      </c>
      <c r="W423" s="1310"/>
      <c r="X423" s="1313">
        <f t="shared" si="109"/>
        <v>0</v>
      </c>
      <c r="Y423" s="1313">
        <f t="shared" si="110"/>
        <v>0</v>
      </c>
      <c r="Z423" s="1310"/>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-0.01</v>
      </c>
      <c r="R424" s="703">
        <f t="shared" si="111"/>
        <v>0</v>
      </c>
      <c r="S424" s="334">
        <f t="shared" si="112"/>
        <v>0</v>
      </c>
      <c r="T424" s="1181">
        <f t="shared" si="113"/>
        <v>0</v>
      </c>
      <c r="U424" s="1313">
        <f t="shared" si="107"/>
        <v>0</v>
      </c>
      <c r="V424" s="1313">
        <f t="shared" si="108"/>
        <v>0</v>
      </c>
      <c r="W424" s="1310"/>
      <c r="X424" s="1313">
        <f t="shared" si="109"/>
        <v>0</v>
      </c>
      <c r="Y424" s="1313">
        <f t="shared" si="110"/>
        <v>0</v>
      </c>
      <c r="Z424" s="1310"/>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-0.01</v>
      </c>
      <c r="R425" s="703">
        <f t="shared" si="111"/>
        <v>0</v>
      </c>
      <c r="S425" s="334">
        <f t="shared" si="112"/>
        <v>0</v>
      </c>
      <c r="T425" s="1181">
        <f t="shared" si="113"/>
        <v>0</v>
      </c>
      <c r="U425" s="1313">
        <f t="shared" si="107"/>
        <v>0</v>
      </c>
      <c r="V425" s="1313">
        <f t="shared" si="108"/>
        <v>0</v>
      </c>
      <c r="W425" s="1310"/>
      <c r="X425" s="1313">
        <f t="shared" si="109"/>
        <v>0</v>
      </c>
      <c r="Y425" s="1313">
        <f t="shared" si="110"/>
        <v>0</v>
      </c>
      <c r="Z425" s="1310"/>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-0.01</v>
      </c>
      <c r="R426" s="703">
        <f t="shared" si="111"/>
        <v>0</v>
      </c>
      <c r="S426" s="334">
        <f t="shared" si="112"/>
        <v>0</v>
      </c>
      <c r="T426" s="1181">
        <f t="shared" si="113"/>
        <v>0</v>
      </c>
      <c r="U426" s="1313">
        <f t="shared" si="107"/>
        <v>0</v>
      </c>
      <c r="V426" s="1313">
        <f t="shared" si="108"/>
        <v>0</v>
      </c>
      <c r="W426" s="1310"/>
      <c r="X426" s="1313">
        <f t="shared" si="109"/>
        <v>0</v>
      </c>
      <c r="Y426" s="1313">
        <f t="shared" si="110"/>
        <v>0</v>
      </c>
      <c r="Z426" s="1310"/>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-0.01</v>
      </c>
      <c r="R427" s="703">
        <f t="shared" si="111"/>
        <v>0</v>
      </c>
      <c r="S427" s="334">
        <f t="shared" si="112"/>
        <v>0</v>
      </c>
      <c r="T427" s="1181">
        <f t="shared" si="113"/>
        <v>0</v>
      </c>
      <c r="U427" s="1313">
        <f t="shared" si="107"/>
        <v>0</v>
      </c>
      <c r="V427" s="1313">
        <f t="shared" si="108"/>
        <v>0</v>
      </c>
      <c r="W427" s="1310"/>
      <c r="X427" s="1313">
        <f t="shared" si="109"/>
        <v>0</v>
      </c>
      <c r="Y427" s="1313">
        <f t="shared" si="110"/>
        <v>0</v>
      </c>
      <c r="Z427" s="1310"/>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-0.01</v>
      </c>
      <c r="R428" s="703">
        <f t="shared" si="111"/>
        <v>0</v>
      </c>
      <c r="S428" s="334">
        <f t="shared" si="112"/>
        <v>0</v>
      </c>
      <c r="T428" s="1181">
        <f t="shared" si="113"/>
        <v>0</v>
      </c>
      <c r="U428" s="1313">
        <f t="shared" si="107"/>
        <v>0</v>
      </c>
      <c r="V428" s="1313">
        <f t="shared" si="108"/>
        <v>0</v>
      </c>
      <c r="W428" s="1310"/>
      <c r="X428" s="1313">
        <f t="shared" si="109"/>
        <v>0</v>
      </c>
      <c r="Y428" s="1313">
        <f t="shared" si="110"/>
        <v>0</v>
      </c>
      <c r="Z428" s="1310"/>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-0.01</v>
      </c>
      <c r="R429" s="703">
        <f t="shared" si="111"/>
        <v>0</v>
      </c>
      <c r="S429" s="334">
        <f t="shared" si="112"/>
        <v>0</v>
      </c>
      <c r="T429" s="1181">
        <f t="shared" si="113"/>
        <v>0</v>
      </c>
      <c r="U429" s="1313">
        <f t="shared" si="107"/>
        <v>0</v>
      </c>
      <c r="V429" s="1313">
        <f t="shared" si="108"/>
        <v>0</v>
      </c>
      <c r="W429" s="1310"/>
      <c r="X429" s="1313">
        <f t="shared" si="109"/>
        <v>0</v>
      </c>
      <c r="Y429" s="1313">
        <f t="shared" si="110"/>
        <v>0</v>
      </c>
      <c r="Z429" s="1310"/>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-0.01</v>
      </c>
      <c r="R430" s="703">
        <f t="shared" si="111"/>
        <v>0</v>
      </c>
      <c r="S430" s="334">
        <f t="shared" si="112"/>
        <v>0</v>
      </c>
      <c r="T430" s="1181">
        <f t="shared" si="113"/>
        <v>0</v>
      </c>
      <c r="U430" s="1313">
        <f t="shared" si="107"/>
        <v>0</v>
      </c>
      <c r="V430" s="1313">
        <f t="shared" si="108"/>
        <v>0</v>
      </c>
      <c r="W430" s="1310"/>
      <c r="X430" s="1313">
        <f t="shared" si="109"/>
        <v>0</v>
      </c>
      <c r="Y430" s="1313">
        <f t="shared" si="110"/>
        <v>0</v>
      </c>
      <c r="Z430" s="1310"/>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-0.01</v>
      </c>
      <c r="R431" s="703">
        <f t="shared" si="111"/>
        <v>0</v>
      </c>
      <c r="S431" s="334">
        <f t="shared" si="112"/>
        <v>0</v>
      </c>
      <c r="T431" s="1181">
        <f t="shared" si="113"/>
        <v>0</v>
      </c>
      <c r="U431" s="1313">
        <f t="shared" si="107"/>
        <v>0</v>
      </c>
      <c r="V431" s="1313">
        <f t="shared" si="108"/>
        <v>0</v>
      </c>
      <c r="W431" s="1310"/>
      <c r="X431" s="1313">
        <f t="shared" si="109"/>
        <v>0</v>
      </c>
      <c r="Y431" s="1313">
        <f t="shared" si="110"/>
        <v>0</v>
      </c>
      <c r="Z431" s="1310"/>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-0.01</v>
      </c>
      <c r="R432" s="703">
        <f t="shared" si="111"/>
        <v>0</v>
      </c>
      <c r="S432" s="334">
        <f t="shared" si="112"/>
        <v>0</v>
      </c>
      <c r="T432" s="1181">
        <f t="shared" si="113"/>
        <v>0</v>
      </c>
      <c r="U432" s="1313">
        <f t="shared" si="107"/>
        <v>0</v>
      </c>
      <c r="V432" s="1313">
        <f t="shared" si="108"/>
        <v>0</v>
      </c>
      <c r="W432" s="1310"/>
      <c r="X432" s="1313">
        <f t="shared" si="109"/>
        <v>0</v>
      </c>
      <c r="Y432" s="1313">
        <f t="shared" si="110"/>
        <v>0</v>
      </c>
      <c r="Z432" s="1310"/>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-0.01</v>
      </c>
      <c r="R433" s="703">
        <f t="shared" si="111"/>
        <v>0</v>
      </c>
      <c r="S433" s="334">
        <f t="shared" si="112"/>
        <v>0</v>
      </c>
      <c r="T433" s="1181">
        <f t="shared" si="113"/>
        <v>0</v>
      </c>
      <c r="U433" s="1313">
        <f t="shared" si="107"/>
        <v>0</v>
      </c>
      <c r="V433" s="1313">
        <f t="shared" si="108"/>
        <v>0</v>
      </c>
      <c r="W433" s="1310"/>
      <c r="X433" s="1313">
        <f t="shared" si="109"/>
        <v>0</v>
      </c>
      <c r="Y433" s="1313">
        <f t="shared" si="110"/>
        <v>0</v>
      </c>
      <c r="Z433" s="1310"/>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-0.01</v>
      </c>
      <c r="R434" s="703">
        <f t="shared" si="111"/>
        <v>0</v>
      </c>
      <c r="S434" s="334">
        <f t="shared" si="112"/>
        <v>0</v>
      </c>
      <c r="T434" s="1181">
        <f t="shared" si="113"/>
        <v>0</v>
      </c>
      <c r="U434" s="1313">
        <f t="shared" si="107"/>
        <v>0</v>
      </c>
      <c r="V434" s="1313">
        <f t="shared" si="108"/>
        <v>0</v>
      </c>
      <c r="W434" s="1310"/>
      <c r="X434" s="1313">
        <f t="shared" si="109"/>
        <v>0</v>
      </c>
      <c r="Y434" s="1313">
        <f t="shared" si="110"/>
        <v>0</v>
      </c>
      <c r="Z434" s="1310"/>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-0.01</v>
      </c>
      <c r="R435" s="703">
        <f t="shared" si="111"/>
        <v>0</v>
      </c>
      <c r="S435" s="334">
        <f t="shared" si="112"/>
        <v>0</v>
      </c>
      <c r="T435" s="1181">
        <f t="shared" si="113"/>
        <v>0</v>
      </c>
      <c r="U435" s="1313">
        <f t="shared" si="107"/>
        <v>0</v>
      </c>
      <c r="V435" s="1313">
        <f t="shared" si="108"/>
        <v>0</v>
      </c>
      <c r="W435" s="1310"/>
      <c r="X435" s="1313">
        <f t="shared" si="109"/>
        <v>0</v>
      </c>
      <c r="Y435" s="1313">
        <f t="shared" si="110"/>
        <v>0</v>
      </c>
      <c r="Z435" s="1310"/>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-0.01</v>
      </c>
      <c r="R436" s="703">
        <f t="shared" si="111"/>
        <v>0</v>
      </c>
      <c r="S436" s="334">
        <f t="shared" si="112"/>
        <v>0</v>
      </c>
      <c r="T436" s="1181">
        <f t="shared" si="113"/>
        <v>0</v>
      </c>
      <c r="U436" s="1313">
        <f t="shared" si="107"/>
        <v>0</v>
      </c>
      <c r="V436" s="1313">
        <f t="shared" si="108"/>
        <v>0</v>
      </c>
      <c r="W436" s="1310"/>
      <c r="X436" s="1313">
        <f t="shared" si="109"/>
        <v>0</v>
      </c>
      <c r="Y436" s="1313">
        <f t="shared" si="110"/>
        <v>0</v>
      </c>
      <c r="Z436" s="1310"/>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-0.01</v>
      </c>
      <c r="R437" s="703">
        <f t="shared" si="111"/>
        <v>0</v>
      </c>
      <c r="S437" s="334">
        <f t="shared" si="112"/>
        <v>0</v>
      </c>
      <c r="T437" s="1181">
        <f t="shared" si="113"/>
        <v>0</v>
      </c>
      <c r="U437" s="1313">
        <f t="shared" si="107"/>
        <v>0</v>
      </c>
      <c r="V437" s="1313">
        <f t="shared" si="108"/>
        <v>0</v>
      </c>
      <c r="W437" s="1310"/>
      <c r="X437" s="1313">
        <f t="shared" si="109"/>
        <v>0</v>
      </c>
      <c r="Y437" s="1313">
        <f t="shared" si="110"/>
        <v>0</v>
      </c>
      <c r="Z437" s="1310"/>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-0.01</v>
      </c>
      <c r="R438" s="703">
        <f t="shared" si="111"/>
        <v>0</v>
      </c>
      <c r="S438" s="334">
        <f t="shared" si="112"/>
        <v>0</v>
      </c>
      <c r="T438" s="1181">
        <f t="shared" si="113"/>
        <v>0</v>
      </c>
      <c r="U438" s="1313">
        <f t="shared" si="107"/>
        <v>0</v>
      </c>
      <c r="V438" s="1313">
        <f t="shared" si="108"/>
        <v>0</v>
      </c>
      <c r="W438" s="1310"/>
      <c r="X438" s="1313">
        <f t="shared" si="109"/>
        <v>0</v>
      </c>
      <c r="Y438" s="1313">
        <f t="shared" si="110"/>
        <v>0</v>
      </c>
      <c r="Z438" s="1310"/>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-0.01</v>
      </c>
      <c r="R439" s="703">
        <f t="shared" si="111"/>
        <v>0</v>
      </c>
      <c r="S439" s="334">
        <f t="shared" si="112"/>
        <v>0</v>
      </c>
      <c r="T439" s="1181">
        <f t="shared" si="113"/>
        <v>0</v>
      </c>
      <c r="U439" s="1313">
        <f t="shared" si="107"/>
        <v>0</v>
      </c>
      <c r="V439" s="1313">
        <f t="shared" si="108"/>
        <v>0</v>
      </c>
      <c r="W439" s="1310"/>
      <c r="X439" s="1313">
        <f t="shared" si="109"/>
        <v>0</v>
      </c>
      <c r="Y439" s="1313">
        <f t="shared" si="110"/>
        <v>0</v>
      </c>
      <c r="Z439" s="1310"/>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-0.01</v>
      </c>
      <c r="R440" s="703">
        <f t="shared" si="111"/>
        <v>0</v>
      </c>
      <c r="S440" s="334">
        <f t="shared" si="112"/>
        <v>0</v>
      </c>
      <c r="T440" s="1181">
        <f t="shared" si="113"/>
        <v>0</v>
      </c>
      <c r="U440" s="1313">
        <f t="shared" si="107"/>
        <v>0</v>
      </c>
      <c r="V440" s="1313">
        <f t="shared" si="108"/>
        <v>0</v>
      </c>
      <c r="W440" s="1310"/>
      <c r="X440" s="1313">
        <f t="shared" si="109"/>
        <v>0</v>
      </c>
      <c r="Y440" s="1313">
        <f t="shared" si="110"/>
        <v>0</v>
      </c>
      <c r="Z440" s="1310"/>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-0.01</v>
      </c>
      <c r="R441" s="703">
        <f t="shared" si="111"/>
        <v>0</v>
      </c>
      <c r="S441" s="334">
        <f t="shared" si="112"/>
        <v>0</v>
      </c>
      <c r="T441" s="1181">
        <f t="shared" si="113"/>
        <v>0</v>
      </c>
      <c r="U441" s="1313">
        <f t="shared" si="107"/>
        <v>0</v>
      </c>
      <c r="V441" s="1313">
        <f t="shared" si="108"/>
        <v>0</v>
      </c>
      <c r="W441" s="1310"/>
      <c r="X441" s="1313">
        <f t="shared" si="109"/>
        <v>0</v>
      </c>
      <c r="Y441" s="1313">
        <f t="shared" si="110"/>
        <v>0</v>
      </c>
      <c r="Z441" s="1310"/>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-0.01</v>
      </c>
      <c r="R442" s="703">
        <f t="shared" si="111"/>
        <v>0</v>
      </c>
      <c r="S442" s="334">
        <f t="shared" si="112"/>
        <v>0</v>
      </c>
      <c r="T442" s="1181">
        <f t="shared" si="113"/>
        <v>0</v>
      </c>
      <c r="U442" s="1313">
        <f t="shared" si="107"/>
        <v>0</v>
      </c>
      <c r="V442" s="1313">
        <f t="shared" si="108"/>
        <v>0</v>
      </c>
      <c r="W442" s="1310"/>
      <c r="X442" s="1313">
        <f t="shared" si="109"/>
        <v>0</v>
      </c>
      <c r="Y442" s="1313">
        <f t="shared" si="110"/>
        <v>0</v>
      </c>
      <c r="Z442" s="1310"/>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-0.01</v>
      </c>
      <c r="R443" s="703">
        <f t="shared" si="111"/>
        <v>0</v>
      </c>
      <c r="S443" s="334">
        <f t="shared" si="112"/>
        <v>0</v>
      </c>
      <c r="T443" s="1181">
        <f t="shared" si="113"/>
        <v>0</v>
      </c>
      <c r="U443" s="1313">
        <f t="shared" si="107"/>
        <v>0</v>
      </c>
      <c r="V443" s="1313">
        <f t="shared" si="108"/>
        <v>0</v>
      </c>
      <c r="W443" s="1310"/>
      <c r="X443" s="1313">
        <f t="shared" si="109"/>
        <v>0</v>
      </c>
      <c r="Y443" s="1313">
        <f t="shared" si="110"/>
        <v>0</v>
      </c>
      <c r="Z443" s="1310"/>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-0.01</v>
      </c>
      <c r="R444" s="703">
        <f t="shared" si="111"/>
        <v>0</v>
      </c>
      <c r="S444" s="334">
        <f t="shared" si="112"/>
        <v>0</v>
      </c>
      <c r="T444" s="1181">
        <f t="shared" si="113"/>
        <v>0</v>
      </c>
      <c r="U444" s="1313">
        <f t="shared" si="107"/>
        <v>0</v>
      </c>
      <c r="V444" s="1313">
        <f t="shared" si="108"/>
        <v>0</v>
      </c>
      <c r="W444" s="1310"/>
      <c r="X444" s="1313">
        <f t="shared" si="109"/>
        <v>0</v>
      </c>
      <c r="Y444" s="1313">
        <f t="shared" si="110"/>
        <v>0</v>
      </c>
      <c r="Z444" s="1310"/>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-0.01</v>
      </c>
      <c r="R445" s="703">
        <f t="shared" si="111"/>
        <v>0</v>
      </c>
      <c r="S445" s="334">
        <f t="shared" si="112"/>
        <v>0</v>
      </c>
      <c r="T445" s="1181">
        <f t="shared" si="113"/>
        <v>0</v>
      </c>
      <c r="U445" s="1313">
        <f t="shared" si="107"/>
        <v>0</v>
      </c>
      <c r="V445" s="1313">
        <f t="shared" si="108"/>
        <v>0</v>
      </c>
      <c r="W445" s="1310"/>
      <c r="X445" s="1313">
        <f t="shared" si="109"/>
        <v>0</v>
      </c>
      <c r="Y445" s="1313">
        <f t="shared" si="110"/>
        <v>0</v>
      </c>
      <c r="Z445" s="1310"/>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-0.01</v>
      </c>
      <c r="R446" s="703">
        <f t="shared" si="111"/>
        <v>0</v>
      </c>
      <c r="S446" s="334">
        <f t="shared" si="112"/>
        <v>0</v>
      </c>
      <c r="T446" s="1181">
        <f t="shared" si="113"/>
        <v>0</v>
      </c>
      <c r="U446" s="1313">
        <f t="shared" si="107"/>
        <v>0</v>
      </c>
      <c r="V446" s="1313">
        <f t="shared" si="108"/>
        <v>0</v>
      </c>
      <c r="W446" s="1310"/>
      <c r="X446" s="1313">
        <f t="shared" si="109"/>
        <v>0</v>
      </c>
      <c r="Y446" s="1313">
        <f t="shared" si="110"/>
        <v>0</v>
      </c>
      <c r="Z446" s="1310"/>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-0.01</v>
      </c>
      <c r="R447" s="703">
        <f t="shared" si="111"/>
        <v>0</v>
      </c>
      <c r="S447" s="334">
        <f t="shared" si="112"/>
        <v>0</v>
      </c>
      <c r="T447" s="1181">
        <f t="shared" si="113"/>
        <v>0</v>
      </c>
      <c r="U447" s="1313">
        <f t="shared" si="107"/>
        <v>0</v>
      </c>
      <c r="V447" s="1313">
        <f t="shared" si="108"/>
        <v>0</v>
      </c>
      <c r="W447" s="1310"/>
      <c r="X447" s="1313">
        <f t="shared" si="109"/>
        <v>0</v>
      </c>
      <c r="Y447" s="1313">
        <f t="shared" si="110"/>
        <v>0</v>
      </c>
      <c r="Z447" s="1310"/>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-0.01</v>
      </c>
      <c r="R448" s="703">
        <f t="shared" si="111"/>
        <v>0</v>
      </c>
      <c r="S448" s="334">
        <f t="shared" si="112"/>
        <v>0</v>
      </c>
      <c r="T448" s="1181">
        <f t="shared" si="113"/>
        <v>0</v>
      </c>
      <c r="U448" s="1313">
        <f t="shared" si="107"/>
        <v>0</v>
      </c>
      <c r="V448" s="1313">
        <f t="shared" si="108"/>
        <v>0</v>
      </c>
      <c r="W448" s="1310"/>
      <c r="X448" s="1313">
        <f t="shared" si="109"/>
        <v>0</v>
      </c>
      <c r="Y448" s="1313">
        <f t="shared" si="110"/>
        <v>0</v>
      </c>
      <c r="Z448" s="1310"/>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-0.01</v>
      </c>
      <c r="R449" s="703">
        <f t="shared" si="111"/>
        <v>0</v>
      </c>
      <c r="S449" s="334">
        <f t="shared" si="112"/>
        <v>0</v>
      </c>
      <c r="T449" s="1181">
        <f t="shared" si="113"/>
        <v>0</v>
      </c>
      <c r="U449" s="1313">
        <f t="shared" si="107"/>
        <v>0</v>
      </c>
      <c r="V449" s="1313">
        <f t="shared" si="108"/>
        <v>0</v>
      </c>
      <c r="W449" s="1310"/>
      <c r="X449" s="1313">
        <f t="shared" si="109"/>
        <v>0</v>
      </c>
      <c r="Y449" s="1313">
        <f t="shared" si="110"/>
        <v>0</v>
      </c>
      <c r="Z449" s="1310"/>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-0.01</v>
      </c>
      <c r="R450" s="703">
        <f t="shared" si="111"/>
        <v>0</v>
      </c>
      <c r="S450" s="334">
        <f t="shared" si="112"/>
        <v>0</v>
      </c>
      <c r="T450" s="1181">
        <f t="shared" si="113"/>
        <v>0</v>
      </c>
      <c r="U450" s="1313">
        <f t="shared" si="107"/>
        <v>0</v>
      </c>
      <c r="V450" s="1313">
        <f t="shared" si="108"/>
        <v>0</v>
      </c>
      <c r="W450" s="1310"/>
      <c r="X450" s="1313">
        <f t="shared" si="109"/>
        <v>0</v>
      </c>
      <c r="Y450" s="1313">
        <f t="shared" si="110"/>
        <v>0</v>
      </c>
      <c r="Z450" s="1310"/>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-0.01</v>
      </c>
      <c r="R451" s="703">
        <f t="shared" si="111"/>
        <v>0</v>
      </c>
      <c r="S451" s="334">
        <f t="shared" si="112"/>
        <v>0</v>
      </c>
      <c r="T451" s="1181">
        <f t="shared" si="113"/>
        <v>0</v>
      </c>
      <c r="U451" s="1313">
        <f t="shared" si="107"/>
        <v>0</v>
      </c>
      <c r="V451" s="1313">
        <f t="shared" si="108"/>
        <v>0</v>
      </c>
      <c r="W451" s="1310"/>
      <c r="X451" s="1313">
        <f t="shared" si="109"/>
        <v>0</v>
      </c>
      <c r="Y451" s="1313">
        <f t="shared" si="110"/>
        <v>0</v>
      </c>
      <c r="Z451" s="1310"/>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-0.01</v>
      </c>
      <c r="R452" s="703">
        <f t="shared" si="111"/>
        <v>0</v>
      </c>
      <c r="S452" s="334">
        <f t="shared" si="112"/>
        <v>0</v>
      </c>
      <c r="T452" s="1181">
        <f t="shared" si="113"/>
        <v>0</v>
      </c>
      <c r="U452" s="1313">
        <f t="shared" si="107"/>
        <v>0</v>
      </c>
      <c r="V452" s="1313">
        <f t="shared" si="108"/>
        <v>0</v>
      </c>
      <c r="W452" s="1310"/>
      <c r="X452" s="1313">
        <f t="shared" si="109"/>
        <v>0</v>
      </c>
      <c r="Y452" s="1313">
        <f t="shared" si="110"/>
        <v>0</v>
      </c>
      <c r="Z452" s="1310"/>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-0.01</v>
      </c>
      <c r="R453" s="703">
        <f t="shared" si="111"/>
        <v>0</v>
      </c>
      <c r="S453" s="334">
        <f t="shared" si="112"/>
        <v>0</v>
      </c>
      <c r="T453" s="1181">
        <f t="shared" si="113"/>
        <v>0</v>
      </c>
      <c r="U453" s="1313">
        <f t="shared" si="107"/>
        <v>0</v>
      </c>
      <c r="V453" s="1313">
        <f t="shared" si="108"/>
        <v>0</v>
      </c>
      <c r="W453" s="1310"/>
      <c r="X453" s="1313">
        <f t="shared" si="109"/>
        <v>0</v>
      </c>
      <c r="Y453" s="1313">
        <f t="shared" si="110"/>
        <v>0</v>
      </c>
      <c r="Z453" s="1310"/>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-0.01</v>
      </c>
      <c r="R454" s="703">
        <f t="shared" si="111"/>
        <v>0</v>
      </c>
      <c r="S454" s="334">
        <f t="shared" si="112"/>
        <v>0</v>
      </c>
      <c r="T454" s="1181">
        <f t="shared" si="113"/>
        <v>0</v>
      </c>
      <c r="U454" s="1313">
        <f t="shared" si="107"/>
        <v>0</v>
      </c>
      <c r="V454" s="1313">
        <f t="shared" si="108"/>
        <v>0</v>
      </c>
      <c r="W454" s="1310"/>
      <c r="X454" s="1313">
        <f t="shared" si="109"/>
        <v>0</v>
      </c>
      <c r="Y454" s="1313">
        <f t="shared" si="110"/>
        <v>0</v>
      </c>
      <c r="Z454" s="1310"/>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-0.01</v>
      </c>
      <c r="R455" s="703">
        <f t="shared" si="111"/>
        <v>0</v>
      </c>
      <c r="S455" s="334">
        <f t="shared" si="112"/>
        <v>0</v>
      </c>
      <c r="T455" s="1181">
        <f t="shared" si="113"/>
        <v>0</v>
      </c>
      <c r="U455" s="1313">
        <f t="shared" si="107"/>
        <v>0</v>
      </c>
      <c r="V455" s="1313">
        <f t="shared" si="108"/>
        <v>0</v>
      </c>
      <c r="W455" s="1310"/>
      <c r="X455" s="1313">
        <f t="shared" si="109"/>
        <v>0</v>
      </c>
      <c r="Y455" s="1313">
        <f t="shared" si="110"/>
        <v>0</v>
      </c>
      <c r="Z455" s="1310"/>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-0.01</v>
      </c>
      <c r="R456" s="703">
        <f t="shared" si="111"/>
        <v>0</v>
      </c>
      <c r="S456" s="334">
        <f t="shared" si="112"/>
        <v>0</v>
      </c>
      <c r="T456" s="1181">
        <f t="shared" si="113"/>
        <v>0</v>
      </c>
      <c r="U456" s="1313">
        <f t="shared" si="107"/>
        <v>0</v>
      </c>
      <c r="V456" s="1313">
        <f t="shared" si="108"/>
        <v>0</v>
      </c>
      <c r="W456" s="1310"/>
      <c r="X456" s="1313">
        <f t="shared" si="109"/>
        <v>0</v>
      </c>
      <c r="Y456" s="1313">
        <f t="shared" si="110"/>
        <v>0</v>
      </c>
      <c r="Z456" s="1310"/>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-0.01</v>
      </c>
      <c r="R457" s="703">
        <f t="shared" si="111"/>
        <v>0</v>
      </c>
      <c r="S457" s="334">
        <f t="shared" si="112"/>
        <v>0</v>
      </c>
      <c r="T457" s="1181">
        <f t="shared" si="113"/>
        <v>0</v>
      </c>
      <c r="U457" s="1313">
        <f t="shared" si="107"/>
        <v>0</v>
      </c>
      <c r="V457" s="1313">
        <f t="shared" si="108"/>
        <v>0</v>
      </c>
      <c r="W457" s="1310"/>
      <c r="X457" s="1313">
        <f t="shared" si="109"/>
        <v>0</v>
      </c>
      <c r="Y457" s="1313">
        <f t="shared" si="110"/>
        <v>0</v>
      </c>
      <c r="Z457" s="1310"/>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-0.01</v>
      </c>
      <c r="R458" s="703">
        <f t="shared" si="111"/>
        <v>0</v>
      </c>
      <c r="S458" s="334">
        <f t="shared" si="112"/>
        <v>0</v>
      </c>
      <c r="T458" s="1181">
        <f t="shared" si="113"/>
        <v>0</v>
      </c>
      <c r="U458" s="1313">
        <f t="shared" si="107"/>
        <v>0</v>
      </c>
      <c r="V458" s="1313">
        <f t="shared" si="108"/>
        <v>0</v>
      </c>
      <c r="W458" s="1310"/>
      <c r="X458" s="1313">
        <f t="shared" si="109"/>
        <v>0</v>
      </c>
      <c r="Y458" s="1313">
        <f t="shared" si="110"/>
        <v>0</v>
      </c>
      <c r="Z458" s="1310"/>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-0.01</v>
      </c>
      <c r="R459" s="703">
        <f t="shared" si="111"/>
        <v>0</v>
      </c>
      <c r="S459" s="334">
        <f t="shared" si="112"/>
        <v>0</v>
      </c>
      <c r="T459" s="1181">
        <f t="shared" si="113"/>
        <v>0</v>
      </c>
      <c r="U459" s="1313">
        <f t="shared" si="107"/>
        <v>0</v>
      </c>
      <c r="V459" s="1313">
        <f t="shared" si="108"/>
        <v>0</v>
      </c>
      <c r="W459" s="1310"/>
      <c r="X459" s="1313">
        <f t="shared" si="109"/>
        <v>0</v>
      </c>
      <c r="Y459" s="1313">
        <f t="shared" si="110"/>
        <v>0</v>
      </c>
      <c r="Z459" s="1310"/>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-0.01</v>
      </c>
      <c r="R460" s="703">
        <f t="shared" si="111"/>
        <v>0</v>
      </c>
      <c r="S460" s="334">
        <f t="shared" si="112"/>
        <v>0</v>
      </c>
      <c r="T460" s="1181">
        <f t="shared" si="113"/>
        <v>0</v>
      </c>
      <c r="U460" s="1313">
        <f t="shared" si="107"/>
        <v>0</v>
      </c>
      <c r="V460" s="1313">
        <f t="shared" si="108"/>
        <v>0</v>
      </c>
      <c r="W460" s="1310"/>
      <c r="X460" s="1313">
        <f t="shared" si="109"/>
        <v>0</v>
      </c>
      <c r="Y460" s="1313">
        <f t="shared" si="110"/>
        <v>0</v>
      </c>
      <c r="Z460" s="1310"/>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-0.01</v>
      </c>
      <c r="R461" s="703">
        <f t="shared" si="111"/>
        <v>0</v>
      </c>
      <c r="S461" s="334">
        <f t="shared" si="112"/>
        <v>0</v>
      </c>
      <c r="T461" s="1181">
        <f t="shared" si="113"/>
        <v>0</v>
      </c>
      <c r="U461" s="1313">
        <f t="shared" si="107"/>
        <v>0</v>
      </c>
      <c r="V461" s="1313">
        <f t="shared" si="108"/>
        <v>0</v>
      </c>
      <c r="W461" s="1310"/>
      <c r="X461" s="1313">
        <f t="shared" si="109"/>
        <v>0</v>
      </c>
      <c r="Y461" s="1313">
        <f t="shared" si="110"/>
        <v>0</v>
      </c>
      <c r="Z461" s="1310"/>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-0.01</v>
      </c>
      <c r="R462" s="703">
        <f t="shared" si="111"/>
        <v>0</v>
      </c>
      <c r="S462" s="334">
        <f t="shared" si="112"/>
        <v>0</v>
      </c>
      <c r="T462" s="1181">
        <f t="shared" si="113"/>
        <v>0</v>
      </c>
      <c r="U462" s="1313">
        <f t="shared" si="107"/>
        <v>0</v>
      </c>
      <c r="V462" s="1313">
        <f t="shared" si="108"/>
        <v>0</v>
      </c>
      <c r="W462" s="1310"/>
      <c r="X462" s="1313">
        <f t="shared" si="109"/>
        <v>0</v>
      </c>
      <c r="Y462" s="1313">
        <f t="shared" si="110"/>
        <v>0</v>
      </c>
      <c r="Z462" s="1310"/>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-0.01</v>
      </c>
      <c r="R463" s="703">
        <f t="shared" si="111"/>
        <v>0</v>
      </c>
      <c r="S463" s="334">
        <f t="shared" si="112"/>
        <v>0</v>
      </c>
      <c r="T463" s="1181">
        <f t="shared" si="113"/>
        <v>0</v>
      </c>
      <c r="U463" s="1313">
        <f t="shared" si="107"/>
        <v>0</v>
      </c>
      <c r="V463" s="1313">
        <f t="shared" si="108"/>
        <v>0</v>
      </c>
      <c r="W463" s="1310"/>
      <c r="X463" s="1313">
        <f t="shared" si="109"/>
        <v>0</v>
      </c>
      <c r="Y463" s="1313">
        <f t="shared" si="110"/>
        <v>0</v>
      </c>
      <c r="Z463" s="1310"/>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-0.01</v>
      </c>
      <c r="R464" s="703">
        <f t="shared" si="111"/>
        <v>0</v>
      </c>
      <c r="S464" s="334">
        <f t="shared" si="112"/>
        <v>0</v>
      </c>
      <c r="T464" s="1181">
        <f t="shared" si="113"/>
        <v>0</v>
      </c>
      <c r="U464" s="1313">
        <f t="shared" si="107"/>
        <v>0</v>
      </c>
      <c r="V464" s="1313">
        <f t="shared" si="108"/>
        <v>0</v>
      </c>
      <c r="W464" s="1310"/>
      <c r="X464" s="1313">
        <f t="shared" si="109"/>
        <v>0</v>
      </c>
      <c r="Y464" s="1313">
        <f t="shared" si="110"/>
        <v>0</v>
      </c>
      <c r="Z464" s="1310"/>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-0.01</v>
      </c>
      <c r="R465" s="703">
        <f t="shared" si="111"/>
        <v>0</v>
      </c>
      <c r="S465" s="334">
        <f t="shared" si="112"/>
        <v>0</v>
      </c>
      <c r="T465" s="1181">
        <f t="shared" si="113"/>
        <v>0</v>
      </c>
      <c r="U465" s="1313">
        <f t="shared" si="107"/>
        <v>0</v>
      </c>
      <c r="V465" s="1313">
        <f t="shared" si="108"/>
        <v>0</v>
      </c>
      <c r="W465" s="1310"/>
      <c r="X465" s="1313">
        <f t="shared" si="109"/>
        <v>0</v>
      </c>
      <c r="Y465" s="1313">
        <f t="shared" si="110"/>
        <v>0</v>
      </c>
      <c r="Z465" s="1310"/>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-0.01</v>
      </c>
      <c r="R466" s="703">
        <f t="shared" si="111"/>
        <v>0</v>
      </c>
      <c r="S466" s="334">
        <f t="shared" si="112"/>
        <v>0</v>
      </c>
      <c r="T466" s="1181">
        <f t="shared" si="113"/>
        <v>0</v>
      </c>
      <c r="U466" s="1313">
        <f t="shared" si="107"/>
        <v>0</v>
      </c>
      <c r="V466" s="1313">
        <f t="shared" si="108"/>
        <v>0</v>
      </c>
      <c r="W466" s="1310"/>
      <c r="X466" s="1313">
        <f t="shared" si="109"/>
        <v>0</v>
      </c>
      <c r="Y466" s="1313">
        <f t="shared" si="110"/>
        <v>0</v>
      </c>
      <c r="Z466" s="1310"/>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-0.01</v>
      </c>
      <c r="R467" s="703">
        <f t="shared" si="111"/>
        <v>0</v>
      </c>
      <c r="S467" s="334">
        <f t="shared" si="112"/>
        <v>0</v>
      </c>
      <c r="T467" s="1181">
        <f t="shared" si="113"/>
        <v>0</v>
      </c>
      <c r="U467" s="1313">
        <f t="shared" si="107"/>
        <v>0</v>
      </c>
      <c r="V467" s="1313">
        <f t="shared" si="108"/>
        <v>0</v>
      </c>
      <c r="W467" s="1310"/>
      <c r="X467" s="1313">
        <f t="shared" si="109"/>
        <v>0</v>
      </c>
      <c r="Y467" s="1313">
        <f t="shared" si="110"/>
        <v>0</v>
      </c>
      <c r="Z467" s="1310"/>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-0.01</v>
      </c>
      <c r="R468" s="703">
        <f t="shared" si="111"/>
        <v>0</v>
      </c>
      <c r="S468" s="334">
        <f t="shared" si="112"/>
        <v>0</v>
      </c>
      <c r="T468" s="1181">
        <f t="shared" si="113"/>
        <v>0</v>
      </c>
      <c r="U468" s="1313">
        <f t="shared" si="107"/>
        <v>0</v>
      </c>
      <c r="V468" s="1313">
        <f t="shared" si="108"/>
        <v>0</v>
      </c>
      <c r="W468" s="1310"/>
      <c r="X468" s="1313">
        <f t="shared" si="109"/>
        <v>0</v>
      </c>
      <c r="Y468" s="1313">
        <f t="shared" si="110"/>
        <v>0</v>
      </c>
      <c r="Z468" s="1310"/>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-0.01</v>
      </c>
      <c r="R469" s="703">
        <f t="shared" si="111"/>
        <v>0</v>
      </c>
      <c r="S469" s="334">
        <f t="shared" si="112"/>
        <v>0</v>
      </c>
      <c r="T469" s="1181">
        <f t="shared" si="113"/>
        <v>0</v>
      </c>
      <c r="U469" s="1313">
        <f t="shared" si="107"/>
        <v>0</v>
      </c>
      <c r="V469" s="1313">
        <f t="shared" si="108"/>
        <v>0</v>
      </c>
      <c r="W469" s="1310"/>
      <c r="X469" s="1313">
        <f t="shared" si="109"/>
        <v>0</v>
      </c>
      <c r="Y469" s="1313">
        <f t="shared" si="110"/>
        <v>0</v>
      </c>
      <c r="Z469" s="1310"/>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-0.01</v>
      </c>
      <c r="R470" s="703">
        <f t="shared" si="111"/>
        <v>0</v>
      </c>
      <c r="S470" s="334">
        <f t="shared" si="112"/>
        <v>0</v>
      </c>
      <c r="T470" s="1181">
        <f t="shared" si="113"/>
        <v>0</v>
      </c>
      <c r="U470" s="1313">
        <f t="shared" si="107"/>
        <v>0</v>
      </c>
      <c r="V470" s="1313">
        <f t="shared" si="108"/>
        <v>0</v>
      </c>
      <c r="W470" s="1310"/>
      <c r="X470" s="1313">
        <f t="shared" si="109"/>
        <v>0</v>
      </c>
      <c r="Y470" s="1313">
        <f t="shared" si="110"/>
        <v>0</v>
      </c>
      <c r="Z470" s="1310"/>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-0.01</v>
      </c>
      <c r="R471" s="703">
        <f t="shared" si="111"/>
        <v>0</v>
      </c>
      <c r="S471" s="334">
        <f t="shared" si="112"/>
        <v>0</v>
      </c>
      <c r="T471" s="1181">
        <f t="shared" si="113"/>
        <v>0</v>
      </c>
      <c r="U471" s="1313">
        <f t="shared" si="107"/>
        <v>0</v>
      </c>
      <c r="V471" s="1313">
        <f t="shared" si="108"/>
        <v>0</v>
      </c>
      <c r="W471" s="1310"/>
      <c r="X471" s="1313">
        <f t="shared" si="109"/>
        <v>0</v>
      </c>
      <c r="Y471" s="1313">
        <f t="shared" si="110"/>
        <v>0</v>
      </c>
      <c r="Z471" s="1310"/>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-0.01</v>
      </c>
      <c r="R472" s="703">
        <f t="shared" si="111"/>
        <v>0</v>
      </c>
      <c r="S472" s="334">
        <f t="shared" si="112"/>
        <v>0</v>
      </c>
      <c r="T472" s="1181">
        <f t="shared" si="113"/>
        <v>0</v>
      </c>
      <c r="U472" s="1313">
        <f t="shared" si="107"/>
        <v>0</v>
      </c>
      <c r="V472" s="1313">
        <f t="shared" si="108"/>
        <v>0</v>
      </c>
      <c r="W472" s="1310"/>
      <c r="X472" s="1313">
        <f t="shared" si="109"/>
        <v>0</v>
      </c>
      <c r="Y472" s="1313">
        <f t="shared" si="110"/>
        <v>0</v>
      </c>
      <c r="Z472" s="1310"/>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-0.01</v>
      </c>
      <c r="R473" s="703">
        <f t="shared" si="111"/>
        <v>0</v>
      </c>
      <c r="S473" s="334">
        <f t="shared" si="112"/>
        <v>0</v>
      </c>
      <c r="T473" s="1181">
        <f t="shared" si="113"/>
        <v>0</v>
      </c>
      <c r="U473" s="1313">
        <f t="shared" si="107"/>
        <v>0</v>
      </c>
      <c r="V473" s="1313">
        <f t="shared" si="108"/>
        <v>0</v>
      </c>
      <c r="W473" s="1310"/>
      <c r="X473" s="1313">
        <f t="shared" si="109"/>
        <v>0</v>
      </c>
      <c r="Y473" s="1313">
        <f t="shared" si="110"/>
        <v>0</v>
      </c>
      <c r="Z473" s="1310"/>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-0.01</v>
      </c>
      <c r="R474" s="703">
        <f t="shared" si="111"/>
        <v>0</v>
      </c>
      <c r="S474" s="334">
        <f t="shared" si="112"/>
        <v>0</v>
      </c>
      <c r="T474" s="1181">
        <f t="shared" si="113"/>
        <v>0</v>
      </c>
      <c r="U474" s="1313">
        <f t="shared" si="107"/>
        <v>0</v>
      </c>
      <c r="V474" s="1313">
        <f t="shared" si="108"/>
        <v>0</v>
      </c>
      <c r="W474" s="1310"/>
      <c r="X474" s="1313">
        <f t="shared" si="109"/>
        <v>0</v>
      </c>
      <c r="Y474" s="1313">
        <f t="shared" si="110"/>
        <v>0</v>
      </c>
      <c r="Z474" s="1310"/>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-0.01</v>
      </c>
      <c r="R475" s="703">
        <f t="shared" si="111"/>
        <v>0</v>
      </c>
      <c r="S475" s="334">
        <f t="shared" si="112"/>
        <v>0</v>
      </c>
      <c r="T475" s="1181">
        <f t="shared" si="113"/>
        <v>0</v>
      </c>
      <c r="U475" s="1313">
        <f t="shared" si="107"/>
        <v>0</v>
      </c>
      <c r="V475" s="1313">
        <f t="shared" si="108"/>
        <v>0</v>
      </c>
      <c r="W475" s="1310"/>
      <c r="X475" s="1313">
        <f t="shared" si="109"/>
        <v>0</v>
      </c>
      <c r="Y475" s="1313">
        <f t="shared" si="110"/>
        <v>0</v>
      </c>
      <c r="Z475" s="1310"/>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-0.01</v>
      </c>
      <c r="R476" s="703">
        <f t="shared" si="111"/>
        <v>0</v>
      </c>
      <c r="S476" s="334">
        <f t="shared" si="112"/>
        <v>0</v>
      </c>
      <c r="T476" s="1181">
        <f t="shared" si="113"/>
        <v>0</v>
      </c>
      <c r="U476" s="1313">
        <f t="shared" ref="U476:U527" si="122">ROUND(W476*B476,0)</f>
        <v>0</v>
      </c>
      <c r="V476" s="1313">
        <f t="shared" ref="V476:V527" si="123">ROUND(W476*B476/10000,0)</f>
        <v>0</v>
      </c>
      <c r="W476" s="1310"/>
      <c r="X476" s="1313">
        <f t="shared" ref="X476:X527" si="124">ROUND(Z476*B476,0)</f>
        <v>0</v>
      </c>
      <c r="Y476" s="1313">
        <f t="shared" ref="Y476:Y527" si="125">ROUND(Z476*B476/10000,0)</f>
        <v>0</v>
      </c>
      <c r="Z476" s="1310"/>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-0.01</v>
      </c>
      <c r="R477" s="703">
        <f t="shared" ref="R477:R527" si="126">IF(B477="",0,ROUND($R$27*C477*E477*G477*I477*K477*M477*O477*Q477,0))</f>
        <v>0</v>
      </c>
      <c r="S477" s="334">
        <f t="shared" ref="S477:S527" si="127">ROUND(R477*B477,0)</f>
        <v>0</v>
      </c>
      <c r="T477" s="1181">
        <f t="shared" ref="T477:T527" si="128">ROUND(R477*B477/10000,0)</f>
        <v>0</v>
      </c>
      <c r="U477" s="1313">
        <f t="shared" si="122"/>
        <v>0</v>
      </c>
      <c r="V477" s="1313">
        <f t="shared" si="123"/>
        <v>0</v>
      </c>
      <c r="W477" s="1310"/>
      <c r="X477" s="1313">
        <f t="shared" si="124"/>
        <v>0</v>
      </c>
      <c r="Y477" s="1313">
        <f t="shared" si="125"/>
        <v>0</v>
      </c>
      <c r="Z477" s="1310"/>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-0.01</v>
      </c>
      <c r="R478" s="703">
        <f t="shared" si="126"/>
        <v>0</v>
      </c>
      <c r="S478" s="334">
        <f t="shared" si="127"/>
        <v>0</v>
      </c>
      <c r="T478" s="1181">
        <f t="shared" si="128"/>
        <v>0</v>
      </c>
      <c r="U478" s="1313">
        <f t="shared" si="122"/>
        <v>0</v>
      </c>
      <c r="V478" s="1313">
        <f t="shared" si="123"/>
        <v>0</v>
      </c>
      <c r="W478" s="1310"/>
      <c r="X478" s="1313">
        <f t="shared" si="124"/>
        <v>0</v>
      </c>
      <c r="Y478" s="1313">
        <f t="shared" si="125"/>
        <v>0</v>
      </c>
      <c r="Z478" s="1310"/>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-0.01</v>
      </c>
      <c r="R479" s="703">
        <f t="shared" si="126"/>
        <v>0</v>
      </c>
      <c r="S479" s="334">
        <f t="shared" si="127"/>
        <v>0</v>
      </c>
      <c r="T479" s="1181">
        <f t="shared" si="128"/>
        <v>0</v>
      </c>
      <c r="U479" s="1313">
        <f t="shared" si="122"/>
        <v>0</v>
      </c>
      <c r="V479" s="1313">
        <f t="shared" si="123"/>
        <v>0</v>
      </c>
      <c r="W479" s="1310"/>
      <c r="X479" s="1313">
        <f t="shared" si="124"/>
        <v>0</v>
      </c>
      <c r="Y479" s="1313">
        <f t="shared" si="125"/>
        <v>0</v>
      </c>
      <c r="Z479" s="1310"/>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-0.01</v>
      </c>
      <c r="R480" s="703">
        <f t="shared" si="126"/>
        <v>0</v>
      </c>
      <c r="S480" s="334">
        <f t="shared" si="127"/>
        <v>0</v>
      </c>
      <c r="T480" s="1181">
        <f t="shared" si="128"/>
        <v>0</v>
      </c>
      <c r="U480" s="1313">
        <f t="shared" si="122"/>
        <v>0</v>
      </c>
      <c r="V480" s="1313">
        <f t="shared" si="123"/>
        <v>0</v>
      </c>
      <c r="W480" s="1310"/>
      <c r="X480" s="1313">
        <f t="shared" si="124"/>
        <v>0</v>
      </c>
      <c r="Y480" s="1313">
        <f t="shared" si="125"/>
        <v>0</v>
      </c>
      <c r="Z480" s="1310"/>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-0.01</v>
      </c>
      <c r="R481" s="703">
        <f t="shared" si="126"/>
        <v>0</v>
      </c>
      <c r="S481" s="334">
        <f t="shared" si="127"/>
        <v>0</v>
      </c>
      <c r="T481" s="1181">
        <f t="shared" si="128"/>
        <v>0</v>
      </c>
      <c r="U481" s="1313">
        <f t="shared" si="122"/>
        <v>0</v>
      </c>
      <c r="V481" s="1313">
        <f t="shared" si="123"/>
        <v>0</v>
      </c>
      <c r="W481" s="1310"/>
      <c r="X481" s="1313">
        <f t="shared" si="124"/>
        <v>0</v>
      </c>
      <c r="Y481" s="1313">
        <f t="shared" si="125"/>
        <v>0</v>
      </c>
      <c r="Z481" s="1310"/>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-0.01</v>
      </c>
      <c r="R482" s="703">
        <f t="shared" si="126"/>
        <v>0</v>
      </c>
      <c r="S482" s="334">
        <f t="shared" si="127"/>
        <v>0</v>
      </c>
      <c r="T482" s="1181">
        <f t="shared" si="128"/>
        <v>0</v>
      </c>
      <c r="U482" s="1313">
        <f t="shared" si="122"/>
        <v>0</v>
      </c>
      <c r="V482" s="1313">
        <f t="shared" si="123"/>
        <v>0</v>
      </c>
      <c r="W482" s="1310"/>
      <c r="X482" s="1313">
        <f t="shared" si="124"/>
        <v>0</v>
      </c>
      <c r="Y482" s="1313">
        <f t="shared" si="125"/>
        <v>0</v>
      </c>
      <c r="Z482" s="1310"/>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-0.01</v>
      </c>
      <c r="R483" s="703">
        <f t="shared" si="126"/>
        <v>0</v>
      </c>
      <c r="S483" s="334">
        <f t="shared" si="127"/>
        <v>0</v>
      </c>
      <c r="T483" s="1181">
        <f t="shared" si="128"/>
        <v>0</v>
      </c>
      <c r="U483" s="1313">
        <f t="shared" si="122"/>
        <v>0</v>
      </c>
      <c r="V483" s="1313">
        <f t="shared" si="123"/>
        <v>0</v>
      </c>
      <c r="W483" s="1310"/>
      <c r="X483" s="1313">
        <f t="shared" si="124"/>
        <v>0</v>
      </c>
      <c r="Y483" s="1313">
        <f t="shared" si="125"/>
        <v>0</v>
      </c>
      <c r="Z483" s="1310"/>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-0.01</v>
      </c>
      <c r="R484" s="703">
        <f t="shared" si="126"/>
        <v>0</v>
      </c>
      <c r="S484" s="334">
        <f t="shared" si="127"/>
        <v>0</v>
      </c>
      <c r="T484" s="1181">
        <f t="shared" si="128"/>
        <v>0</v>
      </c>
      <c r="U484" s="1313">
        <f t="shared" si="122"/>
        <v>0</v>
      </c>
      <c r="V484" s="1313">
        <f t="shared" si="123"/>
        <v>0</v>
      </c>
      <c r="W484" s="1310"/>
      <c r="X484" s="1313">
        <f t="shared" si="124"/>
        <v>0</v>
      </c>
      <c r="Y484" s="1313">
        <f t="shared" si="125"/>
        <v>0</v>
      </c>
      <c r="Z484" s="1310"/>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-0.01</v>
      </c>
      <c r="R485" s="703">
        <f t="shared" si="126"/>
        <v>0</v>
      </c>
      <c r="S485" s="334">
        <f t="shared" si="127"/>
        <v>0</v>
      </c>
      <c r="T485" s="1181">
        <f t="shared" si="128"/>
        <v>0</v>
      </c>
      <c r="U485" s="1313">
        <f t="shared" si="122"/>
        <v>0</v>
      </c>
      <c r="V485" s="1313">
        <f t="shared" si="123"/>
        <v>0</v>
      </c>
      <c r="W485" s="1310"/>
      <c r="X485" s="1313">
        <f t="shared" si="124"/>
        <v>0</v>
      </c>
      <c r="Y485" s="1313">
        <f t="shared" si="125"/>
        <v>0</v>
      </c>
      <c r="Z485" s="1310"/>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-0.01</v>
      </c>
      <c r="R486" s="703">
        <f t="shared" si="126"/>
        <v>0</v>
      </c>
      <c r="S486" s="334">
        <f t="shared" si="127"/>
        <v>0</v>
      </c>
      <c r="T486" s="1181">
        <f t="shared" si="128"/>
        <v>0</v>
      </c>
      <c r="U486" s="1313">
        <f t="shared" si="122"/>
        <v>0</v>
      </c>
      <c r="V486" s="1313">
        <f t="shared" si="123"/>
        <v>0</v>
      </c>
      <c r="W486" s="1310"/>
      <c r="X486" s="1313">
        <f t="shared" si="124"/>
        <v>0</v>
      </c>
      <c r="Y486" s="1313">
        <f t="shared" si="125"/>
        <v>0</v>
      </c>
      <c r="Z486" s="1310"/>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-0.01</v>
      </c>
      <c r="R487" s="703">
        <f t="shared" si="126"/>
        <v>0</v>
      </c>
      <c r="S487" s="334">
        <f t="shared" si="127"/>
        <v>0</v>
      </c>
      <c r="T487" s="1181">
        <f t="shared" si="128"/>
        <v>0</v>
      </c>
      <c r="U487" s="1313">
        <f t="shared" si="122"/>
        <v>0</v>
      </c>
      <c r="V487" s="1313">
        <f t="shared" si="123"/>
        <v>0</v>
      </c>
      <c r="W487" s="1310"/>
      <c r="X487" s="1313">
        <f t="shared" si="124"/>
        <v>0</v>
      </c>
      <c r="Y487" s="1313">
        <f t="shared" si="125"/>
        <v>0</v>
      </c>
      <c r="Z487" s="1310"/>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-0.01</v>
      </c>
      <c r="R488" s="703">
        <f t="shared" si="126"/>
        <v>0</v>
      </c>
      <c r="S488" s="334">
        <f t="shared" si="127"/>
        <v>0</v>
      </c>
      <c r="T488" s="1181">
        <f t="shared" si="128"/>
        <v>0</v>
      </c>
      <c r="U488" s="1313">
        <f t="shared" si="122"/>
        <v>0</v>
      </c>
      <c r="V488" s="1313">
        <f t="shared" si="123"/>
        <v>0</v>
      </c>
      <c r="W488" s="1310"/>
      <c r="X488" s="1313">
        <f t="shared" si="124"/>
        <v>0</v>
      </c>
      <c r="Y488" s="1313">
        <f t="shared" si="125"/>
        <v>0</v>
      </c>
      <c r="Z488" s="1310"/>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-0.01</v>
      </c>
      <c r="R489" s="703">
        <f t="shared" si="126"/>
        <v>0</v>
      </c>
      <c r="S489" s="334">
        <f t="shared" si="127"/>
        <v>0</v>
      </c>
      <c r="T489" s="1181">
        <f t="shared" si="128"/>
        <v>0</v>
      </c>
      <c r="U489" s="1313">
        <f t="shared" si="122"/>
        <v>0</v>
      </c>
      <c r="V489" s="1313">
        <f t="shared" si="123"/>
        <v>0</v>
      </c>
      <c r="W489" s="1310"/>
      <c r="X489" s="1313">
        <f t="shared" si="124"/>
        <v>0</v>
      </c>
      <c r="Y489" s="1313">
        <f t="shared" si="125"/>
        <v>0</v>
      </c>
      <c r="Z489" s="1310"/>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-0.01</v>
      </c>
      <c r="R490" s="703">
        <f t="shared" si="126"/>
        <v>0</v>
      </c>
      <c r="S490" s="334">
        <f t="shared" si="127"/>
        <v>0</v>
      </c>
      <c r="T490" s="1181">
        <f t="shared" si="128"/>
        <v>0</v>
      </c>
      <c r="U490" s="1313">
        <f t="shared" si="122"/>
        <v>0</v>
      </c>
      <c r="V490" s="1313">
        <f t="shared" si="123"/>
        <v>0</v>
      </c>
      <c r="W490" s="1310"/>
      <c r="X490" s="1313">
        <f t="shared" si="124"/>
        <v>0</v>
      </c>
      <c r="Y490" s="1313">
        <f t="shared" si="125"/>
        <v>0</v>
      </c>
      <c r="Z490" s="1310"/>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-0.01</v>
      </c>
      <c r="R491" s="703">
        <f t="shared" si="126"/>
        <v>0</v>
      </c>
      <c r="S491" s="334">
        <f t="shared" si="127"/>
        <v>0</v>
      </c>
      <c r="T491" s="1181">
        <f t="shared" si="128"/>
        <v>0</v>
      </c>
      <c r="U491" s="1313">
        <f t="shared" si="122"/>
        <v>0</v>
      </c>
      <c r="V491" s="1313">
        <f t="shared" si="123"/>
        <v>0</v>
      </c>
      <c r="W491" s="1310"/>
      <c r="X491" s="1313">
        <f t="shared" si="124"/>
        <v>0</v>
      </c>
      <c r="Y491" s="1313">
        <f t="shared" si="125"/>
        <v>0</v>
      </c>
      <c r="Z491" s="1310"/>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-0.01</v>
      </c>
      <c r="R492" s="703">
        <f t="shared" si="126"/>
        <v>0</v>
      </c>
      <c r="S492" s="334">
        <f t="shared" si="127"/>
        <v>0</v>
      </c>
      <c r="T492" s="1181">
        <f t="shared" si="128"/>
        <v>0</v>
      </c>
      <c r="U492" s="1313">
        <f t="shared" si="122"/>
        <v>0</v>
      </c>
      <c r="V492" s="1313">
        <f t="shared" si="123"/>
        <v>0</v>
      </c>
      <c r="W492" s="1310"/>
      <c r="X492" s="1313">
        <f t="shared" si="124"/>
        <v>0</v>
      </c>
      <c r="Y492" s="1313">
        <f t="shared" si="125"/>
        <v>0</v>
      </c>
      <c r="Z492" s="1310"/>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-0.01</v>
      </c>
      <c r="R493" s="703">
        <f t="shared" si="126"/>
        <v>0</v>
      </c>
      <c r="S493" s="334">
        <f t="shared" si="127"/>
        <v>0</v>
      </c>
      <c r="T493" s="1181">
        <f t="shared" si="128"/>
        <v>0</v>
      </c>
      <c r="U493" s="1313">
        <f t="shared" si="122"/>
        <v>0</v>
      </c>
      <c r="V493" s="1313">
        <f t="shared" si="123"/>
        <v>0</v>
      </c>
      <c r="W493" s="1310"/>
      <c r="X493" s="1313">
        <f t="shared" si="124"/>
        <v>0</v>
      </c>
      <c r="Y493" s="1313">
        <f t="shared" si="125"/>
        <v>0</v>
      </c>
      <c r="Z493" s="1310"/>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-0.01</v>
      </c>
      <c r="R494" s="703">
        <f t="shared" si="126"/>
        <v>0</v>
      </c>
      <c r="S494" s="334">
        <f t="shared" si="127"/>
        <v>0</v>
      </c>
      <c r="T494" s="1181">
        <f t="shared" si="128"/>
        <v>0</v>
      </c>
      <c r="U494" s="1313">
        <f t="shared" si="122"/>
        <v>0</v>
      </c>
      <c r="V494" s="1313">
        <f t="shared" si="123"/>
        <v>0</v>
      </c>
      <c r="W494" s="1310"/>
      <c r="X494" s="1313">
        <f t="shared" si="124"/>
        <v>0</v>
      </c>
      <c r="Y494" s="1313">
        <f t="shared" si="125"/>
        <v>0</v>
      </c>
      <c r="Z494" s="1310"/>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-0.01</v>
      </c>
      <c r="R495" s="703">
        <f t="shared" si="126"/>
        <v>0</v>
      </c>
      <c r="S495" s="334">
        <f t="shared" si="127"/>
        <v>0</v>
      </c>
      <c r="T495" s="1181">
        <f t="shared" si="128"/>
        <v>0</v>
      </c>
      <c r="U495" s="1313">
        <f t="shared" si="122"/>
        <v>0</v>
      </c>
      <c r="V495" s="1313">
        <f t="shared" si="123"/>
        <v>0</v>
      </c>
      <c r="W495" s="1310"/>
      <c r="X495" s="1313">
        <f t="shared" si="124"/>
        <v>0</v>
      </c>
      <c r="Y495" s="1313">
        <f t="shared" si="125"/>
        <v>0</v>
      </c>
      <c r="Z495" s="1310"/>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-0.01</v>
      </c>
      <c r="R496" s="703">
        <f t="shared" si="126"/>
        <v>0</v>
      </c>
      <c r="S496" s="334">
        <f t="shared" si="127"/>
        <v>0</v>
      </c>
      <c r="T496" s="1181">
        <f t="shared" si="128"/>
        <v>0</v>
      </c>
      <c r="U496" s="1313">
        <f t="shared" si="122"/>
        <v>0</v>
      </c>
      <c r="V496" s="1313">
        <f t="shared" si="123"/>
        <v>0</v>
      </c>
      <c r="W496" s="1310"/>
      <c r="X496" s="1313">
        <f t="shared" si="124"/>
        <v>0</v>
      </c>
      <c r="Y496" s="1313">
        <f t="shared" si="125"/>
        <v>0</v>
      </c>
      <c r="Z496" s="1310"/>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-0.01</v>
      </c>
      <c r="R497" s="703">
        <f t="shared" si="126"/>
        <v>0</v>
      </c>
      <c r="S497" s="334">
        <f t="shared" si="127"/>
        <v>0</v>
      </c>
      <c r="T497" s="1181">
        <f t="shared" si="128"/>
        <v>0</v>
      </c>
      <c r="U497" s="1313">
        <f t="shared" si="122"/>
        <v>0</v>
      </c>
      <c r="V497" s="1313">
        <f t="shared" si="123"/>
        <v>0</v>
      </c>
      <c r="W497" s="1310"/>
      <c r="X497" s="1313">
        <f t="shared" si="124"/>
        <v>0</v>
      </c>
      <c r="Y497" s="1313">
        <f t="shared" si="125"/>
        <v>0</v>
      </c>
      <c r="Z497" s="1310"/>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-0.01</v>
      </c>
      <c r="R498" s="703">
        <f t="shared" si="126"/>
        <v>0</v>
      </c>
      <c r="S498" s="334">
        <f t="shared" si="127"/>
        <v>0</v>
      </c>
      <c r="T498" s="1181">
        <f t="shared" si="128"/>
        <v>0</v>
      </c>
      <c r="U498" s="1313">
        <f t="shared" si="122"/>
        <v>0</v>
      </c>
      <c r="V498" s="1313">
        <f t="shared" si="123"/>
        <v>0</v>
      </c>
      <c r="W498" s="1310"/>
      <c r="X498" s="1313">
        <f t="shared" si="124"/>
        <v>0</v>
      </c>
      <c r="Y498" s="1313">
        <f t="shared" si="125"/>
        <v>0</v>
      </c>
      <c r="Z498" s="1310"/>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-0.01</v>
      </c>
      <c r="R499" s="703">
        <f t="shared" si="126"/>
        <v>0</v>
      </c>
      <c r="S499" s="334">
        <f t="shared" si="127"/>
        <v>0</v>
      </c>
      <c r="T499" s="1181">
        <f t="shared" si="128"/>
        <v>0</v>
      </c>
      <c r="U499" s="1313">
        <f t="shared" si="122"/>
        <v>0</v>
      </c>
      <c r="V499" s="1313">
        <f t="shared" si="123"/>
        <v>0</v>
      </c>
      <c r="W499" s="1310"/>
      <c r="X499" s="1313">
        <f t="shared" si="124"/>
        <v>0</v>
      </c>
      <c r="Y499" s="1313">
        <f t="shared" si="125"/>
        <v>0</v>
      </c>
      <c r="Z499" s="1310"/>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-0.01</v>
      </c>
      <c r="R500" s="703">
        <f t="shared" si="126"/>
        <v>0</v>
      </c>
      <c r="S500" s="334">
        <f t="shared" si="127"/>
        <v>0</v>
      </c>
      <c r="T500" s="1181">
        <f t="shared" si="128"/>
        <v>0</v>
      </c>
      <c r="U500" s="1313">
        <f t="shared" si="122"/>
        <v>0</v>
      </c>
      <c r="V500" s="1313">
        <f t="shared" si="123"/>
        <v>0</v>
      </c>
      <c r="W500" s="1310"/>
      <c r="X500" s="1313">
        <f t="shared" si="124"/>
        <v>0</v>
      </c>
      <c r="Y500" s="1313">
        <f t="shared" si="125"/>
        <v>0</v>
      </c>
      <c r="Z500" s="1310"/>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-0.01</v>
      </c>
      <c r="R501" s="703">
        <f t="shared" si="126"/>
        <v>0</v>
      </c>
      <c r="S501" s="334">
        <f t="shared" si="127"/>
        <v>0</v>
      </c>
      <c r="T501" s="1181">
        <f t="shared" si="128"/>
        <v>0</v>
      </c>
      <c r="U501" s="1313">
        <f t="shared" si="122"/>
        <v>0</v>
      </c>
      <c r="V501" s="1313">
        <f t="shared" si="123"/>
        <v>0</v>
      </c>
      <c r="W501" s="1310"/>
      <c r="X501" s="1313">
        <f t="shared" si="124"/>
        <v>0</v>
      </c>
      <c r="Y501" s="1313">
        <f t="shared" si="125"/>
        <v>0</v>
      </c>
      <c r="Z501" s="1310"/>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-0.01</v>
      </c>
      <c r="R502" s="703">
        <f t="shared" si="126"/>
        <v>0</v>
      </c>
      <c r="S502" s="334">
        <f t="shared" si="127"/>
        <v>0</v>
      </c>
      <c r="T502" s="1181">
        <f t="shared" si="128"/>
        <v>0</v>
      </c>
      <c r="U502" s="1313">
        <f t="shared" si="122"/>
        <v>0</v>
      </c>
      <c r="V502" s="1313">
        <f t="shared" si="123"/>
        <v>0</v>
      </c>
      <c r="W502" s="1310"/>
      <c r="X502" s="1313">
        <f t="shared" si="124"/>
        <v>0</v>
      </c>
      <c r="Y502" s="1313">
        <f t="shared" si="125"/>
        <v>0</v>
      </c>
      <c r="Z502" s="1310"/>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-0.01</v>
      </c>
      <c r="R503" s="703">
        <f t="shared" si="126"/>
        <v>0</v>
      </c>
      <c r="S503" s="334">
        <f t="shared" si="127"/>
        <v>0</v>
      </c>
      <c r="T503" s="1181">
        <f t="shared" si="128"/>
        <v>0</v>
      </c>
      <c r="U503" s="1313">
        <f t="shared" si="122"/>
        <v>0</v>
      </c>
      <c r="V503" s="1313">
        <f t="shared" si="123"/>
        <v>0</v>
      </c>
      <c r="W503" s="1310"/>
      <c r="X503" s="1313">
        <f t="shared" si="124"/>
        <v>0</v>
      </c>
      <c r="Y503" s="1313">
        <f t="shared" si="125"/>
        <v>0</v>
      </c>
      <c r="Z503" s="1310"/>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-0.01</v>
      </c>
      <c r="R504" s="703">
        <f t="shared" si="126"/>
        <v>0</v>
      </c>
      <c r="S504" s="334">
        <f t="shared" si="127"/>
        <v>0</v>
      </c>
      <c r="T504" s="1181">
        <f t="shared" si="128"/>
        <v>0</v>
      </c>
      <c r="U504" s="1313">
        <f t="shared" si="122"/>
        <v>0</v>
      </c>
      <c r="V504" s="1313">
        <f t="shared" si="123"/>
        <v>0</v>
      </c>
      <c r="W504" s="1310"/>
      <c r="X504" s="1313">
        <f t="shared" si="124"/>
        <v>0</v>
      </c>
      <c r="Y504" s="1313">
        <f t="shared" si="125"/>
        <v>0</v>
      </c>
      <c r="Z504" s="1310"/>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-0.01</v>
      </c>
      <c r="R505" s="703">
        <f t="shared" si="126"/>
        <v>0</v>
      </c>
      <c r="S505" s="334">
        <f t="shared" si="127"/>
        <v>0</v>
      </c>
      <c r="T505" s="1181">
        <f t="shared" si="128"/>
        <v>0</v>
      </c>
      <c r="U505" s="1313">
        <f t="shared" si="122"/>
        <v>0</v>
      </c>
      <c r="V505" s="1313">
        <f t="shared" si="123"/>
        <v>0</v>
      </c>
      <c r="W505" s="1310"/>
      <c r="X505" s="1313">
        <f t="shared" si="124"/>
        <v>0</v>
      </c>
      <c r="Y505" s="1313">
        <f t="shared" si="125"/>
        <v>0</v>
      </c>
      <c r="Z505" s="1310"/>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-0.01</v>
      </c>
      <c r="R506" s="703">
        <f t="shared" si="126"/>
        <v>0</v>
      </c>
      <c r="S506" s="334">
        <f t="shared" si="127"/>
        <v>0</v>
      </c>
      <c r="T506" s="1181">
        <f t="shared" si="128"/>
        <v>0</v>
      </c>
      <c r="U506" s="1313">
        <f t="shared" si="122"/>
        <v>0</v>
      </c>
      <c r="V506" s="1313">
        <f t="shared" si="123"/>
        <v>0</v>
      </c>
      <c r="W506" s="1310"/>
      <c r="X506" s="1313">
        <f t="shared" si="124"/>
        <v>0</v>
      </c>
      <c r="Y506" s="1313">
        <f t="shared" si="125"/>
        <v>0</v>
      </c>
      <c r="Z506" s="1310"/>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-0.01</v>
      </c>
      <c r="R507" s="703">
        <f t="shared" si="126"/>
        <v>0</v>
      </c>
      <c r="S507" s="334">
        <f t="shared" si="127"/>
        <v>0</v>
      </c>
      <c r="T507" s="1181">
        <f t="shared" si="128"/>
        <v>0</v>
      </c>
      <c r="U507" s="1313">
        <f t="shared" si="122"/>
        <v>0</v>
      </c>
      <c r="V507" s="1313">
        <f t="shared" si="123"/>
        <v>0</v>
      </c>
      <c r="W507" s="1310"/>
      <c r="X507" s="1313">
        <f t="shared" si="124"/>
        <v>0</v>
      </c>
      <c r="Y507" s="1313">
        <f t="shared" si="125"/>
        <v>0</v>
      </c>
      <c r="Z507" s="1310"/>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-0.01</v>
      </c>
      <c r="R508" s="703">
        <f t="shared" si="126"/>
        <v>0</v>
      </c>
      <c r="S508" s="334">
        <f t="shared" si="127"/>
        <v>0</v>
      </c>
      <c r="T508" s="1181">
        <f t="shared" si="128"/>
        <v>0</v>
      </c>
      <c r="U508" s="1313">
        <f t="shared" si="122"/>
        <v>0</v>
      </c>
      <c r="V508" s="1313">
        <f t="shared" si="123"/>
        <v>0</v>
      </c>
      <c r="W508" s="1310"/>
      <c r="X508" s="1313">
        <f t="shared" si="124"/>
        <v>0</v>
      </c>
      <c r="Y508" s="1313">
        <f t="shared" si="125"/>
        <v>0</v>
      </c>
      <c r="Z508" s="1310"/>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-0.01</v>
      </c>
      <c r="R509" s="703">
        <f t="shared" si="126"/>
        <v>0</v>
      </c>
      <c r="S509" s="334">
        <f t="shared" si="127"/>
        <v>0</v>
      </c>
      <c r="T509" s="1181">
        <f t="shared" si="128"/>
        <v>0</v>
      </c>
      <c r="U509" s="1313">
        <f t="shared" si="122"/>
        <v>0</v>
      </c>
      <c r="V509" s="1313">
        <f t="shared" si="123"/>
        <v>0</v>
      </c>
      <c r="W509" s="1310"/>
      <c r="X509" s="1313">
        <f t="shared" si="124"/>
        <v>0</v>
      </c>
      <c r="Y509" s="1313">
        <f t="shared" si="125"/>
        <v>0</v>
      </c>
      <c r="Z509" s="1310"/>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-0.01</v>
      </c>
      <c r="R510" s="703">
        <f t="shared" si="126"/>
        <v>0</v>
      </c>
      <c r="S510" s="334">
        <f t="shared" si="127"/>
        <v>0</v>
      </c>
      <c r="T510" s="1181">
        <f t="shared" si="128"/>
        <v>0</v>
      </c>
      <c r="U510" s="1313">
        <f t="shared" si="122"/>
        <v>0</v>
      </c>
      <c r="V510" s="1313">
        <f t="shared" si="123"/>
        <v>0</v>
      </c>
      <c r="W510" s="1310"/>
      <c r="X510" s="1313">
        <f t="shared" si="124"/>
        <v>0</v>
      </c>
      <c r="Y510" s="1313">
        <f t="shared" si="125"/>
        <v>0</v>
      </c>
      <c r="Z510" s="1310"/>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-0.01</v>
      </c>
      <c r="R511" s="703">
        <f t="shared" si="126"/>
        <v>0</v>
      </c>
      <c r="S511" s="334">
        <f t="shared" si="127"/>
        <v>0</v>
      </c>
      <c r="T511" s="1181">
        <f t="shared" si="128"/>
        <v>0</v>
      </c>
      <c r="U511" s="1313">
        <f t="shared" si="122"/>
        <v>0</v>
      </c>
      <c r="V511" s="1313">
        <f t="shared" si="123"/>
        <v>0</v>
      </c>
      <c r="W511" s="1310"/>
      <c r="X511" s="1313">
        <f t="shared" si="124"/>
        <v>0</v>
      </c>
      <c r="Y511" s="1313">
        <f t="shared" si="125"/>
        <v>0</v>
      </c>
      <c r="Z511" s="1310"/>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-0.01</v>
      </c>
      <c r="R512" s="703">
        <f t="shared" si="126"/>
        <v>0</v>
      </c>
      <c r="S512" s="334">
        <f t="shared" si="127"/>
        <v>0</v>
      </c>
      <c r="T512" s="1181">
        <f t="shared" si="128"/>
        <v>0</v>
      </c>
      <c r="U512" s="1313">
        <f t="shared" si="122"/>
        <v>0</v>
      </c>
      <c r="V512" s="1313">
        <f t="shared" si="123"/>
        <v>0</v>
      </c>
      <c r="W512" s="1310"/>
      <c r="X512" s="1313">
        <f t="shared" si="124"/>
        <v>0</v>
      </c>
      <c r="Y512" s="1313">
        <f t="shared" si="125"/>
        <v>0</v>
      </c>
      <c r="Z512" s="1310"/>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-0.01</v>
      </c>
      <c r="R513" s="703">
        <f t="shared" si="126"/>
        <v>0</v>
      </c>
      <c r="S513" s="334">
        <f t="shared" si="127"/>
        <v>0</v>
      </c>
      <c r="T513" s="1181">
        <f t="shared" si="128"/>
        <v>0</v>
      </c>
      <c r="U513" s="1313">
        <f t="shared" si="122"/>
        <v>0</v>
      </c>
      <c r="V513" s="1313">
        <f t="shared" si="123"/>
        <v>0</v>
      </c>
      <c r="W513" s="1310"/>
      <c r="X513" s="1313">
        <f t="shared" si="124"/>
        <v>0</v>
      </c>
      <c r="Y513" s="1313">
        <f t="shared" si="125"/>
        <v>0</v>
      </c>
      <c r="Z513" s="1310"/>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-0.01</v>
      </c>
      <c r="R514" s="703">
        <f t="shared" si="126"/>
        <v>0</v>
      </c>
      <c r="S514" s="334">
        <f t="shared" si="127"/>
        <v>0</v>
      </c>
      <c r="T514" s="1181">
        <f t="shared" si="128"/>
        <v>0</v>
      </c>
      <c r="U514" s="1313">
        <f t="shared" si="122"/>
        <v>0</v>
      </c>
      <c r="V514" s="1313">
        <f t="shared" si="123"/>
        <v>0</v>
      </c>
      <c r="W514" s="1310"/>
      <c r="X514" s="1313">
        <f t="shared" si="124"/>
        <v>0</v>
      </c>
      <c r="Y514" s="1313">
        <f t="shared" si="125"/>
        <v>0</v>
      </c>
      <c r="Z514" s="1310"/>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-0.01</v>
      </c>
      <c r="R515" s="703">
        <f t="shared" si="126"/>
        <v>0</v>
      </c>
      <c r="S515" s="334">
        <f t="shared" si="127"/>
        <v>0</v>
      </c>
      <c r="T515" s="1181">
        <f t="shared" si="128"/>
        <v>0</v>
      </c>
      <c r="U515" s="1313">
        <f t="shared" si="122"/>
        <v>0</v>
      </c>
      <c r="V515" s="1313">
        <f t="shared" si="123"/>
        <v>0</v>
      </c>
      <c r="W515" s="1310"/>
      <c r="X515" s="1313">
        <f t="shared" si="124"/>
        <v>0</v>
      </c>
      <c r="Y515" s="1313">
        <f t="shared" si="125"/>
        <v>0</v>
      </c>
      <c r="Z515" s="1310"/>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-0.01</v>
      </c>
      <c r="R516" s="703">
        <f t="shared" si="126"/>
        <v>0</v>
      </c>
      <c r="S516" s="334">
        <f t="shared" si="127"/>
        <v>0</v>
      </c>
      <c r="T516" s="1181">
        <f t="shared" si="128"/>
        <v>0</v>
      </c>
      <c r="U516" s="1313">
        <f t="shared" si="122"/>
        <v>0</v>
      </c>
      <c r="V516" s="1313">
        <f t="shared" si="123"/>
        <v>0</v>
      </c>
      <c r="W516" s="1310"/>
      <c r="X516" s="1313">
        <f t="shared" si="124"/>
        <v>0</v>
      </c>
      <c r="Y516" s="1313">
        <f t="shared" si="125"/>
        <v>0</v>
      </c>
      <c r="Z516" s="1310"/>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-0.01</v>
      </c>
      <c r="R517" s="703">
        <f t="shared" si="126"/>
        <v>0</v>
      </c>
      <c r="S517" s="334">
        <f t="shared" si="127"/>
        <v>0</v>
      </c>
      <c r="T517" s="1181">
        <f t="shared" si="128"/>
        <v>0</v>
      </c>
      <c r="U517" s="1313">
        <f t="shared" si="122"/>
        <v>0</v>
      </c>
      <c r="V517" s="1313">
        <f t="shared" si="123"/>
        <v>0</v>
      </c>
      <c r="W517" s="1310"/>
      <c r="X517" s="1313">
        <f t="shared" si="124"/>
        <v>0</v>
      </c>
      <c r="Y517" s="1313">
        <f t="shared" si="125"/>
        <v>0</v>
      </c>
      <c r="Z517" s="1310"/>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-0.01</v>
      </c>
      <c r="R518" s="703">
        <f t="shared" si="126"/>
        <v>0</v>
      </c>
      <c r="S518" s="334">
        <f t="shared" si="127"/>
        <v>0</v>
      </c>
      <c r="T518" s="1181">
        <f t="shared" si="128"/>
        <v>0</v>
      </c>
      <c r="U518" s="1313">
        <f t="shared" si="122"/>
        <v>0</v>
      </c>
      <c r="V518" s="1313">
        <f t="shared" si="123"/>
        <v>0</v>
      </c>
      <c r="W518" s="1310"/>
      <c r="X518" s="1313">
        <f t="shared" si="124"/>
        <v>0</v>
      </c>
      <c r="Y518" s="1313">
        <f t="shared" si="125"/>
        <v>0</v>
      </c>
      <c r="Z518" s="1310"/>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-0.01</v>
      </c>
      <c r="R519" s="703">
        <f t="shared" si="126"/>
        <v>0</v>
      </c>
      <c r="S519" s="334">
        <f t="shared" si="127"/>
        <v>0</v>
      </c>
      <c r="T519" s="1181">
        <f t="shared" si="128"/>
        <v>0</v>
      </c>
      <c r="U519" s="1313">
        <f t="shared" si="122"/>
        <v>0</v>
      </c>
      <c r="V519" s="1313">
        <f t="shared" si="123"/>
        <v>0</v>
      </c>
      <c r="W519" s="1310"/>
      <c r="X519" s="1313">
        <f t="shared" si="124"/>
        <v>0</v>
      </c>
      <c r="Y519" s="1313">
        <f t="shared" si="125"/>
        <v>0</v>
      </c>
      <c r="Z519" s="1310"/>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-0.01</v>
      </c>
      <c r="R520" s="703">
        <f t="shared" si="126"/>
        <v>0</v>
      </c>
      <c r="S520" s="334">
        <f t="shared" si="127"/>
        <v>0</v>
      </c>
      <c r="T520" s="1181">
        <f t="shared" si="128"/>
        <v>0</v>
      </c>
      <c r="U520" s="1313">
        <f t="shared" si="122"/>
        <v>0</v>
      </c>
      <c r="V520" s="1313">
        <f t="shared" si="123"/>
        <v>0</v>
      </c>
      <c r="W520" s="1310"/>
      <c r="X520" s="1313">
        <f t="shared" si="124"/>
        <v>0</v>
      </c>
      <c r="Y520" s="1313">
        <f t="shared" si="125"/>
        <v>0</v>
      </c>
      <c r="Z520" s="1310"/>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-0.01</v>
      </c>
      <c r="R521" s="703">
        <f t="shared" si="126"/>
        <v>0</v>
      </c>
      <c r="S521" s="334">
        <f t="shared" si="127"/>
        <v>0</v>
      </c>
      <c r="T521" s="1181">
        <f t="shared" si="128"/>
        <v>0</v>
      </c>
      <c r="U521" s="1313">
        <f t="shared" si="122"/>
        <v>0</v>
      </c>
      <c r="V521" s="1313">
        <f t="shared" si="123"/>
        <v>0</v>
      </c>
      <c r="W521" s="1310"/>
      <c r="X521" s="1313">
        <f t="shared" si="124"/>
        <v>0</v>
      </c>
      <c r="Y521" s="1313">
        <f t="shared" si="125"/>
        <v>0</v>
      </c>
      <c r="Z521" s="1310"/>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-0.01</v>
      </c>
      <c r="R522" s="703">
        <f t="shared" si="126"/>
        <v>0</v>
      </c>
      <c r="S522" s="334">
        <f t="shared" si="127"/>
        <v>0</v>
      </c>
      <c r="T522" s="1181">
        <f t="shared" si="128"/>
        <v>0</v>
      </c>
      <c r="U522" s="1313">
        <f t="shared" si="122"/>
        <v>0</v>
      </c>
      <c r="V522" s="1313">
        <f t="shared" si="123"/>
        <v>0</v>
      </c>
      <c r="W522" s="1310"/>
      <c r="X522" s="1313">
        <f t="shared" si="124"/>
        <v>0</v>
      </c>
      <c r="Y522" s="1313">
        <f t="shared" si="125"/>
        <v>0</v>
      </c>
      <c r="Z522" s="1310"/>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-0.01</v>
      </c>
      <c r="R523" s="703">
        <f t="shared" si="126"/>
        <v>0</v>
      </c>
      <c r="S523" s="334">
        <f t="shared" si="127"/>
        <v>0</v>
      </c>
      <c r="T523" s="1181">
        <f t="shared" si="128"/>
        <v>0</v>
      </c>
      <c r="U523" s="1313">
        <f t="shared" si="122"/>
        <v>0</v>
      </c>
      <c r="V523" s="1313">
        <f t="shared" si="123"/>
        <v>0</v>
      </c>
      <c r="W523" s="1310"/>
      <c r="X523" s="1313">
        <f t="shared" si="124"/>
        <v>0</v>
      </c>
      <c r="Y523" s="1313">
        <f t="shared" si="125"/>
        <v>0</v>
      </c>
      <c r="Z523" s="1310"/>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-0.01</v>
      </c>
      <c r="R524" s="703">
        <f t="shared" si="126"/>
        <v>0</v>
      </c>
      <c r="S524" s="334">
        <f t="shared" si="127"/>
        <v>0</v>
      </c>
      <c r="T524" s="1181">
        <f t="shared" si="128"/>
        <v>0</v>
      </c>
      <c r="U524" s="1313">
        <f t="shared" si="122"/>
        <v>0</v>
      </c>
      <c r="V524" s="1313">
        <f t="shared" si="123"/>
        <v>0</v>
      </c>
      <c r="W524" s="1310"/>
      <c r="X524" s="1313">
        <f t="shared" si="124"/>
        <v>0</v>
      </c>
      <c r="Y524" s="1313">
        <f t="shared" si="125"/>
        <v>0</v>
      </c>
      <c r="Z524" s="1310"/>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-0.01</v>
      </c>
      <c r="R525" s="703">
        <f t="shared" si="126"/>
        <v>0</v>
      </c>
      <c r="S525" s="334">
        <f t="shared" si="127"/>
        <v>0</v>
      </c>
      <c r="T525" s="1181">
        <f t="shared" si="128"/>
        <v>0</v>
      </c>
      <c r="U525" s="1313">
        <f t="shared" si="122"/>
        <v>0</v>
      </c>
      <c r="V525" s="1313">
        <f t="shared" si="123"/>
        <v>0</v>
      </c>
      <c r="W525" s="1310"/>
      <c r="X525" s="1313">
        <f t="shared" si="124"/>
        <v>0</v>
      </c>
      <c r="Y525" s="1313">
        <f t="shared" si="125"/>
        <v>0</v>
      </c>
      <c r="Z525" s="1310"/>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-0.01</v>
      </c>
      <c r="R526" s="703">
        <f t="shared" si="126"/>
        <v>0</v>
      </c>
      <c r="S526" s="334">
        <f t="shared" si="127"/>
        <v>0</v>
      </c>
      <c r="T526" s="1181">
        <f t="shared" si="128"/>
        <v>0</v>
      </c>
      <c r="U526" s="1313">
        <f t="shared" si="122"/>
        <v>0</v>
      </c>
      <c r="V526" s="1313">
        <f t="shared" si="123"/>
        <v>0</v>
      </c>
      <c r="W526" s="1310"/>
      <c r="X526" s="1313">
        <f t="shared" si="124"/>
        <v>0</v>
      </c>
      <c r="Y526" s="1313">
        <f t="shared" si="125"/>
        <v>0</v>
      </c>
      <c r="Z526" s="1310"/>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-0.01</v>
      </c>
      <c r="R527" s="703">
        <f t="shared" si="126"/>
        <v>0</v>
      </c>
      <c r="S527" s="334">
        <f t="shared" si="127"/>
        <v>0</v>
      </c>
      <c r="T527" s="1181">
        <f t="shared" si="128"/>
        <v>0</v>
      </c>
      <c r="U527" s="1313">
        <f t="shared" si="122"/>
        <v>0</v>
      </c>
      <c r="V527" s="1313">
        <f t="shared" si="123"/>
        <v>0</v>
      </c>
      <c r="W527" s="1310"/>
      <c r="X527" s="1313">
        <f t="shared" si="124"/>
        <v>0</v>
      </c>
      <c r="Y527" s="1313">
        <f t="shared" si="125"/>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2440</v>
      </c>
      <c r="C1" s="1725"/>
      <c r="D1" s="2450"/>
      <c r="E1" s="2380"/>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1999</v>
      </c>
      <c r="B3" s="593" t="e">
        <f ca="1">ROUND(IF(D2="——",C49,IF(C2="万元",B2*10000/D3,B2/D3)),0)</f>
        <v>#DIV/0!</v>
      </c>
      <c r="C3" s="379" t="s">
        <v>2330</v>
      </c>
      <c r="D3" s="378">
        <f>IF(C1="仅计算典型户型",'数据-取费表'!E5,'数据-取费表'!B5)</f>
        <v>178.24</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91"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91"/>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91"/>
      <c r="AC6" s="2974"/>
    </row>
    <row r="7" spans="1:29" s="35" customFormat="1" ht="15.75" thickBot="1">
      <c r="A7" s="387" t="s">
        <v>2344</v>
      </c>
      <c r="B7" s="388"/>
      <c r="C7" s="389">
        <f>'数据-取费表'!B2</f>
        <v>43256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46" si="3">D8/F8</f>
        <v>#DIV/0!</v>
      </c>
      <c r="AB8" s="752" t="e">
        <f t="shared" ref="AB8:AB46" si="4">D8/H8</f>
        <v>#DIV/0!</v>
      </c>
      <c r="AC8" s="752"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06"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06"/>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06"/>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06"/>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06"/>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06"/>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2355</v>
      </c>
      <c r="B15" s="26" t="s">
        <v>2441</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9" t="s">
        <v>2356</v>
      </c>
      <c r="Q15" s="1898" t="str">
        <f t="shared" si="6"/>
        <v>商业繁华度</v>
      </c>
      <c r="R15" s="753" t="s">
        <v>25</v>
      </c>
      <c r="S15" s="754">
        <f t="shared" si="0"/>
        <v>100</v>
      </c>
      <c r="T15" s="753" t="s">
        <v>25</v>
      </c>
      <c r="U15" s="754">
        <f t="shared" si="1"/>
        <v>100</v>
      </c>
      <c r="V15" s="753" t="s">
        <v>25</v>
      </c>
      <c r="W15" s="754">
        <f t="shared" si="2"/>
        <v>100</v>
      </c>
      <c r="X15" s="1899"/>
      <c r="Y15" s="2996" t="s">
        <v>2356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0"/>
      <c r="Q16" s="1898"/>
      <c r="R16" s="753"/>
      <c r="S16" s="754"/>
      <c r="T16" s="753"/>
      <c r="U16" s="754"/>
      <c r="V16" s="753"/>
      <c r="W16" s="754"/>
      <c r="X16" s="1899"/>
      <c r="Y16" s="2997"/>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0"/>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10"/>
      <c r="Q18" s="1898"/>
      <c r="R18" s="753"/>
      <c r="S18" s="754"/>
      <c r="T18" s="753"/>
      <c r="U18" s="754"/>
      <c r="V18" s="753"/>
      <c r="W18" s="754"/>
      <c r="X18" s="1899"/>
      <c r="Y18" s="2997"/>
      <c r="Z18" s="1901"/>
      <c r="AA18" s="1902">
        <v>1</v>
      </c>
      <c r="AB18" s="1902">
        <v>1</v>
      </c>
      <c r="AC18" s="1902">
        <v>1</v>
      </c>
    </row>
    <row r="19" spans="1:29" ht="228">
      <c r="A19" s="408"/>
      <c r="B19" s="431" t="s">
        <v>2442</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0"/>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10"/>
      <c r="Q20" s="1898"/>
      <c r="R20" s="753"/>
      <c r="S20" s="754"/>
      <c r="T20" s="753"/>
      <c r="U20" s="754"/>
      <c r="V20" s="753"/>
      <c r="W20" s="754"/>
      <c r="X20" s="1899"/>
      <c r="Y20" s="2997"/>
      <c r="Z20" s="1901"/>
      <c r="AA20" s="1902">
        <v>1</v>
      </c>
      <c r="AB20" s="1902">
        <v>1</v>
      </c>
      <c r="AC20" s="1902">
        <v>1</v>
      </c>
    </row>
    <row r="21" spans="1:29" ht="42.75">
      <c r="A21" s="408"/>
      <c r="B21" s="2405" t="s">
        <v>2443</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0"/>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43"/>
      <c r="P22" s="3010"/>
      <c r="Q22" s="1898"/>
      <c r="R22" s="753"/>
      <c r="S22" s="754"/>
      <c r="T22" s="753"/>
      <c r="U22" s="754"/>
      <c r="V22" s="753"/>
      <c r="W22" s="754"/>
      <c r="X22" s="1899"/>
      <c r="Y22" s="2997"/>
      <c r="Z22" s="1901"/>
      <c r="AA22" s="1902">
        <v>1</v>
      </c>
      <c r="AB22" s="1902">
        <v>1</v>
      </c>
      <c r="AC22" s="1902">
        <v>1</v>
      </c>
    </row>
    <row r="23" spans="1:29" ht="85.5">
      <c r="A23" s="408"/>
      <c r="B23" s="431" t="s">
        <v>1746</v>
      </c>
      <c r="C23" s="2454"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0"/>
      <c r="Q23" s="1898" t="str">
        <f>B23</f>
        <v>自然及人文环境</v>
      </c>
      <c r="R23" s="753" t="s">
        <v>25</v>
      </c>
      <c r="S23" s="754">
        <f>F23</f>
        <v>100</v>
      </c>
      <c r="T23" s="753" t="s">
        <v>25</v>
      </c>
      <c r="U23" s="754">
        <f>H23</f>
        <v>100</v>
      </c>
      <c r="V23" s="753" t="s">
        <v>25</v>
      </c>
      <c r="W23" s="754">
        <f>J23</f>
        <v>100</v>
      </c>
      <c r="X23" s="1899"/>
      <c r="Y23" s="2997"/>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10"/>
      <c r="Q24" s="1898"/>
      <c r="R24" s="753"/>
      <c r="S24" s="754"/>
      <c r="T24" s="753"/>
      <c r="U24" s="754"/>
      <c r="V24" s="753"/>
      <c r="W24" s="754"/>
      <c r="X24" s="1899"/>
      <c r="Y24" s="2997"/>
      <c r="Z24" s="1901"/>
      <c r="AA24" s="1902">
        <v>1</v>
      </c>
      <c r="AB24" s="1902">
        <v>1</v>
      </c>
      <c r="AC24" s="1902">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0"/>
      <c r="Q25" s="1898" t="str">
        <f t="shared" ref="Q25:Q46" si="8">B25</f>
        <v>临街状况</v>
      </c>
      <c r="R25" s="753" t="s">
        <v>25</v>
      </c>
      <c r="S25" s="754">
        <f>F25</f>
        <v>100</v>
      </c>
      <c r="T25" s="753" t="s">
        <v>25</v>
      </c>
      <c r="U25" s="754">
        <f>H25</f>
        <v>100</v>
      </c>
      <c r="V25" s="753" t="s">
        <v>25</v>
      </c>
      <c r="W25" s="754">
        <f>J25</f>
        <v>100</v>
      </c>
      <c r="X25" s="1899"/>
      <c r="Y25" s="2997"/>
      <c r="Z25" s="1901" t="str">
        <f>Q25</f>
        <v>临街状况</v>
      </c>
      <c r="AA25" s="1902">
        <f t="shared" si="3"/>
        <v>1</v>
      </c>
      <c r="AB25" s="1902">
        <f t="shared" si="4"/>
        <v>1</v>
      </c>
      <c r="AC25" s="1902">
        <f t="shared" si="5"/>
        <v>1</v>
      </c>
    </row>
    <row r="26" spans="1:29" ht="15">
      <c r="A26" s="408"/>
      <c r="B26" s="2409" t="s">
        <v>2445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0"/>
      <c r="Q26" s="1898" t="str">
        <f t="shared" si="8"/>
        <v>平面位置/可视性</v>
      </c>
      <c r="R26" s="753" t="s">
        <v>25</v>
      </c>
      <c r="S26" s="754">
        <f>F26</f>
        <v>100</v>
      </c>
      <c r="T26" s="753" t="s">
        <v>25</v>
      </c>
      <c r="U26" s="754">
        <f>H26</f>
        <v>100</v>
      </c>
      <c r="V26" s="753" t="s">
        <v>25</v>
      </c>
      <c r="W26" s="754">
        <f>J26</f>
        <v>100</v>
      </c>
      <c r="X26" s="1899"/>
      <c r="Y26" s="2997"/>
      <c r="Z26" s="1901" t="str">
        <f>Q26</f>
        <v>平面位置/可视性</v>
      </c>
      <c r="AA26" s="1902">
        <f t="shared" si="3"/>
        <v>1</v>
      </c>
      <c r="AB26" s="1902">
        <f t="shared" si="4"/>
        <v>1</v>
      </c>
      <c r="AC26" s="1902">
        <f t="shared" si="5"/>
        <v>1</v>
      </c>
    </row>
    <row r="27" spans="1:29" s="35" customFormat="1" ht="15">
      <c r="A27" s="411"/>
      <c r="B27" s="431" t="s">
        <v>2446</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10"/>
      <c r="Q27" s="1886" t="str">
        <f t="shared" si="8"/>
        <v>人流量</v>
      </c>
      <c r="R27" s="749" t="s">
        <v>25</v>
      </c>
      <c r="S27" s="750">
        <f>F27</f>
        <v>100</v>
      </c>
      <c r="T27" s="749" t="s">
        <v>25</v>
      </c>
      <c r="U27" s="750">
        <f>H27</f>
        <v>100</v>
      </c>
      <c r="V27" s="749" t="s">
        <v>25</v>
      </c>
      <c r="W27" s="750">
        <f>J27</f>
        <v>100</v>
      </c>
      <c r="X27" s="751"/>
      <c r="Y27" s="2997"/>
      <c r="Z27" s="23" t="str">
        <f>Q27</f>
        <v>人流量</v>
      </c>
      <c r="AA27" s="1902">
        <f>D27/F27</f>
        <v>1</v>
      </c>
      <c r="AB27" s="1902">
        <f>D27/H27</f>
        <v>1</v>
      </c>
      <c r="AC27" s="1902">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0"/>
      <c r="Q28" s="1898" t="str">
        <f t="shared" si="8"/>
        <v>楼层</v>
      </c>
      <c r="R28" s="753" t="s">
        <v>25</v>
      </c>
      <c r="S28" s="754">
        <f t="shared" ref="S28:S46" si="9">F28</f>
        <v>100</v>
      </c>
      <c r="T28" s="753" t="s">
        <v>25</v>
      </c>
      <c r="U28" s="754">
        <f t="shared" ref="U28:U46" si="10">H28</f>
        <v>100</v>
      </c>
      <c r="V28" s="753" t="s">
        <v>25</v>
      </c>
      <c r="W28" s="754">
        <f t="shared" ref="W28:W46" si="11">J28</f>
        <v>100</v>
      </c>
      <c r="X28" s="1899"/>
      <c r="Y28" s="2997"/>
      <c r="Z28" s="1901" t="str">
        <f t="shared" ref="Z28:Z46" si="12">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0"/>
      <c r="Q29" s="1898">
        <f t="shared" si="8"/>
        <v>111</v>
      </c>
      <c r="R29" s="753" t="s">
        <v>25</v>
      </c>
      <c r="S29" s="754">
        <f t="shared" si="9"/>
        <v>100</v>
      </c>
      <c r="T29" s="753" t="s">
        <v>25</v>
      </c>
      <c r="U29" s="754">
        <f t="shared" si="10"/>
        <v>100</v>
      </c>
      <c r="V29" s="753" t="s">
        <v>25</v>
      </c>
      <c r="W29" s="754">
        <f t="shared" si="11"/>
        <v>100</v>
      </c>
      <c r="X29" s="1899"/>
      <c r="Y29" s="2997"/>
      <c r="Z29" s="1901">
        <f t="shared" si="12"/>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0"/>
      <c r="Q30" s="1898">
        <f t="shared" si="8"/>
        <v>111</v>
      </c>
      <c r="R30" s="753" t="s">
        <v>25</v>
      </c>
      <c r="S30" s="754">
        <f t="shared" si="9"/>
        <v>100</v>
      </c>
      <c r="T30" s="753" t="s">
        <v>25</v>
      </c>
      <c r="U30" s="754">
        <f t="shared" si="10"/>
        <v>100</v>
      </c>
      <c r="V30" s="753" t="s">
        <v>25</v>
      </c>
      <c r="W30" s="754">
        <f t="shared" si="11"/>
        <v>100</v>
      </c>
      <c r="X30" s="1899"/>
      <c r="Y30" s="2997"/>
      <c r="Z30" s="1901">
        <f t="shared" si="12"/>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0"/>
      <c r="Q31" s="1898">
        <f t="shared" si="8"/>
        <v>111</v>
      </c>
      <c r="R31" s="753" t="s">
        <v>25</v>
      </c>
      <c r="S31" s="754">
        <f t="shared" si="9"/>
        <v>100</v>
      </c>
      <c r="T31" s="753" t="s">
        <v>25</v>
      </c>
      <c r="U31" s="754">
        <f t="shared" si="10"/>
        <v>100</v>
      </c>
      <c r="V31" s="753" t="s">
        <v>25</v>
      </c>
      <c r="W31" s="754">
        <f t="shared" si="11"/>
        <v>100</v>
      </c>
      <c r="X31" s="1899"/>
      <c r="Y31" s="2997"/>
      <c r="Z31" s="1901">
        <f t="shared" si="12"/>
        <v>111</v>
      </c>
      <c r="AA31" s="1902">
        <f t="shared" si="3"/>
        <v>1</v>
      </c>
      <c r="AB31" s="1902">
        <f t="shared" si="4"/>
        <v>1</v>
      </c>
      <c r="AC31" s="1902">
        <f t="shared" si="5"/>
        <v>1</v>
      </c>
    </row>
    <row r="32" spans="1:29" ht="15">
      <c r="A32" s="419" t="s">
        <v>2360</v>
      </c>
      <c r="B32" s="28" t="s">
        <v>2448</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2998" t="s">
        <v>2362</v>
      </c>
      <c r="Q32" s="1898" t="str">
        <f t="shared" si="8"/>
        <v>商业类型</v>
      </c>
      <c r="R32" s="753" t="s">
        <v>25</v>
      </c>
      <c r="S32" s="754">
        <f t="shared" si="9"/>
        <v>100</v>
      </c>
      <c r="T32" s="753" t="s">
        <v>25</v>
      </c>
      <c r="U32" s="754">
        <f t="shared" si="10"/>
        <v>100</v>
      </c>
      <c r="V32" s="753" t="s">
        <v>25</v>
      </c>
      <c r="W32" s="754">
        <f t="shared" si="11"/>
        <v>100</v>
      </c>
      <c r="X32" s="1899"/>
      <c r="Y32" s="3001" t="s">
        <v>2362</v>
      </c>
      <c r="Z32" s="1901" t="str">
        <f t="shared" si="12"/>
        <v>商业类型</v>
      </c>
      <c r="AA32" s="1902">
        <f t="shared" si="3"/>
        <v>1</v>
      </c>
      <c r="AB32" s="1902">
        <f t="shared" si="4"/>
        <v>1</v>
      </c>
      <c r="AC32" s="1902">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99"/>
      <c r="Q33" s="755" t="str">
        <f t="shared" si="8"/>
        <v>项目建筑规模</v>
      </c>
      <c r="R33" s="756" t="s">
        <v>25</v>
      </c>
      <c r="S33" s="757" t="e">
        <f t="shared" si="9"/>
        <v>#N/A</v>
      </c>
      <c r="T33" s="756" t="s">
        <v>25</v>
      </c>
      <c r="U33" s="757" t="e">
        <f t="shared" si="10"/>
        <v>#N/A</v>
      </c>
      <c r="V33" s="756" t="s">
        <v>25</v>
      </c>
      <c r="W33" s="757" t="e">
        <f t="shared" si="11"/>
        <v>#N/A</v>
      </c>
      <c r="X33" s="758"/>
      <c r="Y33" s="3001"/>
      <c r="Z33" s="759" t="str">
        <f t="shared" si="12"/>
        <v>项目建筑规模</v>
      </c>
      <c r="AA33" s="1902" t="e">
        <f t="shared" si="3"/>
        <v>#N/A</v>
      </c>
      <c r="AB33" s="1902" t="e">
        <f t="shared" si="4"/>
        <v>#N/A</v>
      </c>
      <c r="AC33" s="1902" t="e">
        <f t="shared" si="5"/>
        <v>#N/A</v>
      </c>
    </row>
    <row r="34" spans="1:29" ht="15">
      <c r="A34" s="453"/>
      <c r="B34" s="402" t="s">
        <v>2364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2999"/>
      <c r="Q34" s="1898" t="str">
        <f t="shared" si="8"/>
        <v>建筑结构</v>
      </c>
      <c r="R34" s="753" t="s">
        <v>25</v>
      </c>
      <c r="S34" s="754">
        <f t="shared" si="9"/>
        <v>100</v>
      </c>
      <c r="T34" s="753" t="s">
        <v>25</v>
      </c>
      <c r="U34" s="754">
        <f t="shared" si="10"/>
        <v>100</v>
      </c>
      <c r="V34" s="753" t="s">
        <v>25</v>
      </c>
      <c r="W34" s="754">
        <f t="shared" si="11"/>
        <v>100</v>
      </c>
      <c r="X34" s="1899"/>
      <c r="Y34" s="3001"/>
      <c r="Z34" s="1901" t="str">
        <f t="shared" si="12"/>
        <v>建筑结构</v>
      </c>
      <c r="AA34" s="1902">
        <f t="shared" si="3"/>
        <v>1</v>
      </c>
      <c r="AB34" s="1902">
        <f t="shared" si="4"/>
        <v>1</v>
      </c>
      <c r="AC34" s="1902">
        <f t="shared" si="5"/>
        <v>1</v>
      </c>
    </row>
    <row r="35" spans="1:29" ht="15">
      <c r="A35" s="453"/>
      <c r="B35" s="402" t="s">
        <v>2449</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2999"/>
      <c r="Q35" s="1898" t="str">
        <f t="shared" si="8"/>
        <v>公共部分装修</v>
      </c>
      <c r="R35" s="753" t="s">
        <v>25</v>
      </c>
      <c r="S35" s="754">
        <f t="shared" si="9"/>
        <v>100</v>
      </c>
      <c r="T35" s="753" t="s">
        <v>25</v>
      </c>
      <c r="U35" s="754">
        <f t="shared" si="10"/>
        <v>100</v>
      </c>
      <c r="V35" s="753" t="s">
        <v>25</v>
      </c>
      <c r="W35" s="754">
        <f t="shared" si="11"/>
        <v>100</v>
      </c>
      <c r="X35" s="1899"/>
      <c r="Y35" s="3001"/>
      <c r="Z35" s="1901" t="str">
        <f t="shared" si="12"/>
        <v>公共部分装修</v>
      </c>
      <c r="AA35" s="1902">
        <f t="shared" si="3"/>
        <v>1</v>
      </c>
      <c r="AB35" s="1902">
        <f t="shared" si="4"/>
        <v>1</v>
      </c>
      <c r="AC35" s="1902">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99"/>
      <c r="Q36" s="1898" t="str">
        <f t="shared" si="8"/>
        <v>成新度</v>
      </c>
      <c r="R36" s="753" t="s">
        <v>25</v>
      </c>
      <c r="S36" s="754" t="e">
        <f t="shared" si="9"/>
        <v>#N/A</v>
      </c>
      <c r="T36" s="753" t="s">
        <v>25</v>
      </c>
      <c r="U36" s="754" t="e">
        <f t="shared" si="10"/>
        <v>#N/A</v>
      </c>
      <c r="V36" s="753" t="s">
        <v>25</v>
      </c>
      <c r="W36" s="754" t="e">
        <f t="shared" si="11"/>
        <v>#N/A</v>
      </c>
      <c r="X36" s="1899"/>
      <c r="Y36" s="3001"/>
      <c r="Z36" s="1901" t="str">
        <f t="shared" si="12"/>
        <v>成新度</v>
      </c>
      <c r="AA36" s="1902" t="e">
        <f t="shared" si="3"/>
        <v>#N/A</v>
      </c>
      <c r="AB36" s="1902" t="e">
        <f t="shared" si="4"/>
        <v>#N/A</v>
      </c>
      <c r="AC36" s="1902" t="e">
        <f t="shared" si="5"/>
        <v>#N/A</v>
      </c>
    </row>
    <row r="37" spans="1:29" s="35" customFormat="1" ht="15">
      <c r="A37" s="454"/>
      <c r="B37" s="402" t="s">
        <v>2451</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2999"/>
      <c r="Q37" s="1886" t="str">
        <f t="shared" si="8"/>
        <v>市政基础设施</v>
      </c>
      <c r="R37" s="749" t="s">
        <v>25</v>
      </c>
      <c r="S37" s="750">
        <f t="shared" si="9"/>
        <v>100</v>
      </c>
      <c r="T37" s="749" t="s">
        <v>25</v>
      </c>
      <c r="U37" s="750">
        <f t="shared" si="10"/>
        <v>100</v>
      </c>
      <c r="V37" s="749" t="s">
        <v>25</v>
      </c>
      <c r="W37" s="750">
        <f t="shared" si="11"/>
        <v>100</v>
      </c>
      <c r="X37" s="751"/>
      <c r="Y37" s="3001"/>
      <c r="Z37" s="23" t="str">
        <f t="shared" si="12"/>
        <v>市政基础设施</v>
      </c>
      <c r="AA37" s="752">
        <f t="shared" si="3"/>
        <v>1</v>
      </c>
      <c r="AB37" s="752">
        <f t="shared" si="4"/>
        <v>1</v>
      </c>
      <c r="AC37" s="752">
        <f t="shared" si="5"/>
        <v>1</v>
      </c>
    </row>
    <row r="38" spans="1:29" ht="15">
      <c r="A38" s="453"/>
      <c r="B38" s="402" t="s">
        <v>2452</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2999" t="s">
        <v>2362</v>
      </c>
      <c r="Q38" s="1898" t="str">
        <f t="shared" si="8"/>
        <v>业态</v>
      </c>
      <c r="R38" s="753" t="s">
        <v>25</v>
      </c>
      <c r="S38" s="754">
        <f t="shared" si="9"/>
        <v>100</v>
      </c>
      <c r="T38" s="753" t="s">
        <v>25</v>
      </c>
      <c r="U38" s="754">
        <f t="shared" si="10"/>
        <v>100</v>
      </c>
      <c r="V38" s="753" t="s">
        <v>25</v>
      </c>
      <c r="W38" s="754">
        <f t="shared" si="11"/>
        <v>100</v>
      </c>
      <c r="X38" s="1899"/>
      <c r="Y38" s="3001" t="s">
        <v>2362</v>
      </c>
      <c r="Z38" s="1901" t="str">
        <f t="shared" si="12"/>
        <v>业态</v>
      </c>
      <c r="AA38" s="1902">
        <f t="shared" si="3"/>
        <v>1</v>
      </c>
      <c r="AB38" s="1902">
        <f t="shared" si="4"/>
        <v>1</v>
      </c>
      <c r="AC38" s="1902">
        <f t="shared" si="5"/>
        <v>1</v>
      </c>
    </row>
    <row r="39" spans="1:29" ht="15">
      <c r="A39" s="453"/>
      <c r="B39" s="402" t="s">
        <v>2453</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2999"/>
      <c r="Q39" s="1898" t="str">
        <f t="shared" si="8"/>
        <v>层高</v>
      </c>
      <c r="R39" s="753" t="s">
        <v>25</v>
      </c>
      <c r="S39" s="754">
        <f t="shared" si="9"/>
        <v>100</v>
      </c>
      <c r="T39" s="753" t="s">
        <v>25</v>
      </c>
      <c r="U39" s="754">
        <f t="shared" si="10"/>
        <v>100</v>
      </c>
      <c r="V39" s="753" t="s">
        <v>25</v>
      </c>
      <c r="W39" s="754">
        <f t="shared" si="11"/>
        <v>100</v>
      </c>
      <c r="X39" s="1899"/>
      <c r="Y39" s="3001"/>
      <c r="Z39" s="1901" t="str">
        <f t="shared" si="12"/>
        <v>层高</v>
      </c>
      <c r="AA39" s="1902">
        <f t="shared" si="3"/>
        <v>1</v>
      </c>
      <c r="AB39" s="1902">
        <f t="shared" si="4"/>
        <v>1</v>
      </c>
      <c r="AC39" s="1902">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99"/>
      <c r="Q40" s="1898" t="str">
        <f t="shared" si="8"/>
        <v>单套建筑面积</v>
      </c>
      <c r="R40" s="753" t="s">
        <v>25</v>
      </c>
      <c r="S40" s="754">
        <f t="shared" si="9"/>
        <v>100</v>
      </c>
      <c r="T40" s="753" t="s">
        <v>25</v>
      </c>
      <c r="U40" s="754">
        <f t="shared" si="10"/>
        <v>100</v>
      </c>
      <c r="V40" s="753" t="s">
        <v>25</v>
      </c>
      <c r="W40" s="754">
        <f t="shared" si="11"/>
        <v>100</v>
      </c>
      <c r="X40" s="1899"/>
      <c r="Y40" s="3001"/>
      <c r="Z40" s="1901" t="str">
        <f t="shared" si="12"/>
        <v>单套建筑面积</v>
      </c>
      <c r="AA40" s="1902">
        <f t="shared" si="3"/>
        <v>1</v>
      </c>
      <c r="AB40" s="1902">
        <f t="shared" si="4"/>
        <v>1</v>
      </c>
      <c r="AC40" s="1902">
        <f t="shared" si="5"/>
        <v>1</v>
      </c>
    </row>
    <row r="41" spans="1:29" s="452" customFormat="1" ht="15">
      <c r="A41" s="449"/>
      <c r="B41" s="1903"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99"/>
      <c r="Q41" s="755" t="str">
        <f t="shared" si="8"/>
        <v>进深比</v>
      </c>
      <c r="R41" s="756" t="s">
        <v>25</v>
      </c>
      <c r="S41" s="757">
        <f t="shared" si="9"/>
        <v>100</v>
      </c>
      <c r="T41" s="756" t="s">
        <v>25</v>
      </c>
      <c r="U41" s="757">
        <f t="shared" si="10"/>
        <v>100</v>
      </c>
      <c r="V41" s="756" t="s">
        <v>25</v>
      </c>
      <c r="W41" s="757">
        <f t="shared" si="11"/>
        <v>100</v>
      </c>
      <c r="X41" s="758"/>
      <c r="Y41" s="3001"/>
      <c r="Z41" s="759" t="str">
        <f t="shared" si="12"/>
        <v>进深比</v>
      </c>
      <c r="AA41" s="1902">
        <f t="shared" si="3"/>
        <v>1</v>
      </c>
      <c r="AB41" s="1902">
        <f t="shared" si="4"/>
        <v>1</v>
      </c>
      <c r="AC41" s="1902">
        <f t="shared" si="5"/>
        <v>1</v>
      </c>
    </row>
    <row r="42" spans="1:29" ht="15">
      <c r="A42" s="453"/>
      <c r="B42" s="402" t="s">
        <v>2456</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2999"/>
      <c r="Q42" s="1898" t="str">
        <f t="shared" si="8"/>
        <v>内部装修</v>
      </c>
      <c r="R42" s="753" t="s">
        <v>25</v>
      </c>
      <c r="S42" s="754">
        <f t="shared" si="9"/>
        <v>100</v>
      </c>
      <c r="T42" s="753" t="s">
        <v>25</v>
      </c>
      <c r="U42" s="754">
        <f t="shared" si="10"/>
        <v>100</v>
      </c>
      <c r="V42" s="753" t="s">
        <v>25</v>
      </c>
      <c r="W42" s="754">
        <f t="shared" si="11"/>
        <v>100</v>
      </c>
      <c r="X42" s="1899"/>
      <c r="Y42" s="3001"/>
      <c r="Z42" s="1901" t="str">
        <f t="shared" si="12"/>
        <v>内部装修</v>
      </c>
      <c r="AA42" s="1902">
        <f t="shared" si="3"/>
        <v>1</v>
      </c>
      <c r="AB42" s="1902">
        <f t="shared" si="4"/>
        <v>1</v>
      </c>
      <c r="AC42" s="1902">
        <f t="shared" si="5"/>
        <v>1</v>
      </c>
    </row>
    <row r="43" spans="1:29" ht="15">
      <c r="A43" s="453"/>
      <c r="B43" s="402" t="s">
        <v>2373</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2999"/>
      <c r="Q43" s="1898" t="str">
        <f t="shared" si="8"/>
        <v>内部装修维护情况</v>
      </c>
      <c r="R43" s="753" t="s">
        <v>25</v>
      </c>
      <c r="S43" s="754">
        <f t="shared" si="9"/>
        <v>100</v>
      </c>
      <c r="T43" s="753" t="s">
        <v>25</v>
      </c>
      <c r="U43" s="754">
        <f t="shared" si="10"/>
        <v>100</v>
      </c>
      <c r="V43" s="753" t="s">
        <v>25</v>
      </c>
      <c r="W43" s="754">
        <f t="shared" si="11"/>
        <v>100</v>
      </c>
      <c r="X43" s="1899"/>
      <c r="Y43" s="3001"/>
      <c r="Z43" s="1901" t="str">
        <f t="shared" si="12"/>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99"/>
      <c r="Q44" s="1886">
        <f t="shared" si="8"/>
        <v>111</v>
      </c>
      <c r="R44" s="749" t="s">
        <v>25</v>
      </c>
      <c r="S44" s="750">
        <f t="shared" si="9"/>
        <v>100</v>
      </c>
      <c r="T44" s="749" t="s">
        <v>25</v>
      </c>
      <c r="U44" s="750">
        <f t="shared" si="10"/>
        <v>100</v>
      </c>
      <c r="V44" s="749" t="s">
        <v>25</v>
      </c>
      <c r="W44" s="750">
        <f t="shared" si="11"/>
        <v>100</v>
      </c>
      <c r="X44" s="751"/>
      <c r="Y44" s="3001"/>
      <c r="Z44" s="23">
        <f t="shared" si="12"/>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99"/>
      <c r="Q45" s="1898">
        <f t="shared" si="8"/>
        <v>111</v>
      </c>
      <c r="R45" s="753" t="s">
        <v>25</v>
      </c>
      <c r="S45" s="754">
        <f t="shared" si="9"/>
        <v>100</v>
      </c>
      <c r="T45" s="753" t="s">
        <v>25</v>
      </c>
      <c r="U45" s="754">
        <f t="shared" si="10"/>
        <v>100</v>
      </c>
      <c r="V45" s="753" t="s">
        <v>25</v>
      </c>
      <c r="W45" s="754">
        <f t="shared" si="11"/>
        <v>100</v>
      </c>
      <c r="X45" s="1899"/>
      <c r="Y45" s="3001"/>
      <c r="Z45" s="1901">
        <f t="shared" si="12"/>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0"/>
      <c r="Q46" s="1898">
        <f t="shared" si="8"/>
        <v>111</v>
      </c>
      <c r="R46" s="753" t="s">
        <v>25</v>
      </c>
      <c r="S46" s="754">
        <f t="shared" si="9"/>
        <v>100</v>
      </c>
      <c r="T46" s="753" t="s">
        <v>25</v>
      </c>
      <c r="U46" s="754">
        <f t="shared" si="10"/>
        <v>100</v>
      </c>
      <c r="V46" s="753" t="s">
        <v>25</v>
      </c>
      <c r="W46" s="754">
        <f t="shared" si="11"/>
        <v>100</v>
      </c>
      <c r="X46" s="1899"/>
      <c r="Y46" s="3002"/>
      <c r="Z46" s="1901">
        <f t="shared" si="12"/>
        <v>111</v>
      </c>
      <c r="AA46" s="1902">
        <f t="shared" si="3"/>
        <v>1</v>
      </c>
      <c r="AB46" s="1902">
        <f t="shared" si="4"/>
        <v>1</v>
      </c>
      <c r="AC46" s="1902">
        <f t="shared" si="5"/>
        <v>1</v>
      </c>
    </row>
    <row r="47" spans="1:29" ht="15">
      <c r="A47" s="460" t="s">
        <v>2374</v>
      </c>
      <c r="B47" s="461"/>
      <c r="C47" s="1501" t="s">
        <v>1</v>
      </c>
      <c r="D47" s="1502"/>
      <c r="E47" s="1503"/>
      <c r="F47" s="1504"/>
      <c r="G47" s="1505"/>
      <c r="H47" s="1506"/>
      <c r="I47" s="1503"/>
      <c r="J47" s="1506"/>
      <c r="K47" s="762"/>
      <c r="L47" s="1255"/>
      <c r="M47" s="1256"/>
      <c r="N47" s="1243"/>
      <c r="O47" s="1256"/>
      <c r="P47" s="3007" t="str">
        <f>A47</f>
        <v>成交单价（元/平方米）</v>
      </c>
      <c r="Q47" s="3007"/>
      <c r="R47" s="3008">
        <f>E47</f>
        <v>0</v>
      </c>
      <c r="S47" s="3008"/>
      <c r="T47" s="3008">
        <f>G47</f>
        <v>0</v>
      </c>
      <c r="U47" s="3008"/>
      <c r="V47" s="3008">
        <f>I47</f>
        <v>0</v>
      </c>
      <c r="W47" s="3008"/>
      <c r="X47" s="738"/>
      <c r="Y47" s="760"/>
      <c r="Z47" s="738"/>
      <c r="AA47" s="738"/>
      <c r="AB47" s="738"/>
      <c r="AC47" s="738"/>
    </row>
    <row r="48" spans="1:29" ht="15.75" thickBot="1">
      <c r="A48" s="467" t="s">
        <v>2457</v>
      </c>
      <c r="B48" s="468"/>
      <c r="C48" s="1507" t="e">
        <f>R49</f>
        <v>#DIV/0!</v>
      </c>
      <c r="D48" s="1508"/>
      <c r="E48" s="1509" t="e">
        <f>R48</f>
        <v>#DIV/0!</v>
      </c>
      <c r="F48" s="1509"/>
      <c r="G48" s="1507" t="e">
        <f>T48</f>
        <v>#DIV/0!</v>
      </c>
      <c r="H48" s="1508"/>
      <c r="I48" s="1509" t="e">
        <f>V48</f>
        <v>#DIV/0!</v>
      </c>
      <c r="J48" s="1508"/>
      <c r="K48" s="763"/>
      <c r="L48" s="1255"/>
      <c r="M48" s="1256"/>
      <c r="N48" s="1243"/>
      <c r="O48" s="1256"/>
      <c r="P48" s="3007" t="str">
        <f>A48</f>
        <v>比较价值（元/平方米）</v>
      </c>
      <c r="Q48" s="3007"/>
      <c r="R48" s="3008" t="e">
        <f>IF(E1="售价",ROUND(PRODUCT(R47,AA7:AA46),0),ROUND(PRODUCT(R47,AA7:AA46),1))</f>
        <v>#DIV/0!</v>
      </c>
      <c r="S48" s="3008"/>
      <c r="T48" s="3008" t="e">
        <f>IF(E1="售价",ROUND(PRODUCT(T47,AB7:AB46),0),ROUND(PRODUCT(T47,AB7:AB46),1))</f>
        <v>#DIV/0!</v>
      </c>
      <c r="U48" s="3008"/>
      <c r="V48" s="3008" t="e">
        <f>IF(E1="售价",ROUND(PRODUCT(V47,AC7:AC46),0),ROUND(PRODUCT(V47,AC7:AC46),1))</f>
        <v>#DIV/0!</v>
      </c>
      <c r="W48" s="3008"/>
      <c r="X48" s="738"/>
      <c r="Y48" s="738"/>
      <c r="Z48" s="738"/>
      <c r="AA48" s="738"/>
      <c r="AB48" s="738"/>
      <c r="AC48" s="738"/>
    </row>
    <row r="49" spans="1:29" ht="15.75" thickBot="1">
      <c r="A49" s="473" t="s">
        <v>2458</v>
      </c>
      <c r="B49" s="474"/>
      <c r="C49" s="1511" t="e">
        <f>R49</f>
        <v>#DIV/0!</v>
      </c>
      <c r="D49" s="1511"/>
      <c r="E49" s="1511"/>
      <c r="F49" s="1511"/>
      <c r="G49" s="1511"/>
      <c r="H49" s="1511"/>
      <c r="I49" s="1511"/>
      <c r="J49" s="1511"/>
      <c r="K49" s="764"/>
      <c r="L49" s="1255"/>
      <c r="M49" s="1256"/>
      <c r="N49" s="1243"/>
      <c r="O49" s="1256"/>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2462</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2344</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2346</v>
      </c>
      <c r="B61" s="491"/>
      <c r="C61" s="503" t="s">
        <v>2347</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2443</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2463</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2360</v>
      </c>
      <c r="B100" s="509" t="s">
        <v>2464</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7"/>
      <c r="O101" s="1267"/>
      <c r="P101" s="2423"/>
      <c r="Q101" s="485"/>
    </row>
    <row r="102" spans="1:17" ht="15.75" thickTop="1">
      <c r="A102" s="516"/>
      <c r="B102" s="521" t="s">
        <v>2410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2411</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7"/>
      <c r="O106" s="1267"/>
      <c r="P106" s="2423"/>
      <c r="Q106" s="485"/>
    </row>
    <row r="107" spans="1:17" ht="15" thickTop="1">
      <c r="A107" s="583"/>
      <c r="B107" s="521" t="s">
        <v>2413</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7"/>
      <c r="O108" s="1267"/>
      <c r="P108" s="2423"/>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7"/>
      <c r="O111" s="1267"/>
      <c r="P111" s="2423"/>
      <c r="Q111" s="485"/>
    </row>
    <row r="112" spans="1:17" s="452" customFormat="1" ht="15" thickTop="1">
      <c r="A112" s="577"/>
      <c r="B112" s="521" t="s">
        <v>2416</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8"/>
      <c r="O113" s="1268"/>
      <c r="P113" s="2424"/>
      <c r="Q113" s="543"/>
    </row>
    <row r="114" spans="1:17" ht="15" thickTop="1">
      <c r="A114" s="583"/>
      <c r="B114" s="521" t="s">
        <v>2465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7"/>
      <c r="O115" s="1267"/>
      <c r="P115" s="2423"/>
      <c r="Q115" s="485"/>
    </row>
    <row r="116" spans="1:17" ht="15" thickTop="1">
      <c r="A116" s="583"/>
      <c r="B116" s="521" t="s">
        <v>2466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2467</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2468</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8"/>
      <c r="O121" s="1268"/>
      <c r="P121" s="2424"/>
      <c r="Q121" s="543"/>
    </row>
    <row r="122" spans="1:17" ht="15" thickTop="1">
      <c r="A122" s="583"/>
      <c r="B122" s="521" t="s">
        <v>2418</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2469</v>
      </c>
      <c r="C1" s="1725"/>
      <c r="D1" s="1738"/>
      <c r="E1" s="2380"/>
      <c r="F1" s="1739" t="s">
        <v>2329</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1998</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1999</v>
      </c>
      <c r="B3" s="593" t="e">
        <f ca="1">ROUND(IF(D2="——",C50,IF(C2="万元",B2*10000/D3,B2/D3)),0)</f>
        <v>#DIV/0!</v>
      </c>
      <c r="C3" s="379" t="s">
        <v>2330</v>
      </c>
      <c r="D3" s="378">
        <f>IF(C1="仅计算典型户型",'数据-取费表'!E5,'数据-取费表'!B5)</f>
        <v>178.24</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3076" t="s">
        <v>2337</v>
      </c>
      <c r="Q4" s="2980"/>
      <c r="R4" s="2985" t="s">
        <v>2333</v>
      </c>
      <c r="S4" s="2986"/>
      <c r="T4" s="2985" t="s">
        <v>2334</v>
      </c>
      <c r="U4" s="2986"/>
      <c r="V4" s="2991" t="s">
        <v>2335</v>
      </c>
      <c r="W4" s="2991"/>
      <c r="X4" s="1899"/>
      <c r="Y4" s="2985" t="s">
        <v>2337</v>
      </c>
      <c r="Z4" s="2986"/>
      <c r="AA4" s="2972" t="s">
        <v>2333</v>
      </c>
      <c r="AB4" s="2972"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3077"/>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3078"/>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05"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05" t="s">
        <v>2348</v>
      </c>
      <c r="Q8" s="3004"/>
      <c r="R8" s="749" t="s">
        <v>25</v>
      </c>
      <c r="S8" s="750">
        <f t="shared" si="0"/>
        <v>0</v>
      </c>
      <c r="T8" s="749" t="s">
        <v>25</v>
      </c>
      <c r="U8" s="750">
        <f t="shared" si="1"/>
        <v>0</v>
      </c>
      <c r="V8" s="749" t="s">
        <v>25</v>
      </c>
      <c r="W8" s="750">
        <f t="shared" si="2"/>
        <v>0</v>
      </c>
      <c r="X8" s="751"/>
      <c r="Y8" s="3003" t="s">
        <v>2348</v>
      </c>
      <c r="Z8" s="3004"/>
      <c r="AA8" s="752" t="e">
        <f t="shared" ref="AA8:AA47" si="3">D8/F8</f>
        <v>#DIV/0!</v>
      </c>
      <c r="AB8" s="752" t="e">
        <f t="shared" ref="AB8:AB47" si="4">D8/H8</f>
        <v>#DIV/0!</v>
      </c>
      <c r="AC8" s="752" t="e">
        <f t="shared" ref="AC8:AC47" si="5">D8/J8</f>
        <v>#DIV/0!</v>
      </c>
    </row>
    <row r="9" spans="1:29" s="35" customFormat="1">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4"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4"/>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4"/>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4"/>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4"/>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2355</v>
      </c>
      <c r="B15" s="613" t="s">
        <v>2470</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0" t="s">
        <v>2356</v>
      </c>
      <c r="Q15" s="1898" t="str">
        <f t="shared" si="6"/>
        <v>办公集聚程度</v>
      </c>
      <c r="R15" s="753" t="s">
        <v>25</v>
      </c>
      <c r="S15" s="754">
        <f t="shared" si="0"/>
        <v>100</v>
      </c>
      <c r="T15" s="753" t="s">
        <v>25</v>
      </c>
      <c r="U15" s="754">
        <f t="shared" si="1"/>
        <v>100</v>
      </c>
      <c r="V15" s="753" t="s">
        <v>25</v>
      </c>
      <c r="W15" s="754">
        <f t="shared" si="2"/>
        <v>100</v>
      </c>
      <c r="X15" s="1899"/>
      <c r="Y15" s="2996" t="s">
        <v>2356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2"/>
      <c r="Q16" s="1898"/>
      <c r="R16" s="753"/>
      <c r="S16" s="754"/>
      <c r="T16" s="753"/>
      <c r="U16" s="754"/>
      <c r="V16" s="753"/>
      <c r="W16" s="754"/>
      <c r="X16" s="1899"/>
      <c r="Y16" s="2997"/>
      <c r="Z16" s="1901"/>
      <c r="AA16" s="1902">
        <v>1</v>
      </c>
      <c r="AB16" s="1902">
        <v>1</v>
      </c>
      <c r="AC16" s="1902">
        <v>1</v>
      </c>
    </row>
    <row r="17" spans="1:29" ht="114">
      <c r="A17" s="408"/>
      <c r="B17" s="615" t="s">
        <v>1741</v>
      </c>
      <c r="C17" s="2465"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2"/>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2982"/>
      <c r="Q18" s="1898"/>
      <c r="R18" s="753"/>
      <c r="S18" s="754"/>
      <c r="T18" s="753"/>
      <c r="U18" s="754"/>
      <c r="V18" s="753"/>
      <c r="W18" s="754"/>
      <c r="X18" s="1899"/>
      <c r="Y18" s="2997"/>
      <c r="Z18" s="1901"/>
      <c r="AA18" s="1902">
        <v>1</v>
      </c>
      <c r="AB18" s="1902">
        <v>1</v>
      </c>
      <c r="AC18" s="1902">
        <v>1</v>
      </c>
    </row>
    <row r="19" spans="1:29" ht="228">
      <c r="A19" s="408"/>
      <c r="B19" s="615" t="s">
        <v>2471</v>
      </c>
      <c r="C19" s="2465"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2"/>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2982"/>
      <c r="Q20" s="1898"/>
      <c r="R20" s="753"/>
      <c r="S20" s="754"/>
      <c r="T20" s="753"/>
      <c r="U20" s="754"/>
      <c r="V20" s="753"/>
      <c r="W20" s="754"/>
      <c r="X20" s="1899"/>
      <c r="Y20" s="2997"/>
      <c r="Z20" s="1901"/>
      <c r="AA20" s="1902">
        <v>1</v>
      </c>
      <c r="AB20" s="1902">
        <v>1</v>
      </c>
      <c r="AC20" s="1902">
        <v>1</v>
      </c>
    </row>
    <row r="21" spans="1:29" ht="42.75">
      <c r="A21" s="408"/>
      <c r="B21" s="617" t="s">
        <v>2472</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2"/>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D21/F21</f>
        <v>1</v>
      </c>
      <c r="AB21" s="1902">
        <f>D21/H21</f>
        <v>1</v>
      </c>
      <c r="AC21" s="1902">
        <f>D21/J21</f>
        <v>1</v>
      </c>
    </row>
    <row r="22" spans="1:29" ht="15">
      <c r="A22" s="408"/>
      <c r="B22" s="617"/>
      <c r="C22" s="2466"/>
      <c r="D22" s="427"/>
      <c r="E22" s="426"/>
      <c r="F22" s="427"/>
      <c r="G22" s="1471"/>
      <c r="H22" s="427"/>
      <c r="I22" s="1471"/>
      <c r="J22" s="427"/>
      <c r="K22" s="1468"/>
      <c r="L22" s="1252"/>
      <c r="M22" s="1243"/>
      <c r="N22" s="1243"/>
      <c r="O22" s="1243"/>
      <c r="P22" s="2982"/>
      <c r="Q22" s="1898"/>
      <c r="R22" s="753"/>
      <c r="S22" s="754"/>
      <c r="T22" s="753"/>
      <c r="U22" s="754"/>
      <c r="V22" s="753"/>
      <c r="W22" s="754"/>
      <c r="X22" s="1899"/>
      <c r="Y22" s="2997"/>
      <c r="Z22" s="1901"/>
      <c r="AA22" s="1902">
        <v>1</v>
      </c>
      <c r="AB22" s="1902">
        <v>1</v>
      </c>
      <c r="AC22" s="1902">
        <v>1</v>
      </c>
    </row>
    <row r="23" spans="1:29" ht="85.5">
      <c r="A23" s="408"/>
      <c r="B23" s="615" t="s">
        <v>2473</v>
      </c>
      <c r="C23" s="2465"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2"/>
      <c r="Q23" s="1898" t="str">
        <f>B23</f>
        <v>环境质量</v>
      </c>
      <c r="R23" s="753" t="s">
        <v>25</v>
      </c>
      <c r="S23" s="754">
        <f>F23</f>
        <v>100</v>
      </c>
      <c r="T23" s="753" t="s">
        <v>25</v>
      </c>
      <c r="U23" s="754">
        <f>H23</f>
        <v>100</v>
      </c>
      <c r="V23" s="753" t="s">
        <v>25</v>
      </c>
      <c r="W23" s="754">
        <f>J23</f>
        <v>100</v>
      </c>
      <c r="X23" s="1899"/>
      <c r="Y23" s="2997"/>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2982"/>
      <c r="Q24" s="1898"/>
      <c r="R24" s="753"/>
      <c r="S24" s="754"/>
      <c r="T24" s="753"/>
      <c r="U24" s="754"/>
      <c r="V24" s="753"/>
      <c r="W24" s="754"/>
      <c r="X24" s="1899"/>
      <c r="Y24" s="2997"/>
      <c r="Z24" s="1901"/>
      <c r="AA24" s="1902">
        <v>1</v>
      </c>
      <c r="AB24" s="1902">
        <v>1</v>
      </c>
      <c r="AC24" s="1902">
        <v>1</v>
      </c>
    </row>
    <row r="25" spans="1:29" ht="27">
      <c r="A25" s="383"/>
      <c r="B25" s="615" t="s">
        <v>2474</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2982"/>
      <c r="Q25" s="1898" t="str">
        <f>B25</f>
        <v>毗邻道路的类型与等级</v>
      </c>
      <c r="R25" s="753" t="s">
        <v>25</v>
      </c>
      <c r="S25" s="754">
        <f>F25</f>
        <v>100</v>
      </c>
      <c r="T25" s="753" t="s">
        <v>25</v>
      </c>
      <c r="U25" s="754">
        <f>H25</f>
        <v>100</v>
      </c>
      <c r="V25" s="753" t="s">
        <v>25</v>
      </c>
      <c r="W25" s="754">
        <f>J25</f>
        <v>100</v>
      </c>
      <c r="X25" s="1899"/>
      <c r="Y25" s="2997"/>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2"/>
      <c r="Q26" s="1898"/>
      <c r="R26" s="753"/>
      <c r="S26" s="754"/>
      <c r="T26" s="753"/>
      <c r="U26" s="754"/>
      <c r="V26" s="753"/>
      <c r="W26" s="754"/>
      <c r="X26" s="1899"/>
      <c r="Y26" s="2997"/>
      <c r="Z26" s="1901"/>
      <c r="AA26" s="1902">
        <v>1</v>
      </c>
      <c r="AB26" s="1902">
        <v>1</v>
      </c>
      <c r="AC26" s="1902">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2"/>
      <c r="Q27" s="1898" t="str">
        <f t="shared" ref="Q27:Q47" si="8">B27</f>
        <v>楼层</v>
      </c>
      <c r="R27" s="753" t="s">
        <v>25</v>
      </c>
      <c r="S27" s="754">
        <f>F27</f>
        <v>100</v>
      </c>
      <c r="T27" s="753" t="s">
        <v>25</v>
      </c>
      <c r="U27" s="754">
        <f>H27</f>
        <v>100</v>
      </c>
      <c r="V27" s="753" t="s">
        <v>25</v>
      </c>
      <c r="W27" s="754">
        <f>J27</f>
        <v>100</v>
      </c>
      <c r="X27" s="1899"/>
      <c r="Y27" s="2997"/>
      <c r="Z27" s="1901" t="str">
        <f>Q27</f>
        <v>楼层</v>
      </c>
      <c r="AA27" s="1902">
        <f t="shared" si="3"/>
        <v>1</v>
      </c>
      <c r="AB27" s="1902">
        <f t="shared" si="4"/>
        <v>1</v>
      </c>
      <c r="AC27" s="1902">
        <f t="shared" si="5"/>
        <v>1</v>
      </c>
    </row>
    <row r="28" spans="1:29" s="35" customFormat="1" ht="15">
      <c r="A28" s="411"/>
      <c r="B28" s="615" t="s">
        <v>2475</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2982"/>
      <c r="Q28" s="1886" t="str">
        <f t="shared" si="8"/>
        <v>朝向</v>
      </c>
      <c r="R28" s="749" t="s">
        <v>25</v>
      </c>
      <c r="S28" s="750">
        <f>F28</f>
        <v>100</v>
      </c>
      <c r="T28" s="749" t="s">
        <v>25</v>
      </c>
      <c r="U28" s="750">
        <f>H28</f>
        <v>100</v>
      </c>
      <c r="V28" s="749" t="s">
        <v>25</v>
      </c>
      <c r="W28" s="750">
        <f>J28</f>
        <v>100</v>
      </c>
      <c r="X28" s="751"/>
      <c r="Y28" s="2997"/>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2"/>
      <c r="Q29" s="1898">
        <f t="shared" si="8"/>
        <v>111</v>
      </c>
      <c r="R29" s="753" t="s">
        <v>25</v>
      </c>
      <c r="S29" s="754">
        <f t="shared" ref="S29:S47" si="9">F29</f>
        <v>100</v>
      </c>
      <c r="T29" s="753" t="s">
        <v>25</v>
      </c>
      <c r="U29" s="754">
        <f t="shared" ref="U29:U47" si="10">H29</f>
        <v>100</v>
      </c>
      <c r="V29" s="753" t="s">
        <v>25</v>
      </c>
      <c r="W29" s="754">
        <f t="shared" ref="W29:W47" si="11">J29</f>
        <v>100</v>
      </c>
      <c r="X29" s="1899"/>
      <c r="Y29" s="2997"/>
      <c r="Z29" s="1901">
        <f t="shared" ref="Z29:Z47" si="12">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2"/>
      <c r="Q30" s="1898">
        <f t="shared" si="8"/>
        <v>111</v>
      </c>
      <c r="R30" s="753" t="s">
        <v>25</v>
      </c>
      <c r="S30" s="754">
        <f t="shared" si="9"/>
        <v>100</v>
      </c>
      <c r="T30" s="753" t="s">
        <v>25</v>
      </c>
      <c r="U30" s="754">
        <f t="shared" si="10"/>
        <v>100</v>
      </c>
      <c r="V30" s="753" t="s">
        <v>25</v>
      </c>
      <c r="W30" s="754">
        <f t="shared" si="11"/>
        <v>100</v>
      </c>
      <c r="X30" s="1899"/>
      <c r="Y30" s="2997"/>
      <c r="Z30" s="1901">
        <f t="shared" si="12"/>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2"/>
      <c r="Q31" s="1898">
        <f t="shared" si="8"/>
        <v>111</v>
      </c>
      <c r="R31" s="753" t="s">
        <v>25</v>
      </c>
      <c r="S31" s="754">
        <f t="shared" si="9"/>
        <v>100</v>
      </c>
      <c r="T31" s="753" t="s">
        <v>25</v>
      </c>
      <c r="U31" s="754">
        <f t="shared" si="10"/>
        <v>100</v>
      </c>
      <c r="V31" s="753" t="s">
        <v>25</v>
      </c>
      <c r="W31" s="754">
        <f t="shared" si="11"/>
        <v>100</v>
      </c>
      <c r="X31" s="1899"/>
      <c r="Y31" s="2997"/>
      <c r="Z31" s="1901">
        <f t="shared" si="12"/>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2"/>
      <c r="Q32" s="1898">
        <f t="shared" si="8"/>
        <v>111</v>
      </c>
      <c r="R32" s="753" t="s">
        <v>25</v>
      </c>
      <c r="S32" s="754">
        <f t="shared" si="9"/>
        <v>100</v>
      </c>
      <c r="T32" s="753" t="s">
        <v>25</v>
      </c>
      <c r="U32" s="754">
        <f t="shared" si="10"/>
        <v>100</v>
      </c>
      <c r="V32" s="753" t="s">
        <v>25</v>
      </c>
      <c r="W32" s="754">
        <f t="shared" si="11"/>
        <v>100</v>
      </c>
      <c r="X32" s="1899"/>
      <c r="Y32" s="2997"/>
      <c r="Z32" s="1901">
        <f t="shared" si="12"/>
        <v>111</v>
      </c>
      <c r="AA32" s="1902">
        <f t="shared" si="3"/>
        <v>1</v>
      </c>
      <c r="AB32" s="1902">
        <f t="shared" si="4"/>
        <v>1</v>
      </c>
      <c r="AC32" s="1902">
        <f t="shared" si="5"/>
        <v>1</v>
      </c>
    </row>
    <row r="33" spans="1:29" ht="15">
      <c r="A33" s="419" t="s">
        <v>2360</v>
      </c>
      <c r="B33" s="28" t="s">
        <v>2476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79" t="s">
        <v>2362</v>
      </c>
      <c r="Q33" s="1898" t="str">
        <f t="shared" si="8"/>
        <v>建筑类型</v>
      </c>
      <c r="R33" s="753" t="s">
        <v>25</v>
      </c>
      <c r="S33" s="754">
        <f t="shared" si="9"/>
        <v>100</v>
      </c>
      <c r="T33" s="753" t="s">
        <v>25</v>
      </c>
      <c r="U33" s="754">
        <f t="shared" si="10"/>
        <v>100</v>
      </c>
      <c r="V33" s="753" t="s">
        <v>25</v>
      </c>
      <c r="W33" s="754">
        <f t="shared" si="11"/>
        <v>100</v>
      </c>
      <c r="X33" s="1899"/>
      <c r="Y33" s="3001" t="s">
        <v>2362</v>
      </c>
      <c r="Z33" s="1901" t="str">
        <f t="shared" si="12"/>
        <v>建筑类型</v>
      </c>
      <c r="AA33" s="1902">
        <f t="shared" si="3"/>
        <v>1</v>
      </c>
      <c r="AB33" s="1902">
        <f t="shared" si="4"/>
        <v>1</v>
      </c>
      <c r="AC33" s="1902">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0"/>
      <c r="Q34" s="755" t="str">
        <f t="shared" si="8"/>
        <v>项目建筑规模</v>
      </c>
      <c r="R34" s="756" t="s">
        <v>25</v>
      </c>
      <c r="S34" s="757" t="e">
        <f t="shared" si="9"/>
        <v>#N/A</v>
      </c>
      <c r="T34" s="756" t="s">
        <v>25</v>
      </c>
      <c r="U34" s="757" t="e">
        <f t="shared" si="10"/>
        <v>#N/A</v>
      </c>
      <c r="V34" s="756" t="s">
        <v>25</v>
      </c>
      <c r="W34" s="757" t="e">
        <f t="shared" si="11"/>
        <v>#N/A</v>
      </c>
      <c r="X34" s="758"/>
      <c r="Y34" s="3001"/>
      <c r="Z34" s="759" t="str">
        <f t="shared" si="12"/>
        <v>项目建筑规模</v>
      </c>
      <c r="AA34" s="1902" t="e">
        <f t="shared" si="3"/>
        <v>#N/A</v>
      </c>
      <c r="AB34" s="1902" t="e">
        <f t="shared" si="4"/>
        <v>#N/A</v>
      </c>
      <c r="AC34" s="1902"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0"/>
      <c r="Q35" s="1898" t="str">
        <f t="shared" si="8"/>
        <v>建筑结构</v>
      </c>
      <c r="R35" s="753" t="s">
        <v>25</v>
      </c>
      <c r="S35" s="754">
        <f t="shared" si="9"/>
        <v>100</v>
      </c>
      <c r="T35" s="753" t="s">
        <v>25</v>
      </c>
      <c r="U35" s="754">
        <f t="shared" si="10"/>
        <v>100</v>
      </c>
      <c r="V35" s="753" t="s">
        <v>25</v>
      </c>
      <c r="W35" s="754">
        <f t="shared" si="11"/>
        <v>100</v>
      </c>
      <c r="X35" s="1899"/>
      <c r="Y35" s="3001"/>
      <c r="Z35" s="1901" t="str">
        <f t="shared" si="12"/>
        <v>建筑结构</v>
      </c>
      <c r="AA35" s="1902">
        <f t="shared" si="3"/>
        <v>1</v>
      </c>
      <c r="AB35" s="1902">
        <f t="shared" si="4"/>
        <v>1</v>
      </c>
      <c r="AC35" s="1902">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0"/>
      <c r="Q36" s="1898" t="str">
        <f t="shared" si="8"/>
        <v>公共部分装修</v>
      </c>
      <c r="R36" s="753" t="s">
        <v>25</v>
      </c>
      <c r="S36" s="754">
        <f t="shared" si="9"/>
        <v>100</v>
      </c>
      <c r="T36" s="753" t="s">
        <v>25</v>
      </c>
      <c r="U36" s="754">
        <f t="shared" si="10"/>
        <v>100</v>
      </c>
      <c r="V36" s="753" t="s">
        <v>25</v>
      </c>
      <c r="W36" s="754">
        <f t="shared" si="11"/>
        <v>100</v>
      </c>
      <c r="X36" s="1899"/>
      <c r="Y36" s="3001"/>
      <c r="Z36" s="1901" t="str">
        <f t="shared" si="12"/>
        <v>公共部分装修</v>
      </c>
      <c r="AA36" s="1902">
        <f t="shared" si="3"/>
        <v>1</v>
      </c>
      <c r="AB36" s="1902">
        <f t="shared" si="4"/>
        <v>1</v>
      </c>
      <c r="AC36" s="1902">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0"/>
      <c r="Q37" s="1898" t="str">
        <f t="shared" si="8"/>
        <v>成新度</v>
      </c>
      <c r="R37" s="753" t="s">
        <v>25</v>
      </c>
      <c r="S37" s="754" t="e">
        <f t="shared" si="9"/>
        <v>#N/A</v>
      </c>
      <c r="T37" s="753" t="s">
        <v>25</v>
      </c>
      <c r="U37" s="754" t="e">
        <f t="shared" si="10"/>
        <v>#N/A</v>
      </c>
      <c r="V37" s="753" t="s">
        <v>25</v>
      </c>
      <c r="W37" s="754" t="e">
        <f t="shared" si="11"/>
        <v>#N/A</v>
      </c>
      <c r="X37" s="1899"/>
      <c r="Y37" s="3001"/>
      <c r="Z37" s="1901" t="str">
        <f t="shared" si="12"/>
        <v>成新度</v>
      </c>
      <c r="AA37" s="1902" t="e">
        <f t="shared" si="3"/>
        <v>#N/A</v>
      </c>
      <c r="AB37" s="1902" t="e">
        <f t="shared" si="4"/>
        <v>#N/A</v>
      </c>
      <c r="AC37" s="1902"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0"/>
      <c r="Q38" s="1886" t="str">
        <f t="shared" si="8"/>
        <v>写字楼等级</v>
      </c>
      <c r="R38" s="749" t="s">
        <v>25</v>
      </c>
      <c r="S38" s="750">
        <f t="shared" si="9"/>
        <v>100</v>
      </c>
      <c r="T38" s="749" t="s">
        <v>25</v>
      </c>
      <c r="U38" s="750">
        <f t="shared" si="10"/>
        <v>100</v>
      </c>
      <c r="V38" s="749" t="s">
        <v>25</v>
      </c>
      <c r="W38" s="750">
        <f t="shared" si="11"/>
        <v>100</v>
      </c>
      <c r="X38" s="751"/>
      <c r="Y38" s="3001"/>
      <c r="Z38" s="23" t="str">
        <f t="shared" si="12"/>
        <v>写字楼等级</v>
      </c>
      <c r="AA38" s="752">
        <f t="shared" si="3"/>
        <v>1</v>
      </c>
      <c r="AB38" s="752">
        <f t="shared" si="4"/>
        <v>1</v>
      </c>
      <c r="AC38" s="752">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0" t="s">
        <v>2362</v>
      </c>
      <c r="Q39" s="1898" t="str">
        <f t="shared" si="8"/>
        <v>物业管理</v>
      </c>
      <c r="R39" s="753" t="s">
        <v>25</v>
      </c>
      <c r="S39" s="754">
        <f t="shared" si="9"/>
        <v>100</v>
      </c>
      <c r="T39" s="753" t="s">
        <v>25</v>
      </c>
      <c r="U39" s="754">
        <f t="shared" si="10"/>
        <v>100</v>
      </c>
      <c r="V39" s="753" t="s">
        <v>25</v>
      </c>
      <c r="W39" s="754">
        <f t="shared" si="11"/>
        <v>100</v>
      </c>
      <c r="X39" s="1899"/>
      <c r="Y39" s="3001" t="s">
        <v>2362</v>
      </c>
      <c r="Z39" s="1901" t="str">
        <f t="shared" si="12"/>
        <v>物业管理</v>
      </c>
      <c r="AA39" s="1902">
        <f t="shared" si="3"/>
        <v>1</v>
      </c>
      <c r="AB39" s="1902">
        <f t="shared" si="4"/>
        <v>1</v>
      </c>
      <c r="AC39" s="1902">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0"/>
      <c r="Q40" s="1898" t="str">
        <f t="shared" si="8"/>
        <v>市政基础设施</v>
      </c>
      <c r="R40" s="753" t="s">
        <v>25</v>
      </c>
      <c r="S40" s="754">
        <f t="shared" si="9"/>
        <v>100</v>
      </c>
      <c r="T40" s="753" t="s">
        <v>25</v>
      </c>
      <c r="U40" s="754">
        <f t="shared" si="10"/>
        <v>100</v>
      </c>
      <c r="V40" s="753" t="s">
        <v>25</v>
      </c>
      <c r="W40" s="754">
        <f t="shared" si="11"/>
        <v>100</v>
      </c>
      <c r="X40" s="1899"/>
      <c r="Y40" s="3001"/>
      <c r="Z40" s="1901" t="str">
        <f t="shared" si="12"/>
        <v>市政基础设施</v>
      </c>
      <c r="AA40" s="1902">
        <f t="shared" si="3"/>
        <v>1</v>
      </c>
      <c r="AB40" s="1902">
        <f t="shared" si="4"/>
        <v>1</v>
      </c>
      <c r="AC40" s="1902">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0"/>
      <c r="Q41" s="1898" t="str">
        <f t="shared" si="8"/>
        <v>层高</v>
      </c>
      <c r="R41" s="753" t="s">
        <v>25</v>
      </c>
      <c r="S41" s="754">
        <f t="shared" si="9"/>
        <v>100</v>
      </c>
      <c r="T41" s="753" t="s">
        <v>25</v>
      </c>
      <c r="U41" s="754">
        <f t="shared" si="10"/>
        <v>100</v>
      </c>
      <c r="V41" s="753" t="s">
        <v>25</v>
      </c>
      <c r="W41" s="754">
        <f t="shared" si="11"/>
        <v>100</v>
      </c>
      <c r="X41" s="1899"/>
      <c r="Y41" s="3001"/>
      <c r="Z41" s="1901" t="str">
        <f t="shared" si="12"/>
        <v>层高</v>
      </c>
      <c r="AA41" s="1902">
        <f t="shared" si="3"/>
        <v>1</v>
      </c>
      <c r="AB41" s="1902">
        <f t="shared" si="4"/>
        <v>1</v>
      </c>
      <c r="AC41" s="1902">
        <f t="shared" si="5"/>
        <v>1</v>
      </c>
    </row>
    <row r="42" spans="1:29" s="452" customFormat="1" ht="15">
      <c r="A42" s="449"/>
      <c r="B42" s="1903"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0"/>
      <c r="Q42" s="755" t="str">
        <f t="shared" si="8"/>
        <v>单套建筑面积</v>
      </c>
      <c r="R42" s="756" t="s">
        <v>25</v>
      </c>
      <c r="S42" s="757">
        <f t="shared" si="9"/>
        <v>100</v>
      </c>
      <c r="T42" s="756" t="s">
        <v>25</v>
      </c>
      <c r="U42" s="757">
        <f t="shared" si="10"/>
        <v>100</v>
      </c>
      <c r="V42" s="756" t="s">
        <v>25</v>
      </c>
      <c r="W42" s="757">
        <f t="shared" si="11"/>
        <v>100</v>
      </c>
      <c r="X42" s="758"/>
      <c r="Y42" s="3001"/>
      <c r="Z42" s="759" t="str">
        <f t="shared" si="12"/>
        <v>单套建筑面积</v>
      </c>
      <c r="AA42" s="1902">
        <f t="shared" si="3"/>
        <v>1</v>
      </c>
      <c r="AB42" s="1902">
        <f t="shared" si="4"/>
        <v>1</v>
      </c>
      <c r="AC42" s="1902">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0"/>
      <c r="Q43" s="1898" t="str">
        <f t="shared" si="8"/>
        <v>内部装修</v>
      </c>
      <c r="R43" s="753" t="s">
        <v>25</v>
      </c>
      <c r="S43" s="754">
        <f t="shared" si="9"/>
        <v>100</v>
      </c>
      <c r="T43" s="753" t="s">
        <v>25</v>
      </c>
      <c r="U43" s="754">
        <f t="shared" si="10"/>
        <v>100</v>
      </c>
      <c r="V43" s="753" t="s">
        <v>25</v>
      </c>
      <c r="W43" s="754">
        <f t="shared" si="11"/>
        <v>100</v>
      </c>
      <c r="X43" s="1899"/>
      <c r="Y43" s="3001"/>
      <c r="Z43" s="1901" t="str">
        <f t="shared" si="12"/>
        <v>内部装修</v>
      </c>
      <c r="AA43" s="1902">
        <f t="shared" si="3"/>
        <v>1</v>
      </c>
      <c r="AB43" s="1902">
        <f t="shared" si="4"/>
        <v>1</v>
      </c>
      <c r="AC43" s="1902">
        <f t="shared" si="5"/>
        <v>1</v>
      </c>
    </row>
    <row r="44" spans="1:29" ht="15">
      <c r="A44" s="453"/>
      <c r="B44" s="402" t="s">
        <v>2373</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80"/>
      <c r="Q44" s="1898" t="str">
        <f t="shared" si="8"/>
        <v>内部装修维护情况</v>
      </c>
      <c r="R44" s="753" t="s">
        <v>25</v>
      </c>
      <c r="S44" s="754">
        <f t="shared" si="9"/>
        <v>100</v>
      </c>
      <c r="T44" s="753" t="s">
        <v>25</v>
      </c>
      <c r="U44" s="754">
        <f t="shared" si="10"/>
        <v>100</v>
      </c>
      <c r="V44" s="753" t="s">
        <v>25</v>
      </c>
      <c r="W44" s="754">
        <f t="shared" si="11"/>
        <v>100</v>
      </c>
      <c r="X44" s="1899"/>
      <c r="Y44" s="3001"/>
      <c r="Z44" s="1901" t="str">
        <f t="shared" si="12"/>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0"/>
      <c r="Q45" s="1886">
        <f t="shared" si="8"/>
        <v>111</v>
      </c>
      <c r="R45" s="749" t="s">
        <v>25</v>
      </c>
      <c r="S45" s="750">
        <f t="shared" si="9"/>
        <v>100</v>
      </c>
      <c r="T45" s="749" t="s">
        <v>25</v>
      </c>
      <c r="U45" s="750">
        <f t="shared" si="10"/>
        <v>100</v>
      </c>
      <c r="V45" s="749" t="s">
        <v>25</v>
      </c>
      <c r="W45" s="750">
        <f t="shared" si="11"/>
        <v>100</v>
      </c>
      <c r="X45" s="751"/>
      <c r="Y45" s="3001"/>
      <c r="Z45" s="23">
        <f t="shared" si="12"/>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0"/>
      <c r="Q46" s="1898">
        <f t="shared" si="8"/>
        <v>111</v>
      </c>
      <c r="R46" s="753" t="s">
        <v>25</v>
      </c>
      <c r="S46" s="754">
        <f t="shared" si="9"/>
        <v>100</v>
      </c>
      <c r="T46" s="753" t="s">
        <v>25</v>
      </c>
      <c r="U46" s="754">
        <f t="shared" si="10"/>
        <v>100</v>
      </c>
      <c r="V46" s="753" t="s">
        <v>25</v>
      </c>
      <c r="W46" s="754">
        <f t="shared" si="11"/>
        <v>100</v>
      </c>
      <c r="X46" s="1899"/>
      <c r="Y46" s="3001"/>
      <c r="Z46" s="1901">
        <f t="shared" si="12"/>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1"/>
      <c r="Q47" s="1898">
        <f t="shared" si="8"/>
        <v>111</v>
      </c>
      <c r="R47" s="753" t="s">
        <v>25</v>
      </c>
      <c r="S47" s="754">
        <f t="shared" si="9"/>
        <v>100</v>
      </c>
      <c r="T47" s="753" t="s">
        <v>25</v>
      </c>
      <c r="U47" s="754">
        <f t="shared" si="10"/>
        <v>100</v>
      </c>
      <c r="V47" s="753" t="s">
        <v>25</v>
      </c>
      <c r="W47" s="754">
        <f t="shared" si="11"/>
        <v>100</v>
      </c>
      <c r="X47" s="1899"/>
      <c r="Y47" s="3002"/>
      <c r="Z47" s="1901">
        <f t="shared" si="12"/>
        <v>111</v>
      </c>
      <c r="AA47" s="1902">
        <f t="shared" si="3"/>
        <v>1</v>
      </c>
      <c r="AB47" s="1902">
        <f t="shared" si="4"/>
        <v>1</v>
      </c>
      <c r="AC47" s="1902">
        <f t="shared" si="5"/>
        <v>1</v>
      </c>
    </row>
    <row r="48" spans="1:29" ht="15">
      <c r="A48" s="460" t="s">
        <v>2374</v>
      </c>
      <c r="B48" s="461"/>
      <c r="C48" s="1501" t="s">
        <v>1</v>
      </c>
      <c r="D48" s="1502"/>
      <c r="E48" s="1503"/>
      <c r="F48" s="1504"/>
      <c r="G48" s="1505"/>
      <c r="H48" s="1506"/>
      <c r="I48" s="1503"/>
      <c r="J48" s="1506"/>
      <c r="K48" s="762"/>
      <c r="L48" s="1255"/>
      <c r="M48" s="1243"/>
      <c r="N48" s="1243"/>
      <c r="O48" s="1243"/>
      <c r="P48" s="3014" t="str">
        <f>A48</f>
        <v>成交单价（元/平方米）</v>
      </c>
      <c r="Q48" s="3007"/>
      <c r="R48" s="3008">
        <f>E48</f>
        <v>0</v>
      </c>
      <c r="S48" s="3008"/>
      <c r="T48" s="3008">
        <f>G48</f>
        <v>0</v>
      </c>
      <c r="U48" s="3008"/>
      <c r="V48" s="3008">
        <f>I48</f>
        <v>0</v>
      </c>
      <c r="W48" s="3008"/>
      <c r="X48" s="738"/>
      <c r="Y48" s="760"/>
      <c r="Z48" s="738"/>
      <c r="AA48" s="738"/>
      <c r="AB48" s="738"/>
      <c r="AC48" s="738"/>
    </row>
    <row r="49" spans="1:29" ht="15.75" thickBot="1">
      <c r="A49" s="467" t="s">
        <v>2457</v>
      </c>
      <c r="B49" s="468"/>
      <c r="C49" s="1507" t="e">
        <f>R50</f>
        <v>#DIV/0!</v>
      </c>
      <c r="D49" s="1508"/>
      <c r="E49" s="1509" t="e">
        <f>R49</f>
        <v>#DIV/0!</v>
      </c>
      <c r="F49" s="1509"/>
      <c r="G49" s="1507" t="e">
        <f>T49</f>
        <v>#DIV/0!</v>
      </c>
      <c r="H49" s="1508"/>
      <c r="I49" s="1509" t="e">
        <f>V49</f>
        <v>#DIV/0!</v>
      </c>
      <c r="J49" s="1508"/>
      <c r="K49" s="763"/>
      <c r="L49" s="1255"/>
      <c r="M49" s="1243"/>
      <c r="N49" s="1243"/>
      <c r="O49" s="1243"/>
      <c r="P49" s="3014" t="str">
        <f>A49</f>
        <v>比较价值（元/平方米）</v>
      </c>
      <c r="Q49" s="3007"/>
      <c r="R49" s="3008" t="e">
        <f>IF(E1="售价",ROUND(PRODUCT(R48,AA7:AA47),0),ROUND(PRODUCT(R48,AA7:AA47),1))</f>
        <v>#DIV/0!</v>
      </c>
      <c r="S49" s="3008"/>
      <c r="T49" s="3008" t="e">
        <f>IF(E1="售价",ROUND(PRODUCT(T48,AB7:AB47),0),ROUND(PRODUCT(T48,AB7:AB47),1))</f>
        <v>#DIV/0!</v>
      </c>
      <c r="U49" s="3008"/>
      <c r="V49" s="3008" t="e">
        <f>IF(E1="售价",ROUND(PRODUCT(V48,AC7:AC47),0),ROUND(PRODUCT(V48,AC7:AC47),1))</f>
        <v>#DIV/0!</v>
      </c>
      <c r="W49" s="3008"/>
      <c r="X49" s="738"/>
      <c r="Y49" s="738"/>
      <c r="Z49" s="738"/>
      <c r="AA49" s="738"/>
      <c r="AB49" s="738"/>
      <c r="AC49" s="738"/>
    </row>
    <row r="50" spans="1:29" ht="15.75" thickBot="1">
      <c r="A50" s="473" t="s">
        <v>2480</v>
      </c>
      <c r="B50" s="474"/>
      <c r="C50" s="1511" t="e">
        <f>R50</f>
        <v>#DIV/0!</v>
      </c>
      <c r="D50" s="1511"/>
      <c r="E50" s="1511"/>
      <c r="F50" s="1511"/>
      <c r="G50" s="1511"/>
      <c r="H50" s="1511"/>
      <c r="I50" s="1511"/>
      <c r="J50" s="1511"/>
      <c r="K50" s="764"/>
      <c r="L50" s="1255"/>
      <c r="M50" s="1243"/>
      <c r="N50" s="1243"/>
      <c r="O50" s="1243"/>
      <c r="P50" s="308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2344</v>
      </c>
      <c r="B59" s="487"/>
      <c r="C59" s="1677" t="str">
        <f>YEAR(C7)&amp;"-"&amp;MONTH(C7)</f>
        <v>2018-6</v>
      </c>
      <c r="D59" s="1678">
        <f>EDATE(C59,-1)</f>
        <v>43221</v>
      </c>
      <c r="E59" s="1678">
        <f t="shared" ref="E59:O59" si="13">EDATE(D59,-1)</f>
        <v>43191</v>
      </c>
      <c r="F59" s="1678">
        <f t="shared" si="13"/>
        <v>43160</v>
      </c>
      <c r="G59" s="1678">
        <f t="shared" si="13"/>
        <v>43132</v>
      </c>
      <c r="H59" s="1678">
        <f t="shared" si="13"/>
        <v>43101</v>
      </c>
      <c r="I59" s="1678">
        <f t="shared" si="13"/>
        <v>43070</v>
      </c>
      <c r="J59" s="1678">
        <f t="shared" si="13"/>
        <v>43040</v>
      </c>
      <c r="K59" s="1678">
        <f t="shared" si="13"/>
        <v>43009</v>
      </c>
      <c r="L59" s="1678">
        <f t="shared" si="13"/>
        <v>42979</v>
      </c>
      <c r="M59" s="1678">
        <f t="shared" si="13"/>
        <v>42948</v>
      </c>
      <c r="N59" s="1678">
        <f t="shared" si="13"/>
        <v>42917</v>
      </c>
      <c r="O59" s="1678">
        <f t="shared" si="13"/>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2385</v>
      </c>
      <c r="B64" s="509" t="s">
        <v>2350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2360</v>
      </c>
      <c r="B101" s="509" t="s">
        <v>2409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7"/>
      <c r="O102" s="1267"/>
      <c r="P102" s="22"/>
      <c r="Q102" s="485"/>
    </row>
    <row r="103" spans="1:17" ht="15.75" thickTop="1">
      <c r="A103" s="516"/>
      <c r="B103" s="521" t="s">
        <v>2410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7"/>
      <c r="O107" s="1267"/>
      <c r="P107" s="22"/>
      <c r="Q107" s="485"/>
    </row>
    <row r="108" spans="1:17" ht="15" thickTop="1">
      <c r="A108" s="583"/>
      <c r="B108" s="521" t="s">
        <v>2413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7"/>
      <c r="O109" s="1267"/>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7"/>
      <c r="O112" s="1267"/>
      <c r="P112" s="22"/>
      <c r="Q112" s="485"/>
    </row>
    <row r="113" spans="1:17" s="452" customFormat="1" ht="15" thickTop="1">
      <c r="A113" s="577"/>
      <c r="B113" s="521" t="s">
        <v>2484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8"/>
      <c r="O114" s="1268"/>
      <c r="P114" s="542"/>
      <c r="Q114" s="543"/>
    </row>
    <row r="115" spans="1:17" ht="15" thickTop="1">
      <c r="A115" s="583"/>
      <c r="B115" s="521" t="s">
        <v>2415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7"/>
      <c r="O116" s="1267"/>
      <c r="P116" s="22"/>
      <c r="Q116" s="485"/>
    </row>
    <row r="117" spans="1:17" ht="15" thickTop="1">
      <c r="A117" s="583"/>
      <c r="B117" s="521" t="s">
        <v>2416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2485</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7"/>
      <c r="O120" s="1267"/>
      <c r="P120" s="22"/>
      <c r="Q120" s="485"/>
    </row>
    <row r="121" spans="1:17" s="452" customFormat="1" ht="15" thickTop="1">
      <c r="A121" s="577"/>
      <c r="B121" s="521" t="s">
        <v>2467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7"/>
      <c r="O124" s="1267"/>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2486</v>
      </c>
      <c r="C1" s="1725"/>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1999</v>
      </c>
      <c r="B3" s="593" t="e">
        <f ca="1">ROUND(IF(D2="——",C43,IF(C2="万元",B2*10000/D3,B2/D3)),0)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3" t="s">
        <v>2348</v>
      </c>
      <c r="Q8" s="3004"/>
      <c r="R8" s="749" t="s">
        <v>25</v>
      </c>
      <c r="S8" s="750">
        <f t="shared" si="0"/>
        <v>100</v>
      </c>
      <c r="T8" s="749" t="s">
        <v>25</v>
      </c>
      <c r="U8" s="750">
        <f t="shared" si="1"/>
        <v>100</v>
      </c>
      <c r="V8" s="749" t="s">
        <v>25</v>
      </c>
      <c r="W8" s="750">
        <f t="shared" si="2"/>
        <v>100</v>
      </c>
      <c r="X8" s="751"/>
      <c r="Y8" s="3003" t="s">
        <v>2348</v>
      </c>
      <c r="Z8" s="3004"/>
      <c r="AA8" s="752">
        <f t="shared" ref="AA8:AA40" si="3">D8/F8</f>
        <v>1</v>
      </c>
      <c r="AB8" s="752">
        <f t="shared" ref="AB8:AB40" si="4">D8/H8</f>
        <v>1</v>
      </c>
      <c r="AC8" s="752">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7"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7"/>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7"/>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07"/>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2355</v>
      </c>
      <c r="B15" s="26" t="s">
        <v>2487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6" t="s">
        <v>2356</v>
      </c>
      <c r="Q15" s="1898" t="str">
        <f t="shared" si="6"/>
        <v>产业集聚程度</v>
      </c>
      <c r="R15" s="753" t="s">
        <v>25</v>
      </c>
      <c r="S15" s="754">
        <f t="shared" si="0"/>
        <v>100</v>
      </c>
      <c r="T15" s="753" t="s">
        <v>25</v>
      </c>
      <c r="U15" s="754">
        <f t="shared" si="1"/>
        <v>100</v>
      </c>
      <c r="V15" s="753" t="s">
        <v>25</v>
      </c>
      <c r="W15" s="754">
        <f t="shared" si="2"/>
        <v>100</v>
      </c>
      <c r="X15" s="1899"/>
      <c r="Y15" s="2996" t="s">
        <v>2356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97"/>
      <c r="Q16" s="1898"/>
      <c r="R16" s="753"/>
      <c r="S16" s="754"/>
      <c r="T16" s="753"/>
      <c r="U16" s="754"/>
      <c r="V16" s="753"/>
      <c r="W16" s="754"/>
      <c r="X16" s="1899"/>
      <c r="Y16" s="2997"/>
      <c r="Z16" s="1901"/>
      <c r="AA16" s="1902">
        <v>1</v>
      </c>
      <c r="AB16" s="1902">
        <v>1</v>
      </c>
      <c r="AC16" s="1902">
        <v>1</v>
      </c>
    </row>
    <row r="17" spans="1:29" ht="85.5">
      <c r="A17" s="408"/>
      <c r="B17" s="431" t="s">
        <v>1741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97"/>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2997"/>
      <c r="Q18" s="1898"/>
      <c r="R18" s="753"/>
      <c r="S18" s="754"/>
      <c r="T18" s="753"/>
      <c r="U18" s="754"/>
      <c r="V18" s="753"/>
      <c r="W18" s="754"/>
      <c r="X18" s="1899"/>
      <c r="Y18" s="2997"/>
      <c r="Z18" s="1901"/>
      <c r="AA18" s="1902">
        <v>1</v>
      </c>
      <c r="AB18" s="1902">
        <v>1</v>
      </c>
      <c r="AC18" s="1902">
        <v>1</v>
      </c>
    </row>
    <row r="19" spans="1:29" ht="42.75">
      <c r="A19" s="408"/>
      <c r="B19" s="615" t="s">
        <v>2471</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97"/>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2997"/>
      <c r="Q20" s="1898"/>
      <c r="R20" s="753"/>
      <c r="S20" s="754"/>
      <c r="T20" s="753"/>
      <c r="U20" s="754"/>
      <c r="V20" s="753"/>
      <c r="W20" s="754"/>
      <c r="X20" s="1899"/>
      <c r="Y20" s="2997"/>
      <c r="Z20" s="1901"/>
      <c r="AA20" s="1902">
        <v>1</v>
      </c>
      <c r="AB20" s="1902">
        <v>1</v>
      </c>
      <c r="AC20" s="1902">
        <v>1</v>
      </c>
    </row>
    <row r="21" spans="1:29" ht="28.5">
      <c r="A21" s="408"/>
      <c r="B21" s="617" t="s">
        <v>2472</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97"/>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51"/>
      <c r="P22" s="2997"/>
      <c r="Q22" s="1898"/>
      <c r="R22" s="753"/>
      <c r="S22" s="754"/>
      <c r="T22" s="753"/>
      <c r="U22" s="754"/>
      <c r="V22" s="753"/>
      <c r="W22" s="754"/>
      <c r="X22" s="1899"/>
      <c r="Y22" s="2997"/>
      <c r="Z22" s="1901"/>
      <c r="AA22" s="1902">
        <v>1</v>
      </c>
      <c r="AB22" s="1902">
        <v>1</v>
      </c>
      <c r="AC22" s="1902">
        <v>1</v>
      </c>
    </row>
    <row r="23" spans="1:29" ht="71.25">
      <c r="A23" s="408"/>
      <c r="B23" s="431" t="s">
        <v>2473</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97"/>
      <c r="Q23" s="1898" t="str">
        <f>B23</f>
        <v>环境质量</v>
      </c>
      <c r="R23" s="753" t="s">
        <v>25</v>
      </c>
      <c r="S23" s="754">
        <f>F23</f>
        <v>100</v>
      </c>
      <c r="T23" s="753" t="s">
        <v>25</v>
      </c>
      <c r="U23" s="754">
        <f>H23</f>
        <v>100</v>
      </c>
      <c r="V23" s="753" t="s">
        <v>25</v>
      </c>
      <c r="W23" s="754">
        <f>J23</f>
        <v>100</v>
      </c>
      <c r="X23" s="1899"/>
      <c r="Y23" s="2997"/>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2997"/>
      <c r="Q24" s="1898"/>
      <c r="R24" s="753"/>
      <c r="S24" s="754"/>
      <c r="T24" s="753"/>
      <c r="U24" s="754"/>
      <c r="V24" s="753"/>
      <c r="W24" s="754"/>
      <c r="X24" s="1899"/>
      <c r="Y24" s="2997"/>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97"/>
      <c r="Q25" s="1898">
        <f>B25</f>
        <v>111</v>
      </c>
      <c r="R25" s="753" t="s">
        <v>25</v>
      </c>
      <c r="S25" s="754">
        <f>F25</f>
        <v>100</v>
      </c>
      <c r="T25" s="753" t="s">
        <v>25</v>
      </c>
      <c r="U25" s="754">
        <f>H25</f>
        <v>100</v>
      </c>
      <c r="V25" s="753" t="s">
        <v>25</v>
      </c>
      <c r="W25" s="754">
        <f>J25</f>
        <v>100</v>
      </c>
      <c r="X25" s="1899"/>
      <c r="Y25" s="2997"/>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97"/>
      <c r="Q26" s="1898">
        <f t="shared" ref="Q26:Q40" si="8">B26</f>
        <v>111</v>
      </c>
      <c r="R26" s="753" t="s">
        <v>25</v>
      </c>
      <c r="S26" s="754">
        <f>F26</f>
        <v>100</v>
      </c>
      <c r="T26" s="753" t="s">
        <v>25</v>
      </c>
      <c r="U26" s="754">
        <f>H26</f>
        <v>100</v>
      </c>
      <c r="V26" s="753" t="s">
        <v>25</v>
      </c>
      <c r="W26" s="754">
        <f>J26</f>
        <v>100</v>
      </c>
      <c r="X26" s="1899"/>
      <c r="Y26" s="2997"/>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97"/>
      <c r="Q27" s="1886">
        <f t="shared" si="8"/>
        <v>111</v>
      </c>
      <c r="R27" s="749" t="s">
        <v>25</v>
      </c>
      <c r="S27" s="750">
        <f>F27</f>
        <v>100</v>
      </c>
      <c r="T27" s="749" t="s">
        <v>25</v>
      </c>
      <c r="U27" s="750">
        <f>H27</f>
        <v>100</v>
      </c>
      <c r="V27" s="749" t="s">
        <v>25</v>
      </c>
      <c r="W27" s="750">
        <f>J27</f>
        <v>100</v>
      </c>
      <c r="X27" s="751"/>
      <c r="Y27" s="2997"/>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97"/>
      <c r="Q28" s="1898">
        <f t="shared" si="8"/>
        <v>111</v>
      </c>
      <c r="R28" s="753" t="s">
        <v>25</v>
      </c>
      <c r="S28" s="754">
        <f t="shared" ref="S28:S40" si="9">F28</f>
        <v>100</v>
      </c>
      <c r="T28" s="753" t="s">
        <v>25</v>
      </c>
      <c r="U28" s="754">
        <f t="shared" ref="U28:U40" si="10">H28</f>
        <v>100</v>
      </c>
      <c r="V28" s="753" t="s">
        <v>25</v>
      </c>
      <c r="W28" s="754">
        <f t="shared" ref="W28:W40" si="11">J28</f>
        <v>100</v>
      </c>
      <c r="X28" s="1899"/>
      <c r="Y28" s="2997"/>
      <c r="Z28" s="1901">
        <f t="shared" ref="Z28:Z40" si="12">Q28</f>
        <v>111</v>
      </c>
      <c r="AA28" s="1902">
        <f t="shared" si="3"/>
        <v>1</v>
      </c>
      <c r="AB28" s="1902">
        <f t="shared" si="4"/>
        <v>1</v>
      </c>
      <c r="AC28" s="1902">
        <f t="shared" si="5"/>
        <v>1</v>
      </c>
    </row>
    <row r="29" spans="1:29" ht="15">
      <c r="A29" s="447" t="s">
        <v>2360</v>
      </c>
      <c r="B29" s="28" t="s">
        <v>2476</v>
      </c>
      <c r="C29" s="2470" t="s">
        <v>2488</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83" t="s">
        <v>2362</v>
      </c>
      <c r="Q29" s="1898" t="str">
        <f t="shared" si="8"/>
        <v>建筑类型</v>
      </c>
      <c r="R29" s="753" t="s">
        <v>25</v>
      </c>
      <c r="S29" s="754">
        <f t="shared" si="9"/>
        <v>100</v>
      </c>
      <c r="T29" s="753" t="s">
        <v>25</v>
      </c>
      <c r="U29" s="754">
        <f t="shared" si="10"/>
        <v>100</v>
      </c>
      <c r="V29" s="753" t="s">
        <v>25</v>
      </c>
      <c r="W29" s="754">
        <f t="shared" si="11"/>
        <v>100</v>
      </c>
      <c r="X29" s="1899"/>
      <c r="Y29" s="3001" t="s">
        <v>2362</v>
      </c>
      <c r="Z29" s="1901" t="str">
        <f t="shared" si="12"/>
        <v>建筑类型</v>
      </c>
      <c r="AA29" s="1902">
        <f t="shared" si="3"/>
        <v>1</v>
      </c>
      <c r="AB29" s="1902">
        <f t="shared" si="4"/>
        <v>1</v>
      </c>
      <c r="AC29" s="1902">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1"/>
      <c r="Q30" s="755" t="str">
        <f t="shared" si="8"/>
        <v>项目建筑规模</v>
      </c>
      <c r="R30" s="756" t="s">
        <v>25</v>
      </c>
      <c r="S30" s="757" t="e">
        <f t="shared" si="9"/>
        <v>#N/A</v>
      </c>
      <c r="T30" s="756" t="s">
        <v>25</v>
      </c>
      <c r="U30" s="757" t="e">
        <f t="shared" si="10"/>
        <v>#N/A</v>
      </c>
      <c r="V30" s="756" t="s">
        <v>25</v>
      </c>
      <c r="W30" s="757" t="e">
        <f t="shared" si="11"/>
        <v>#N/A</v>
      </c>
      <c r="X30" s="758"/>
      <c r="Y30" s="3001"/>
      <c r="Z30" s="759" t="str">
        <f t="shared" si="12"/>
        <v>项目建筑规模</v>
      </c>
      <c r="AA30" s="1902" t="e">
        <f t="shared" si="3"/>
        <v>#N/A</v>
      </c>
      <c r="AB30" s="1902" t="e">
        <f t="shared" si="4"/>
        <v>#N/A</v>
      </c>
      <c r="AC30" s="1902"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1"/>
      <c r="Q31" s="1898" t="str">
        <f t="shared" si="8"/>
        <v>建筑结构</v>
      </c>
      <c r="R31" s="753" t="s">
        <v>25</v>
      </c>
      <c r="S31" s="754">
        <f t="shared" si="9"/>
        <v>100</v>
      </c>
      <c r="T31" s="753" t="s">
        <v>25</v>
      </c>
      <c r="U31" s="754">
        <f t="shared" si="10"/>
        <v>100</v>
      </c>
      <c r="V31" s="753" t="s">
        <v>25</v>
      </c>
      <c r="W31" s="754">
        <f t="shared" si="11"/>
        <v>100</v>
      </c>
      <c r="X31" s="1899"/>
      <c r="Y31" s="3001"/>
      <c r="Z31" s="1901" t="str">
        <f t="shared" si="12"/>
        <v>建筑结构</v>
      </c>
      <c r="AA31" s="1902">
        <f t="shared" si="3"/>
        <v>1</v>
      </c>
      <c r="AB31" s="1902">
        <f t="shared" si="4"/>
        <v>1</v>
      </c>
      <c r="AC31" s="1902">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1"/>
      <c r="Q32" s="1898" t="str">
        <f t="shared" si="8"/>
        <v>公共部分装修</v>
      </c>
      <c r="R32" s="753" t="s">
        <v>25</v>
      </c>
      <c r="S32" s="754">
        <f t="shared" si="9"/>
        <v>100</v>
      </c>
      <c r="T32" s="753" t="s">
        <v>25</v>
      </c>
      <c r="U32" s="754">
        <f t="shared" si="10"/>
        <v>100</v>
      </c>
      <c r="V32" s="753" t="s">
        <v>25</v>
      </c>
      <c r="W32" s="754">
        <f t="shared" si="11"/>
        <v>100</v>
      </c>
      <c r="X32" s="1899"/>
      <c r="Y32" s="3001"/>
      <c r="Z32" s="1901" t="str">
        <f t="shared" si="12"/>
        <v>公共部分装修</v>
      </c>
      <c r="AA32" s="1902">
        <f t="shared" si="3"/>
        <v>1</v>
      </c>
      <c r="AB32" s="1902">
        <f t="shared" si="4"/>
        <v>1</v>
      </c>
      <c r="AC32" s="1902">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1"/>
      <c r="Q33" s="1898" t="str">
        <f t="shared" si="8"/>
        <v>成新度</v>
      </c>
      <c r="R33" s="753" t="s">
        <v>25</v>
      </c>
      <c r="S33" s="754" t="e">
        <f t="shared" si="9"/>
        <v>#N/A</v>
      </c>
      <c r="T33" s="753" t="s">
        <v>25</v>
      </c>
      <c r="U33" s="754" t="e">
        <f t="shared" si="10"/>
        <v>#N/A</v>
      </c>
      <c r="V33" s="753" t="s">
        <v>25</v>
      </c>
      <c r="W33" s="754" t="e">
        <f t="shared" si="11"/>
        <v>#N/A</v>
      </c>
      <c r="X33" s="1899"/>
      <c r="Y33" s="3001"/>
      <c r="Z33" s="1901" t="str">
        <f t="shared" si="12"/>
        <v>成新度</v>
      </c>
      <c r="AA33" s="1902" t="e">
        <f t="shared" si="3"/>
        <v>#N/A</v>
      </c>
      <c r="AB33" s="1902" t="e">
        <f t="shared" si="4"/>
        <v>#N/A</v>
      </c>
      <c r="AC33" s="1902"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1"/>
      <c r="Q34" s="1886" t="str">
        <f t="shared" si="8"/>
        <v>物业管理</v>
      </c>
      <c r="R34" s="749" t="s">
        <v>25</v>
      </c>
      <c r="S34" s="750">
        <f t="shared" si="9"/>
        <v>100</v>
      </c>
      <c r="T34" s="749" t="s">
        <v>25</v>
      </c>
      <c r="U34" s="750">
        <f t="shared" si="10"/>
        <v>100</v>
      </c>
      <c r="V34" s="749" t="s">
        <v>25</v>
      </c>
      <c r="W34" s="750">
        <f t="shared" si="11"/>
        <v>100</v>
      </c>
      <c r="X34" s="751"/>
      <c r="Y34" s="3001"/>
      <c r="Z34" s="23" t="str">
        <f t="shared" si="12"/>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1" t="s">
        <v>2362</v>
      </c>
      <c r="Q35" s="1898" t="str">
        <f t="shared" si="8"/>
        <v>市政基础设施</v>
      </c>
      <c r="R35" s="753" t="s">
        <v>25</v>
      </c>
      <c r="S35" s="754">
        <f t="shared" si="9"/>
        <v>100</v>
      </c>
      <c r="T35" s="753" t="s">
        <v>25</v>
      </c>
      <c r="U35" s="754">
        <f t="shared" si="10"/>
        <v>100</v>
      </c>
      <c r="V35" s="753" t="s">
        <v>25</v>
      </c>
      <c r="W35" s="754">
        <f t="shared" si="11"/>
        <v>100</v>
      </c>
      <c r="X35" s="1899"/>
      <c r="Y35" s="3001" t="s">
        <v>2362</v>
      </c>
      <c r="Z35" s="1901" t="str">
        <f t="shared" si="12"/>
        <v>市政基础设施</v>
      </c>
      <c r="AA35" s="1902">
        <f t="shared" si="3"/>
        <v>1</v>
      </c>
      <c r="AB35" s="1902">
        <f t="shared" si="4"/>
        <v>1</v>
      </c>
      <c r="AC35" s="1902">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1"/>
      <c r="Q36" s="1898" t="str">
        <f t="shared" si="8"/>
        <v>内部装修</v>
      </c>
      <c r="R36" s="753" t="s">
        <v>25</v>
      </c>
      <c r="S36" s="754">
        <f t="shared" si="9"/>
        <v>100</v>
      </c>
      <c r="T36" s="753" t="s">
        <v>25</v>
      </c>
      <c r="U36" s="754">
        <f t="shared" si="10"/>
        <v>100</v>
      </c>
      <c r="V36" s="753" t="s">
        <v>25</v>
      </c>
      <c r="W36" s="754">
        <f t="shared" si="11"/>
        <v>100</v>
      </c>
      <c r="X36" s="1899"/>
      <c r="Y36" s="3001"/>
      <c r="Z36" s="1901" t="str">
        <f t="shared" si="12"/>
        <v>内部装修</v>
      </c>
      <c r="AA36" s="1902">
        <f t="shared" si="3"/>
        <v>1</v>
      </c>
      <c r="AB36" s="1902">
        <f t="shared" si="4"/>
        <v>1</v>
      </c>
      <c r="AC36" s="1902">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1"/>
      <c r="Q37" s="1898" t="str">
        <f t="shared" si="8"/>
        <v>内部装修状况</v>
      </c>
      <c r="R37" s="753" t="s">
        <v>25</v>
      </c>
      <c r="S37" s="754">
        <f t="shared" si="9"/>
        <v>0</v>
      </c>
      <c r="T37" s="753" t="s">
        <v>25</v>
      </c>
      <c r="U37" s="754">
        <f t="shared" si="10"/>
        <v>0</v>
      </c>
      <c r="V37" s="753" t="s">
        <v>25</v>
      </c>
      <c r="W37" s="754">
        <f t="shared" si="11"/>
        <v>0</v>
      </c>
      <c r="X37" s="1899"/>
      <c r="Y37" s="3001"/>
      <c r="Z37" s="1901" t="str">
        <f t="shared" si="12"/>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1"/>
      <c r="Q38" s="755">
        <f t="shared" si="8"/>
        <v>111</v>
      </c>
      <c r="R38" s="756" t="s">
        <v>25</v>
      </c>
      <c r="S38" s="757">
        <f t="shared" si="9"/>
        <v>100</v>
      </c>
      <c r="T38" s="756" t="s">
        <v>25</v>
      </c>
      <c r="U38" s="757">
        <f t="shared" si="10"/>
        <v>100</v>
      </c>
      <c r="V38" s="756" t="s">
        <v>25</v>
      </c>
      <c r="W38" s="757">
        <f t="shared" si="11"/>
        <v>100</v>
      </c>
      <c r="X38" s="758"/>
      <c r="Y38" s="3001"/>
      <c r="Z38" s="759">
        <f t="shared" si="12"/>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1"/>
      <c r="Q39" s="1898">
        <f t="shared" si="8"/>
        <v>111</v>
      </c>
      <c r="R39" s="753" t="s">
        <v>25</v>
      </c>
      <c r="S39" s="754">
        <f t="shared" si="9"/>
        <v>100</v>
      </c>
      <c r="T39" s="753" t="s">
        <v>25</v>
      </c>
      <c r="U39" s="754">
        <f t="shared" si="10"/>
        <v>100</v>
      </c>
      <c r="V39" s="753" t="s">
        <v>25</v>
      </c>
      <c r="W39" s="754">
        <f t="shared" si="11"/>
        <v>100</v>
      </c>
      <c r="X39" s="1899"/>
      <c r="Y39" s="3001"/>
      <c r="Z39" s="1901">
        <f t="shared" si="12"/>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2"/>
      <c r="Q40" s="1898">
        <f t="shared" si="8"/>
        <v>111</v>
      </c>
      <c r="R40" s="753" t="s">
        <v>25</v>
      </c>
      <c r="S40" s="754">
        <f t="shared" si="9"/>
        <v>100</v>
      </c>
      <c r="T40" s="753" t="s">
        <v>25</v>
      </c>
      <c r="U40" s="754">
        <f t="shared" si="10"/>
        <v>100</v>
      </c>
      <c r="V40" s="753" t="s">
        <v>25</v>
      </c>
      <c r="W40" s="754">
        <f t="shared" si="11"/>
        <v>100</v>
      </c>
      <c r="X40" s="1899"/>
      <c r="Y40" s="3002"/>
      <c r="Z40" s="1901">
        <f t="shared" si="12"/>
        <v>111</v>
      </c>
      <c r="AA40" s="1902">
        <f t="shared" si="3"/>
        <v>1</v>
      </c>
      <c r="AB40" s="1902">
        <f t="shared" si="4"/>
        <v>1</v>
      </c>
      <c r="AC40" s="1902">
        <f t="shared" si="5"/>
        <v>1</v>
      </c>
    </row>
    <row r="41" spans="1:29" ht="15">
      <c r="A41" s="460" t="s">
        <v>2374</v>
      </c>
      <c r="B41" s="461"/>
      <c r="C41" s="1501" t="s">
        <v>1</v>
      </c>
      <c r="D41" s="1502"/>
      <c r="E41" s="1503"/>
      <c r="F41" s="1504"/>
      <c r="G41" s="1505"/>
      <c r="H41" s="1506"/>
      <c r="I41" s="1503"/>
      <c r="J41" s="1506"/>
      <c r="K41" s="762"/>
      <c r="L41" s="1255"/>
      <c r="M41" s="1256"/>
      <c r="N41" s="1243"/>
      <c r="O41" s="1256"/>
      <c r="P41" s="3007" t="str">
        <f>A41</f>
        <v>成交单价（元/平方米）</v>
      </c>
      <c r="Q41" s="3007"/>
      <c r="R41" s="3008">
        <f>E41</f>
        <v>0</v>
      </c>
      <c r="S41" s="3008"/>
      <c r="T41" s="3008">
        <f>G41</f>
        <v>0</v>
      </c>
      <c r="U41" s="3008"/>
      <c r="V41" s="3008">
        <f>I41</f>
        <v>0</v>
      </c>
      <c r="W41" s="3008"/>
      <c r="X41" s="738"/>
      <c r="Y41" s="760"/>
      <c r="Z41" s="738"/>
      <c r="AA41" s="738"/>
      <c r="AB41" s="738"/>
      <c r="AC41" s="738"/>
    </row>
    <row r="42" spans="1:29" ht="15.75" thickBot="1">
      <c r="A42" s="467" t="s">
        <v>2457</v>
      </c>
      <c r="B42" s="468"/>
      <c r="C42" s="1507" t="e">
        <f>R43</f>
        <v>#DIV/0!</v>
      </c>
      <c r="D42" s="1508"/>
      <c r="E42" s="1509" t="e">
        <f>R42</f>
        <v>#DIV/0!</v>
      </c>
      <c r="F42" s="1509"/>
      <c r="G42" s="1507" t="e">
        <f>T42</f>
        <v>#DIV/0!</v>
      </c>
      <c r="H42" s="1508"/>
      <c r="I42" s="1509" t="e">
        <f>V42</f>
        <v>#DIV/0!</v>
      </c>
      <c r="J42" s="1508"/>
      <c r="K42" s="763"/>
      <c r="L42" s="1255"/>
      <c r="M42" s="1256"/>
      <c r="N42" s="1243"/>
      <c r="O42" s="1256"/>
      <c r="P42" s="3007" t="str">
        <f>A42</f>
        <v>比较价值（元/平方米）</v>
      </c>
      <c r="Q42" s="3007"/>
      <c r="R42" s="3008" t="e">
        <f>IF(E1="售价",ROUND(PRODUCT(R41,AA7:AA40),0),ROUND(PRODUCT(R41,AA7:AA40),1))</f>
        <v>#DIV/0!</v>
      </c>
      <c r="S42" s="3008"/>
      <c r="T42" s="3008" t="e">
        <f>IF(E1="售价",ROUND(PRODUCT(T41,AB7:AB40),0),ROUND(PRODUCT(T41,AB7:AB40),1))</f>
        <v>#DIV/0!</v>
      </c>
      <c r="U42" s="3008"/>
      <c r="V42" s="3008" t="e">
        <f>IF(E1="售价",ROUND(PRODUCT(V41,AC7:AC40),0),ROUND(PRODUCT(V41,AC7:AC40),1))</f>
        <v>#DIV/0!</v>
      </c>
      <c r="W42" s="3008"/>
      <c r="X42" s="738"/>
      <c r="Y42" s="738"/>
      <c r="Z42" s="738"/>
      <c r="AA42" s="738"/>
      <c r="AB42" s="738"/>
      <c r="AC42" s="738"/>
    </row>
    <row r="43" spans="1:29" ht="15.75" thickBot="1">
      <c r="A43" s="473" t="s">
        <v>2480</v>
      </c>
      <c r="B43" s="474"/>
      <c r="C43" s="1511" t="e">
        <f>R43</f>
        <v>#DIV/0!</v>
      </c>
      <c r="D43" s="1511"/>
      <c r="E43" s="1511"/>
      <c r="F43" s="1511"/>
      <c r="G43" s="1511"/>
      <c r="H43" s="1511"/>
      <c r="I43" s="1511"/>
      <c r="J43" s="1511"/>
      <c r="K43" s="764"/>
      <c r="L43" s="1255"/>
      <c r="M43" s="1256"/>
      <c r="N43" s="1256"/>
      <c r="O43" s="1256"/>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2344</v>
      </c>
      <c r="B52" s="487"/>
      <c r="C52" s="1677" t="str">
        <f>YEAR(C7)&amp;"-"&amp;MONTH(C7)</f>
        <v>2018-6</v>
      </c>
      <c r="D52" s="1678">
        <f>EDATE(C52,-1)</f>
        <v>43221</v>
      </c>
      <c r="E52" s="1679">
        <f t="shared" ref="E52:O52" si="13">EDATE(D52,-1)</f>
        <v>43191</v>
      </c>
      <c r="F52" s="1679">
        <f t="shared" si="13"/>
        <v>43160</v>
      </c>
      <c r="G52" s="1679">
        <f t="shared" si="13"/>
        <v>43132</v>
      </c>
      <c r="H52" s="1679">
        <f t="shared" si="13"/>
        <v>43101</v>
      </c>
      <c r="I52" s="1679">
        <f t="shared" si="13"/>
        <v>43070</v>
      </c>
      <c r="J52" s="1679">
        <f t="shared" si="13"/>
        <v>43040</v>
      </c>
      <c r="K52" s="1679">
        <f t="shared" si="13"/>
        <v>43009</v>
      </c>
      <c r="L52" s="1679">
        <f t="shared" si="13"/>
        <v>42979</v>
      </c>
      <c r="M52" s="1679">
        <f t="shared" si="13"/>
        <v>42948</v>
      </c>
      <c r="N52" s="1679">
        <f t="shared" si="13"/>
        <v>42917</v>
      </c>
      <c r="O52" s="1679">
        <f t="shared" si="13"/>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2385</v>
      </c>
      <c r="B57" s="509" t="s">
        <v>2350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2360</v>
      </c>
      <c r="B88" s="509" t="s">
        <v>2409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7"/>
      <c r="O89" s="1267"/>
      <c r="P89" s="22"/>
      <c r="Q89" s="485"/>
    </row>
    <row r="90" spans="1:17" ht="15.75" thickTop="1">
      <c r="A90" s="516"/>
      <c r="B90" s="521" t="s">
        <v>2410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7"/>
      <c r="O94" s="1267"/>
      <c r="P94" s="22"/>
      <c r="Q94" s="485"/>
    </row>
    <row r="95" spans="1:17" ht="15" thickTop="1">
      <c r="A95" s="583"/>
      <c r="B95" s="521" t="s">
        <v>2413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7"/>
      <c r="O96" s="1267"/>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7"/>
      <c r="O99" s="1267"/>
      <c r="P99" s="22"/>
      <c r="Q99" s="485"/>
    </row>
    <row r="100" spans="1:17" s="452" customFormat="1" ht="15" thickTop="1">
      <c r="A100" s="577"/>
      <c r="B100" s="521" t="s">
        <v>2415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8"/>
      <c r="O101" s="1268"/>
      <c r="P101" s="542"/>
      <c r="Q101" s="543"/>
    </row>
    <row r="102" spans="1:17" ht="15" thickTop="1">
      <c r="A102" s="583"/>
      <c r="B102" s="521" t="s">
        <v>2416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7"/>
      <c r="O103" s="1267"/>
      <c r="P103" s="22"/>
      <c r="Q103" s="485"/>
    </row>
    <row r="104" spans="1:17" ht="15" thickTop="1">
      <c r="A104" s="583"/>
      <c r="B104" s="521" t="s">
        <v>2418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7"/>
      <c r="O106" s="1267"/>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29"/>
      <c r="E1" s="2380"/>
      <c r="F1" s="1730" t="s">
        <v>2329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1999</v>
      </c>
      <c r="B3" s="593" t="e">
        <f>IF(AND(D2="——",B37="元/平方米"),C39,ROUND(F3*C39/D3,0))</f>
        <v>#DIV/0!</v>
      </c>
      <c r="C3" s="379" t="s">
        <v>2330</v>
      </c>
      <c r="D3" s="378">
        <f>IF(C1="仅计算典型户型",'数据-取费表'!E5,'数据-取费表'!B5)</f>
        <v>178.24</v>
      </c>
      <c r="E3" s="1091" t="s">
        <v>2498</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513"/>
      <c r="M4" s="425"/>
      <c r="N4" s="425"/>
      <c r="O4" s="425"/>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513"/>
      <c r="M5" s="425"/>
      <c r="N5" s="425"/>
      <c r="O5" s="425"/>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513"/>
      <c r="M6" s="425"/>
      <c r="N6" s="425"/>
      <c r="O6" s="425"/>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3" t="s">
        <v>2345</v>
      </c>
      <c r="Q7" s="3005"/>
      <c r="R7" s="749" t="s">
        <v>25</v>
      </c>
      <c r="S7" s="750">
        <f t="shared" ref="S7:S14" si="0">F7</f>
        <v>0</v>
      </c>
      <c r="T7" s="749" t="s">
        <v>25</v>
      </c>
      <c r="U7" s="750">
        <f t="shared" ref="U7:U14" si="1">H7</f>
        <v>0</v>
      </c>
      <c r="V7" s="749" t="s">
        <v>25</v>
      </c>
      <c r="W7" s="750">
        <f t="shared" ref="W7:W14"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3" t="s">
        <v>2348</v>
      </c>
      <c r="Q8" s="3004"/>
      <c r="R8" s="749" t="s">
        <v>25</v>
      </c>
      <c r="S8" s="750">
        <f t="shared" si="0"/>
        <v>0</v>
      </c>
      <c r="T8" s="749" t="s">
        <v>25</v>
      </c>
      <c r="U8" s="750">
        <f t="shared" si="1"/>
        <v>0</v>
      </c>
      <c r="V8" s="749" t="s">
        <v>25</v>
      </c>
      <c r="W8" s="750">
        <f t="shared" si="2"/>
        <v>0</v>
      </c>
      <c r="X8" s="751"/>
      <c r="Y8" s="3003" t="s">
        <v>2348</v>
      </c>
      <c r="Z8" s="3004"/>
      <c r="AA8" s="752" t="e">
        <f t="shared" ref="AA8:AA36" si="3">D8/F8</f>
        <v>#DIV/0!</v>
      </c>
      <c r="AB8" s="752" t="e">
        <f t="shared" ref="AB8:AB36" si="4">D8/H8</f>
        <v>#DIV/0!</v>
      </c>
      <c r="AC8" s="752"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7" t="s">
        <v>2351</v>
      </c>
      <c r="Q9" s="1886" t="str">
        <f t="shared" ref="Q9:Q14" si="6">B9</f>
        <v>用途</v>
      </c>
      <c r="R9" s="749" t="s">
        <v>25</v>
      </c>
      <c r="S9" s="750">
        <f t="shared" si="0"/>
        <v>100</v>
      </c>
      <c r="T9" s="749" t="s">
        <v>25</v>
      </c>
      <c r="U9" s="750">
        <f t="shared" si="1"/>
        <v>100</v>
      </c>
      <c r="V9" s="749" t="s">
        <v>25</v>
      </c>
      <c r="W9" s="750">
        <f t="shared" si="2"/>
        <v>100</v>
      </c>
      <c r="X9" s="751"/>
      <c r="Y9" s="2855" t="s">
        <v>2352</v>
      </c>
      <c r="Z9" s="23" t="str">
        <f t="shared" ref="Z9:Z14" si="7">Q9</f>
        <v>用途</v>
      </c>
      <c r="AA9" s="752">
        <f t="shared" si="3"/>
        <v>1</v>
      </c>
      <c r="AB9" s="752">
        <f t="shared" si="4"/>
        <v>1</v>
      </c>
      <c r="AC9" s="752">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7"/>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07"/>
      <c r="Q11" s="1886">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14">
      <c r="A14" s="380" t="s">
        <v>2355</v>
      </c>
      <c r="B14" s="613" t="s">
        <v>2499</v>
      </c>
      <c r="C14" s="1479" t="str">
        <f>IF(B1="工业",估价对象房地状况!G4,估价对象房地状况!C6)</f>
        <v>估价对象紧邻城市快速——北二环路，公共交通通达情况较好，有停车便捷程度一般，综合评价交通便捷度较好。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96" t="s">
        <v>2356</v>
      </c>
      <c r="Q14" s="1898" t="str">
        <f t="shared" si="6"/>
        <v>交通便捷度</v>
      </c>
      <c r="R14" s="753" t="s">
        <v>25</v>
      </c>
      <c r="S14" s="754">
        <f t="shared" si="0"/>
        <v>100</v>
      </c>
      <c r="T14" s="753" t="s">
        <v>25</v>
      </c>
      <c r="U14" s="754">
        <f t="shared" si="1"/>
        <v>100</v>
      </c>
      <c r="V14" s="753" t="s">
        <v>25</v>
      </c>
      <c r="W14" s="754">
        <f t="shared" si="2"/>
        <v>100</v>
      </c>
      <c r="X14" s="1899"/>
      <c r="Y14" s="2996" t="s">
        <v>2356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97"/>
      <c r="Q15" s="1898"/>
      <c r="R15" s="753"/>
      <c r="S15" s="754"/>
      <c r="T15" s="753"/>
      <c r="U15" s="754"/>
      <c r="V15" s="753"/>
      <c r="W15" s="754"/>
      <c r="X15" s="1899"/>
      <c r="Y15" s="2997"/>
      <c r="Z15" s="1901"/>
      <c r="AA15" s="1902">
        <v>1</v>
      </c>
      <c r="AB15" s="1902">
        <v>1</v>
      </c>
      <c r="AC15" s="1902">
        <v>1</v>
      </c>
    </row>
    <row r="16" spans="1:29" ht="228">
      <c r="A16" s="383"/>
      <c r="B16" s="615" t="s">
        <v>2471</v>
      </c>
      <c r="C16" s="148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97"/>
      <c r="Q16" s="1898" t="str">
        <f>B16</f>
        <v>公共配套设施</v>
      </c>
      <c r="R16" s="753" t="s">
        <v>25</v>
      </c>
      <c r="S16" s="754">
        <f>F16</f>
        <v>100</v>
      </c>
      <c r="T16" s="753" t="s">
        <v>25</v>
      </c>
      <c r="U16" s="754">
        <f>H16</f>
        <v>100</v>
      </c>
      <c r="V16" s="753" t="s">
        <v>25</v>
      </c>
      <c r="W16" s="754">
        <f>J16</f>
        <v>100</v>
      </c>
      <c r="X16" s="1899"/>
      <c r="Y16" s="2997"/>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97"/>
      <c r="Q17" s="1898"/>
      <c r="R17" s="753"/>
      <c r="S17" s="754"/>
      <c r="T17" s="753"/>
      <c r="U17" s="754"/>
      <c r="V17" s="753"/>
      <c r="W17" s="754"/>
      <c r="X17" s="1899"/>
      <c r="Y17" s="2997"/>
      <c r="Z17" s="1901"/>
      <c r="AA17" s="1902">
        <v>1</v>
      </c>
      <c r="AB17" s="1902">
        <v>1</v>
      </c>
      <c r="AC17" s="1902">
        <v>1</v>
      </c>
    </row>
    <row r="18" spans="1:29" ht="42.75">
      <c r="A18" s="383"/>
      <c r="B18" s="617" t="s">
        <v>2472</v>
      </c>
      <c r="C18" s="1481" t="str">
        <f>IF(B1="工业",估价对象房地状况!G6,估价对象房地状况!C8)</f>
        <v>估价对象所在区域基础设施水平达到“七通”。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97"/>
      <c r="Q18" s="1898" t="str">
        <f>B18</f>
        <v>基础设施水平</v>
      </c>
      <c r="R18" s="753" t="s">
        <v>25</v>
      </c>
      <c r="S18" s="754">
        <f>F18</f>
        <v>100</v>
      </c>
      <c r="T18" s="753" t="s">
        <v>25</v>
      </c>
      <c r="U18" s="754">
        <f>H18</f>
        <v>100</v>
      </c>
      <c r="V18" s="753" t="s">
        <v>25</v>
      </c>
      <c r="W18" s="754">
        <f>J18</f>
        <v>100</v>
      </c>
      <c r="X18" s="1899"/>
      <c r="Y18" s="2997"/>
      <c r="Z18" s="1901" t="str">
        <f>Q18</f>
        <v>基础设施水平</v>
      </c>
      <c r="AA18" s="1902">
        <f>D18/F18</f>
        <v>1</v>
      </c>
      <c r="AB18" s="1902">
        <f>D18/H18</f>
        <v>1</v>
      </c>
      <c r="AC18" s="1902">
        <f>D18/J18</f>
        <v>1</v>
      </c>
    </row>
    <row r="19" spans="1:29" ht="15">
      <c r="A19" s="383"/>
      <c r="B19" s="617"/>
      <c r="C19" s="1470"/>
      <c r="D19" s="1475"/>
      <c r="E19" s="1467"/>
      <c r="F19" s="430"/>
      <c r="G19" s="1467"/>
      <c r="H19" s="427"/>
      <c r="I19" s="428"/>
      <c r="J19" s="427"/>
      <c r="K19" s="1468"/>
      <c r="L19" s="1521"/>
      <c r="M19" s="425"/>
      <c r="N19" s="425"/>
      <c r="O19" s="1900"/>
      <c r="P19" s="2997"/>
      <c r="Q19" s="1898"/>
      <c r="R19" s="753"/>
      <c r="S19" s="754"/>
      <c r="T19" s="753"/>
      <c r="U19" s="754"/>
      <c r="V19" s="753"/>
      <c r="W19" s="754"/>
      <c r="X19" s="1899"/>
      <c r="Y19" s="2997"/>
      <c r="Z19" s="1901"/>
      <c r="AA19" s="1902">
        <v>1</v>
      </c>
      <c r="AB19" s="1902">
        <v>1</v>
      </c>
      <c r="AC19" s="1902">
        <v>1</v>
      </c>
    </row>
    <row r="20" spans="1:29" ht="85.5">
      <c r="A20" s="383"/>
      <c r="B20" s="615" t="s">
        <v>2500</v>
      </c>
      <c r="C20" s="1481" t="str">
        <f>IF(B1="工业",估价对象房地状况!G7,估价对象房地状况!C9)</f>
        <v>区域自然环境：怡心园；人文环境：西城经济科学大学；综合评价环境状况较好。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97"/>
      <c r="Q20" s="1898" t="str">
        <f>B20</f>
        <v>自然及人文环境</v>
      </c>
      <c r="R20" s="753" t="s">
        <v>25</v>
      </c>
      <c r="S20" s="754">
        <f>F20</f>
        <v>100</v>
      </c>
      <c r="T20" s="753" t="s">
        <v>25</v>
      </c>
      <c r="U20" s="754">
        <f>H20</f>
        <v>100</v>
      </c>
      <c r="V20" s="753" t="s">
        <v>25</v>
      </c>
      <c r="W20" s="754">
        <f>J20</f>
        <v>100</v>
      </c>
      <c r="X20" s="1899"/>
      <c r="Y20" s="2997"/>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97"/>
      <c r="Q21" s="1898"/>
      <c r="R21" s="753"/>
      <c r="S21" s="754"/>
      <c r="T21" s="753"/>
      <c r="U21" s="754"/>
      <c r="V21" s="753"/>
      <c r="W21" s="754"/>
      <c r="X21" s="1899"/>
      <c r="Y21" s="2997"/>
      <c r="Z21" s="1901"/>
      <c r="AA21" s="1902">
        <v>1</v>
      </c>
      <c r="AB21" s="1902">
        <v>1</v>
      </c>
      <c r="AC21" s="1902">
        <v>1</v>
      </c>
    </row>
    <row r="22" spans="1:29" ht="15">
      <c r="A22" s="383"/>
      <c r="B22" s="615" t="s">
        <v>2501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97"/>
      <c r="Q22" s="1898" t="str">
        <f>B22</f>
        <v>楼层</v>
      </c>
      <c r="R22" s="753" t="s">
        <v>25</v>
      </c>
      <c r="S22" s="754">
        <f>F22</f>
        <v>100</v>
      </c>
      <c r="T22" s="753" t="s">
        <v>25</v>
      </c>
      <c r="U22" s="754">
        <f>H22</f>
        <v>100</v>
      </c>
      <c r="V22" s="753" t="s">
        <v>25</v>
      </c>
      <c r="W22" s="754">
        <f>J22</f>
        <v>100</v>
      </c>
      <c r="X22" s="1899"/>
      <c r="Y22" s="2997"/>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97"/>
      <c r="Q23" s="1898">
        <f>B23</f>
        <v>111</v>
      </c>
      <c r="R23" s="753" t="s">
        <v>25</v>
      </c>
      <c r="S23" s="754">
        <f>F23</f>
        <v>100</v>
      </c>
      <c r="T23" s="753" t="s">
        <v>25</v>
      </c>
      <c r="U23" s="754">
        <f>H23</f>
        <v>100</v>
      </c>
      <c r="V23" s="753" t="s">
        <v>25</v>
      </c>
      <c r="W23" s="754">
        <f>J23</f>
        <v>100</v>
      </c>
      <c r="X23" s="1899"/>
      <c r="Y23" s="2997"/>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97"/>
      <c r="Q24" s="1898">
        <f t="shared" ref="Q24:Q36" si="8">B24</f>
        <v>111</v>
      </c>
      <c r="R24" s="753" t="s">
        <v>25</v>
      </c>
      <c r="S24" s="754">
        <f>F24</f>
        <v>100</v>
      </c>
      <c r="T24" s="753" t="s">
        <v>25</v>
      </c>
      <c r="U24" s="754">
        <f>H24</f>
        <v>100</v>
      </c>
      <c r="V24" s="753" t="s">
        <v>25</v>
      </c>
      <c r="W24" s="754">
        <f>J24</f>
        <v>100</v>
      </c>
      <c r="X24" s="1899"/>
      <c r="Y24" s="2997"/>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97"/>
      <c r="Q25" s="1886">
        <f t="shared" si="8"/>
        <v>111</v>
      </c>
      <c r="R25" s="749" t="s">
        <v>25</v>
      </c>
      <c r="S25" s="750">
        <f>F25</f>
        <v>100</v>
      </c>
      <c r="T25" s="749" t="s">
        <v>25</v>
      </c>
      <c r="U25" s="750">
        <f>H25</f>
        <v>100</v>
      </c>
      <c r="V25" s="749" t="s">
        <v>25</v>
      </c>
      <c r="W25" s="750">
        <f>J25</f>
        <v>100</v>
      </c>
      <c r="X25" s="751"/>
      <c r="Y25" s="2997"/>
      <c r="Z25" s="23">
        <f>Q25</f>
        <v>111</v>
      </c>
      <c r="AA25" s="1902">
        <f>D25/F25</f>
        <v>1</v>
      </c>
      <c r="AB25" s="1902">
        <f>D25/H25</f>
        <v>1</v>
      </c>
      <c r="AC25" s="1902">
        <f>D25/J25</f>
        <v>1</v>
      </c>
    </row>
    <row r="26" spans="1:29" ht="15">
      <c r="A26" s="635" t="s">
        <v>2360</v>
      </c>
      <c r="B26" s="27" t="s">
        <v>2502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3" t="s">
        <v>2362</v>
      </c>
      <c r="Q26" s="1898" t="str">
        <f t="shared" si="8"/>
        <v>配套类型</v>
      </c>
      <c r="R26" s="753" t="s">
        <v>25</v>
      </c>
      <c r="S26" s="754">
        <f t="shared" ref="S26:S36" si="9">F26</f>
        <v>100</v>
      </c>
      <c r="T26" s="753" t="s">
        <v>25</v>
      </c>
      <c r="U26" s="754">
        <f t="shared" ref="U26:U36" si="10">H26</f>
        <v>100</v>
      </c>
      <c r="V26" s="753" t="s">
        <v>25</v>
      </c>
      <c r="W26" s="754">
        <f t="shared" ref="W26:W36" si="11">J26</f>
        <v>100</v>
      </c>
      <c r="X26" s="1899"/>
      <c r="Y26" s="3001" t="s">
        <v>2362</v>
      </c>
      <c r="Z26" s="1901" t="str">
        <f t="shared" ref="Z26:Z36" si="12">Q26</f>
        <v>配套类型</v>
      </c>
      <c r="AA26" s="1902">
        <f t="shared" si="3"/>
        <v>1</v>
      </c>
      <c r="AB26" s="1902">
        <f t="shared" si="4"/>
        <v>1</v>
      </c>
      <c r="AC26" s="1902">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1"/>
      <c r="Q27" s="755" t="str">
        <f t="shared" si="8"/>
        <v>项目停车位配比</v>
      </c>
      <c r="R27" s="756" t="s">
        <v>25</v>
      </c>
      <c r="S27" s="757">
        <f t="shared" si="9"/>
        <v>100</v>
      </c>
      <c r="T27" s="756" t="s">
        <v>25</v>
      </c>
      <c r="U27" s="757">
        <f t="shared" si="10"/>
        <v>100</v>
      </c>
      <c r="V27" s="756" t="s">
        <v>25</v>
      </c>
      <c r="W27" s="757">
        <f t="shared" si="11"/>
        <v>100</v>
      </c>
      <c r="X27" s="758"/>
      <c r="Y27" s="3001"/>
      <c r="Z27" s="759" t="str">
        <f t="shared" si="12"/>
        <v>项目停车位配比</v>
      </c>
      <c r="AA27" s="1902">
        <f t="shared" si="3"/>
        <v>1</v>
      </c>
      <c r="AB27" s="1902">
        <f t="shared" si="4"/>
        <v>1</v>
      </c>
      <c r="AC27" s="1902">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1"/>
      <c r="Q28" s="1898" t="str">
        <f t="shared" si="8"/>
        <v>公共部分装修</v>
      </c>
      <c r="R28" s="753" t="s">
        <v>25</v>
      </c>
      <c r="S28" s="754">
        <f t="shared" si="9"/>
        <v>100</v>
      </c>
      <c r="T28" s="753" t="s">
        <v>25</v>
      </c>
      <c r="U28" s="754">
        <f t="shared" si="10"/>
        <v>100</v>
      </c>
      <c r="V28" s="753" t="s">
        <v>25</v>
      </c>
      <c r="W28" s="754">
        <f t="shared" si="11"/>
        <v>100</v>
      </c>
      <c r="X28" s="1899"/>
      <c r="Y28" s="3001"/>
      <c r="Z28" s="1901" t="str">
        <f t="shared" si="12"/>
        <v>公共部分装修</v>
      </c>
      <c r="AA28" s="1902">
        <f t="shared" si="3"/>
        <v>1</v>
      </c>
      <c r="AB28" s="1902">
        <f t="shared" si="4"/>
        <v>1</v>
      </c>
      <c r="AC28" s="1902">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1"/>
      <c r="Q29" s="1898" t="str">
        <f t="shared" si="8"/>
        <v>成新率</v>
      </c>
      <c r="R29" s="753" t="s">
        <v>25</v>
      </c>
      <c r="S29" s="754" t="e">
        <f t="shared" si="9"/>
        <v>#N/A</v>
      </c>
      <c r="T29" s="753" t="s">
        <v>25</v>
      </c>
      <c r="U29" s="754" t="e">
        <f t="shared" si="10"/>
        <v>#N/A</v>
      </c>
      <c r="V29" s="753" t="s">
        <v>25</v>
      </c>
      <c r="W29" s="754" t="e">
        <f t="shared" si="11"/>
        <v>#N/A</v>
      </c>
      <c r="X29" s="1899"/>
      <c r="Y29" s="3001"/>
      <c r="Z29" s="1901" t="str">
        <f t="shared" si="12"/>
        <v>成新率</v>
      </c>
      <c r="AA29" s="1902" t="e">
        <f t="shared" si="3"/>
        <v>#N/A</v>
      </c>
      <c r="AB29" s="1902" t="e">
        <f t="shared" si="4"/>
        <v>#N/A</v>
      </c>
      <c r="AC29" s="1902"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1"/>
      <c r="Q30" s="1898" t="str">
        <f t="shared" si="8"/>
        <v>物业等级</v>
      </c>
      <c r="R30" s="753" t="s">
        <v>25</v>
      </c>
      <c r="S30" s="754">
        <f t="shared" si="9"/>
        <v>100</v>
      </c>
      <c r="T30" s="753" t="s">
        <v>25</v>
      </c>
      <c r="U30" s="754">
        <f t="shared" si="10"/>
        <v>100</v>
      </c>
      <c r="V30" s="753" t="s">
        <v>25</v>
      </c>
      <c r="W30" s="754">
        <f t="shared" si="11"/>
        <v>100</v>
      </c>
      <c r="X30" s="1899"/>
      <c r="Y30" s="3001"/>
      <c r="Z30" s="1901" t="str">
        <f t="shared" si="12"/>
        <v>物业等级</v>
      </c>
      <c r="AA30" s="1902">
        <f t="shared" si="3"/>
        <v>1</v>
      </c>
      <c r="AB30" s="1902">
        <f t="shared" si="4"/>
        <v>1</v>
      </c>
      <c r="AC30" s="1902">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1"/>
      <c r="Q31" s="1886" t="str">
        <f t="shared" si="8"/>
        <v>停车位面积</v>
      </c>
      <c r="R31" s="749" t="s">
        <v>25</v>
      </c>
      <c r="S31" s="750" t="e">
        <f t="shared" si="9"/>
        <v>#N/A</v>
      </c>
      <c r="T31" s="749" t="s">
        <v>25</v>
      </c>
      <c r="U31" s="750" t="e">
        <f t="shared" si="10"/>
        <v>#N/A</v>
      </c>
      <c r="V31" s="749" t="s">
        <v>25</v>
      </c>
      <c r="W31" s="750" t="e">
        <f t="shared" si="11"/>
        <v>#N/A</v>
      </c>
      <c r="X31" s="751"/>
      <c r="Y31" s="3001"/>
      <c r="Z31" s="23" t="str">
        <f t="shared" si="12"/>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1" t="s">
        <v>2362</v>
      </c>
      <c r="Q32" s="1898" t="str">
        <f t="shared" si="8"/>
        <v>车位类型</v>
      </c>
      <c r="R32" s="753" t="s">
        <v>25</v>
      </c>
      <c r="S32" s="754">
        <f t="shared" si="9"/>
        <v>100</v>
      </c>
      <c r="T32" s="753" t="s">
        <v>25</v>
      </c>
      <c r="U32" s="754">
        <f t="shared" si="10"/>
        <v>100</v>
      </c>
      <c r="V32" s="753" t="s">
        <v>25</v>
      </c>
      <c r="W32" s="754">
        <f t="shared" si="11"/>
        <v>100</v>
      </c>
      <c r="X32" s="1899"/>
      <c r="Y32" s="3001" t="s">
        <v>2362</v>
      </c>
      <c r="Z32" s="1901" t="str">
        <f t="shared" si="12"/>
        <v>车位类型</v>
      </c>
      <c r="AA32" s="1902">
        <f t="shared" si="3"/>
        <v>1</v>
      </c>
      <c r="AB32" s="1902">
        <f t="shared" si="4"/>
        <v>1</v>
      </c>
      <c r="AC32" s="1902">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1"/>
      <c r="Q33" s="1898" t="str">
        <f t="shared" si="8"/>
        <v>是否直接入户</v>
      </c>
      <c r="R33" s="753" t="s">
        <v>25</v>
      </c>
      <c r="S33" s="754">
        <f t="shared" si="9"/>
        <v>100</v>
      </c>
      <c r="T33" s="753" t="s">
        <v>25</v>
      </c>
      <c r="U33" s="754">
        <f t="shared" si="10"/>
        <v>100</v>
      </c>
      <c r="V33" s="753" t="s">
        <v>25</v>
      </c>
      <c r="W33" s="754">
        <f t="shared" si="11"/>
        <v>100</v>
      </c>
      <c r="X33" s="1899"/>
      <c r="Y33" s="3001"/>
      <c r="Z33" s="1901" t="str">
        <f t="shared" si="12"/>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1"/>
      <c r="Q34" s="1898">
        <f t="shared" si="8"/>
        <v>111</v>
      </c>
      <c r="R34" s="753" t="s">
        <v>25</v>
      </c>
      <c r="S34" s="754">
        <f t="shared" si="9"/>
        <v>100</v>
      </c>
      <c r="T34" s="753" t="s">
        <v>25</v>
      </c>
      <c r="U34" s="754">
        <f t="shared" si="10"/>
        <v>100</v>
      </c>
      <c r="V34" s="753" t="s">
        <v>25</v>
      </c>
      <c r="W34" s="754">
        <f t="shared" si="11"/>
        <v>100</v>
      </c>
      <c r="X34" s="1899"/>
      <c r="Y34" s="3001"/>
      <c r="Z34" s="1901">
        <f t="shared" si="12"/>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1"/>
      <c r="Q35" s="755">
        <f t="shared" si="8"/>
        <v>111</v>
      </c>
      <c r="R35" s="756" t="s">
        <v>25</v>
      </c>
      <c r="S35" s="757">
        <f t="shared" si="9"/>
        <v>100</v>
      </c>
      <c r="T35" s="756" t="s">
        <v>25</v>
      </c>
      <c r="U35" s="757">
        <f t="shared" si="10"/>
        <v>100</v>
      </c>
      <c r="V35" s="756" t="s">
        <v>25</v>
      </c>
      <c r="W35" s="757">
        <f t="shared" si="11"/>
        <v>100</v>
      </c>
      <c r="X35" s="758"/>
      <c r="Y35" s="3001"/>
      <c r="Z35" s="759">
        <f t="shared" si="12"/>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1"/>
      <c r="Q36" s="1898">
        <f t="shared" si="8"/>
        <v>111</v>
      </c>
      <c r="R36" s="753" t="s">
        <v>25</v>
      </c>
      <c r="S36" s="754">
        <f t="shared" si="9"/>
        <v>100</v>
      </c>
      <c r="T36" s="753" t="s">
        <v>25</v>
      </c>
      <c r="U36" s="754">
        <f t="shared" si="10"/>
        <v>100</v>
      </c>
      <c r="V36" s="753" t="s">
        <v>25</v>
      </c>
      <c r="W36" s="754">
        <f t="shared" si="11"/>
        <v>100</v>
      </c>
      <c r="X36" s="1899"/>
      <c r="Y36" s="3001"/>
      <c r="Z36" s="1901">
        <f t="shared" si="12"/>
        <v>111</v>
      </c>
      <c r="AA36" s="1902">
        <f t="shared" si="3"/>
        <v>1</v>
      </c>
      <c r="AB36" s="1902">
        <f t="shared" si="4"/>
        <v>1</v>
      </c>
      <c r="AC36" s="1902">
        <f t="shared" si="5"/>
        <v>1</v>
      </c>
    </row>
    <row r="37" spans="1:29" ht="15">
      <c r="A37" s="460" t="s">
        <v>2510</v>
      </c>
      <c r="B37" s="1092" t="s">
        <v>2511</v>
      </c>
      <c r="C37" s="1501" t="s">
        <v>1</v>
      </c>
      <c r="D37" s="1502"/>
      <c r="E37" s="1503"/>
      <c r="F37" s="1504"/>
      <c r="G37" s="1505"/>
      <c r="H37" s="1506"/>
      <c r="I37" s="1503"/>
      <c r="J37" s="1506"/>
      <c r="K37" s="603"/>
      <c r="L37" s="1524"/>
      <c r="M37" s="738"/>
      <c r="N37" s="425"/>
      <c r="O37" s="738"/>
      <c r="P37" s="3007" t="str">
        <f>A37</f>
        <v>成交单价</v>
      </c>
      <c r="Q37" s="3007"/>
      <c r="R37" s="3008">
        <f>E37</f>
        <v>0</v>
      </c>
      <c r="S37" s="3008"/>
      <c r="T37" s="3008">
        <f>G37</f>
        <v>0</v>
      </c>
      <c r="U37" s="3008"/>
      <c r="V37" s="3008">
        <f>I37</f>
        <v>0</v>
      </c>
      <c r="W37" s="3008"/>
      <c r="X37" s="738"/>
      <c r="Y37" s="760"/>
      <c r="Z37" s="738"/>
      <c r="AA37" s="738"/>
      <c r="AB37" s="738"/>
      <c r="AC37" s="738"/>
    </row>
    <row r="38" spans="1:29" ht="15.75" thickBot="1">
      <c r="A38" s="467" t="s">
        <v>2512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7" t="str">
        <f>A38</f>
        <v>比较价值</v>
      </c>
      <c r="Q38" s="3007"/>
      <c r="R38" s="3008" t="e">
        <f>IF(E1="售价",ROUND(PRODUCT(R37,AA7:AA36),0),ROUND(PRODUCT(R37,AA7:AA36),1))</f>
        <v>#DIV/0!</v>
      </c>
      <c r="S38" s="3008"/>
      <c r="T38" s="3008" t="e">
        <f>IF(E1="售价",ROUND(PRODUCT(T37,AB7:AB36),0),ROUND(PRODUCT(T37,AB7:AB36),1))</f>
        <v>#DIV/0!</v>
      </c>
      <c r="U38" s="3008"/>
      <c r="V38" s="3008" t="e">
        <f>IF(E1="售价",ROUND(PRODUCT(V37,AC7:AC36),0),ROUND(PRODUCT(V37,AC7:AC36),1))</f>
        <v>#DIV/0!</v>
      </c>
      <c r="W38" s="3008"/>
      <c r="X38" s="738"/>
      <c r="Y38" s="738"/>
      <c r="Z38" s="738"/>
      <c r="AA38" s="738"/>
      <c r="AB38" s="738"/>
      <c r="AC38" s="738"/>
    </row>
    <row r="39" spans="1:29" ht="15.75" thickBot="1">
      <c r="A39" s="473" t="s">
        <v>2513</v>
      </c>
      <c r="B39" s="474"/>
      <c r="C39" s="1511" t="e">
        <f>R39</f>
        <v>#DIV/0!</v>
      </c>
      <c r="D39" s="1511"/>
      <c r="E39" s="1511"/>
      <c r="F39" s="1511"/>
      <c r="G39" s="1511"/>
      <c r="H39" s="1511"/>
      <c r="I39" s="1511"/>
      <c r="J39" s="1511"/>
      <c r="K39" s="605"/>
      <c r="L39" s="1524"/>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2518</v>
      </c>
      <c r="B48" s="487"/>
      <c r="C48" s="1677" t="str">
        <f>YEAR(C7)&amp;"-"&amp;MONTH(C7)</f>
        <v>2018-6</v>
      </c>
      <c r="D48" s="1678">
        <f>EDATE(C48,-1)</f>
        <v>43221</v>
      </c>
      <c r="E48" s="1678">
        <f t="shared" ref="E48:O48" si="13">EDATE(D48,-1)</f>
        <v>43191</v>
      </c>
      <c r="F48" s="1678">
        <f t="shared" si="13"/>
        <v>43160</v>
      </c>
      <c r="G48" s="1678">
        <f t="shared" si="13"/>
        <v>43132</v>
      </c>
      <c r="H48" s="1678">
        <f t="shared" si="13"/>
        <v>43101</v>
      </c>
      <c r="I48" s="1678">
        <f t="shared" si="13"/>
        <v>43070</v>
      </c>
      <c r="J48" s="1678">
        <f t="shared" si="13"/>
        <v>43040</v>
      </c>
      <c r="K48" s="1678">
        <f t="shared" si="13"/>
        <v>43009</v>
      </c>
      <c r="L48" s="1678">
        <f t="shared" si="13"/>
        <v>42979</v>
      </c>
      <c r="M48" s="1678">
        <f t="shared" si="13"/>
        <v>42948</v>
      </c>
      <c r="N48" s="1678">
        <f t="shared" si="13"/>
        <v>42917</v>
      </c>
      <c r="O48" s="1678">
        <f t="shared" si="13"/>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 ca="1">ROUND(IF(D2="——",C37,IF(C2="万元",B2*10000/D3,B2/D3)),0)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03" t="s">
        <v>2345</v>
      </c>
      <c r="Q7" s="3005"/>
      <c r="R7" s="749" t="s">
        <v>25</v>
      </c>
      <c r="S7" s="750">
        <f t="shared" ref="S7:S14" si="0">F7</f>
        <v>0</v>
      </c>
      <c r="T7" s="749" t="s">
        <v>25</v>
      </c>
      <c r="U7" s="750">
        <f t="shared" ref="U7:U14" si="1">H7</f>
        <v>0</v>
      </c>
      <c r="V7" s="749" t="s">
        <v>25</v>
      </c>
      <c r="W7" s="750">
        <f t="shared" ref="W7:W14" si="2">J7</f>
        <v>0</v>
      </c>
      <c r="X7" s="751"/>
      <c r="Y7" s="3003" t="s">
        <v>2345</v>
      </c>
      <c r="Z7" s="3004"/>
      <c r="AA7" s="752" t="e">
        <f>D7/F7</f>
        <v>#DIV/0!</v>
      </c>
      <c r="AB7" s="752" t="e">
        <f>D7/H7</f>
        <v>#DIV/0!</v>
      </c>
      <c r="AC7" s="752"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34" si="3">D8/F8</f>
        <v>#DIV/0!</v>
      </c>
      <c r="AB8" s="752" t="e">
        <f t="shared" ref="AB8:AB34" si="4">D8/H8</f>
        <v>#DIV/0!</v>
      </c>
      <c r="AC8" s="752"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7" t="s">
        <v>2351</v>
      </c>
      <c r="Q9" s="1886" t="str">
        <f t="shared" ref="Q9:Q14" si="6">B9</f>
        <v>用途</v>
      </c>
      <c r="R9" s="749" t="s">
        <v>25</v>
      </c>
      <c r="S9" s="750">
        <f t="shared" si="0"/>
        <v>100</v>
      </c>
      <c r="T9" s="749" t="s">
        <v>25</v>
      </c>
      <c r="U9" s="750">
        <f t="shared" si="1"/>
        <v>100</v>
      </c>
      <c r="V9" s="749" t="s">
        <v>25</v>
      </c>
      <c r="W9" s="750">
        <f t="shared" si="2"/>
        <v>100</v>
      </c>
      <c r="X9" s="751"/>
      <c r="Y9" s="2855" t="s">
        <v>2352</v>
      </c>
      <c r="Z9" s="23" t="str">
        <f t="shared" ref="Z9:Z14" si="7">Q9</f>
        <v>用途</v>
      </c>
      <c r="AA9" s="752">
        <f t="shared" si="3"/>
        <v>1</v>
      </c>
      <c r="AB9" s="752">
        <f t="shared" si="4"/>
        <v>1</v>
      </c>
      <c r="AC9" s="752">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7"/>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7"/>
      <c r="Q11" s="1886">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14">
      <c r="A14" s="419" t="s">
        <v>2355</v>
      </c>
      <c r="B14" s="26" t="s">
        <v>2499</v>
      </c>
      <c r="C14" s="2476"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6" t="s">
        <v>2356</v>
      </c>
      <c r="Q14" s="1898" t="str">
        <f t="shared" si="6"/>
        <v>交通便捷度</v>
      </c>
      <c r="R14" s="753" t="s">
        <v>25</v>
      </c>
      <c r="S14" s="754">
        <f t="shared" si="0"/>
        <v>100</v>
      </c>
      <c r="T14" s="753" t="s">
        <v>25</v>
      </c>
      <c r="U14" s="754">
        <f t="shared" si="1"/>
        <v>100</v>
      </c>
      <c r="V14" s="753" t="s">
        <v>25</v>
      </c>
      <c r="W14" s="754">
        <f t="shared" si="2"/>
        <v>100</v>
      </c>
      <c r="X14" s="1899"/>
      <c r="Y14" s="2996" t="s">
        <v>2356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97"/>
      <c r="Q15" s="1898"/>
      <c r="R15" s="753"/>
      <c r="S15" s="754"/>
      <c r="T15" s="753"/>
      <c r="U15" s="754"/>
      <c r="V15" s="753"/>
      <c r="W15" s="754"/>
      <c r="X15" s="1899"/>
      <c r="Y15" s="2997"/>
      <c r="Z15" s="1901"/>
      <c r="AA15" s="1902">
        <v>1</v>
      </c>
      <c r="AB15" s="1902">
        <v>1</v>
      </c>
      <c r="AC15" s="1902">
        <v>1</v>
      </c>
    </row>
    <row r="16" spans="1:29" ht="228">
      <c r="A16" s="408"/>
      <c r="B16" s="615" t="s">
        <v>2471</v>
      </c>
      <c r="C16" s="2403"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97"/>
      <c r="Q16" s="1898" t="str">
        <f>B16</f>
        <v>公共配套设施</v>
      </c>
      <c r="R16" s="753" t="s">
        <v>25</v>
      </c>
      <c r="S16" s="754">
        <f>F16</f>
        <v>100</v>
      </c>
      <c r="T16" s="753" t="s">
        <v>25</v>
      </c>
      <c r="U16" s="754">
        <f>H16</f>
        <v>100</v>
      </c>
      <c r="V16" s="753" t="s">
        <v>25</v>
      </c>
      <c r="W16" s="754">
        <f>J16</f>
        <v>100</v>
      </c>
      <c r="X16" s="1899"/>
      <c r="Y16" s="2997"/>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97"/>
      <c r="Q17" s="1898"/>
      <c r="R17" s="753"/>
      <c r="S17" s="754"/>
      <c r="T17" s="753"/>
      <c r="U17" s="754"/>
      <c r="V17" s="753"/>
      <c r="W17" s="754"/>
      <c r="X17" s="1899"/>
      <c r="Y17" s="2997"/>
      <c r="Z17" s="1901"/>
      <c r="AA17" s="1902">
        <v>1</v>
      </c>
      <c r="AB17" s="1902">
        <v>1</v>
      </c>
      <c r="AC17" s="1902">
        <v>1</v>
      </c>
    </row>
    <row r="18" spans="1:29" ht="42.75">
      <c r="A18" s="408"/>
      <c r="B18" s="617" t="s">
        <v>2472</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97"/>
      <c r="Q18" s="1898" t="str">
        <f>B18</f>
        <v>基础设施水平</v>
      </c>
      <c r="R18" s="753" t="s">
        <v>25</v>
      </c>
      <c r="S18" s="754">
        <f>F18</f>
        <v>100</v>
      </c>
      <c r="T18" s="753" t="s">
        <v>25</v>
      </c>
      <c r="U18" s="754">
        <f>H18</f>
        <v>100</v>
      </c>
      <c r="V18" s="753" t="s">
        <v>25</v>
      </c>
      <c r="W18" s="754">
        <f>J18</f>
        <v>100</v>
      </c>
      <c r="X18" s="1899"/>
      <c r="Y18" s="2997"/>
      <c r="Z18" s="1901" t="str">
        <f>Q18</f>
        <v>基础设施水平</v>
      </c>
      <c r="AA18" s="1902">
        <f>D18/F18</f>
        <v>1</v>
      </c>
      <c r="AB18" s="1902">
        <f>D18/H18</f>
        <v>1</v>
      </c>
      <c r="AC18" s="1902">
        <f>D18/J18</f>
        <v>1</v>
      </c>
    </row>
    <row r="19" spans="1:29" ht="15">
      <c r="A19" s="408"/>
      <c r="B19" s="617"/>
      <c r="C19" s="437"/>
      <c r="D19" s="427"/>
      <c r="E19" s="437"/>
      <c r="F19" s="433"/>
      <c r="G19" s="437"/>
      <c r="H19" s="427"/>
      <c r="I19" s="426"/>
      <c r="J19" s="427"/>
      <c r="K19" s="1468"/>
      <c r="L19" s="1252"/>
      <c r="M19" s="1243"/>
      <c r="N19" s="1243"/>
      <c r="O19" s="1251"/>
      <c r="P19" s="2997"/>
      <c r="Q19" s="1898"/>
      <c r="R19" s="753"/>
      <c r="S19" s="754"/>
      <c r="T19" s="753"/>
      <c r="U19" s="754"/>
      <c r="V19" s="753"/>
      <c r="W19" s="754"/>
      <c r="X19" s="1899"/>
      <c r="Y19" s="2997"/>
      <c r="Z19" s="1901"/>
      <c r="AA19" s="1902">
        <v>1</v>
      </c>
      <c r="AB19" s="1902">
        <v>1</v>
      </c>
      <c r="AC19" s="1902">
        <v>1</v>
      </c>
    </row>
    <row r="20" spans="1:29" ht="85.5">
      <c r="A20" s="408"/>
      <c r="B20" s="431" t="s">
        <v>2500</v>
      </c>
      <c r="C20" s="2403"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97"/>
      <c r="Q20" s="1898" t="str">
        <f>B20</f>
        <v>自然及人文环境</v>
      </c>
      <c r="R20" s="753" t="s">
        <v>25</v>
      </c>
      <c r="S20" s="754">
        <f>F20</f>
        <v>100</v>
      </c>
      <c r="T20" s="753" t="s">
        <v>25</v>
      </c>
      <c r="U20" s="754">
        <f>H20</f>
        <v>100</v>
      </c>
      <c r="V20" s="753" t="s">
        <v>25</v>
      </c>
      <c r="W20" s="754">
        <f>J20</f>
        <v>100</v>
      </c>
      <c r="X20" s="1899"/>
      <c r="Y20" s="299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97"/>
      <c r="Q21" s="1898"/>
      <c r="R21" s="753"/>
      <c r="S21" s="754"/>
      <c r="T21" s="753"/>
      <c r="U21" s="754"/>
      <c r="V21" s="753"/>
      <c r="W21" s="754"/>
      <c r="X21" s="1899"/>
      <c r="Y21" s="2997"/>
      <c r="Z21" s="1901"/>
      <c r="AA21" s="1902">
        <v>1</v>
      </c>
      <c r="AB21" s="1902">
        <v>1</v>
      </c>
      <c r="AC21" s="1902">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97"/>
      <c r="Q22" s="1898" t="str">
        <f>B22</f>
        <v>楼层</v>
      </c>
      <c r="R22" s="753" t="s">
        <v>25</v>
      </c>
      <c r="S22" s="754">
        <f>F22</f>
        <v>100</v>
      </c>
      <c r="T22" s="753" t="s">
        <v>25</v>
      </c>
      <c r="U22" s="754">
        <f>H22</f>
        <v>100</v>
      </c>
      <c r="V22" s="753" t="s">
        <v>25</v>
      </c>
      <c r="W22" s="754">
        <f>J22</f>
        <v>100</v>
      </c>
      <c r="X22" s="1899"/>
      <c r="Y22" s="2997"/>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97"/>
      <c r="Q23" s="1898">
        <f>B23</f>
        <v>111</v>
      </c>
      <c r="R23" s="753" t="s">
        <v>25</v>
      </c>
      <c r="S23" s="754">
        <f>F23</f>
        <v>100</v>
      </c>
      <c r="T23" s="753" t="s">
        <v>25</v>
      </c>
      <c r="U23" s="754">
        <f>H23</f>
        <v>100</v>
      </c>
      <c r="V23" s="753" t="s">
        <v>25</v>
      </c>
      <c r="W23" s="754">
        <f>J23</f>
        <v>100</v>
      </c>
      <c r="X23" s="1899"/>
      <c r="Y23" s="2997"/>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97"/>
      <c r="Q24" s="1898">
        <f t="shared" ref="Q24:Q34" si="8">B24</f>
        <v>111</v>
      </c>
      <c r="R24" s="753" t="s">
        <v>25</v>
      </c>
      <c r="S24" s="754">
        <f>F24</f>
        <v>100</v>
      </c>
      <c r="T24" s="753" t="s">
        <v>25</v>
      </c>
      <c r="U24" s="754">
        <f>H24</f>
        <v>100</v>
      </c>
      <c r="V24" s="753" t="s">
        <v>25</v>
      </c>
      <c r="W24" s="754">
        <f>J24</f>
        <v>100</v>
      </c>
      <c r="X24" s="1899"/>
      <c r="Y24" s="2997"/>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2997"/>
      <c r="Q25" s="1886">
        <f t="shared" si="8"/>
        <v>111</v>
      </c>
      <c r="R25" s="749" t="s">
        <v>25</v>
      </c>
      <c r="S25" s="750">
        <f>F25</f>
        <v>100</v>
      </c>
      <c r="T25" s="749" t="s">
        <v>25</v>
      </c>
      <c r="U25" s="750">
        <f>H25</f>
        <v>100</v>
      </c>
      <c r="V25" s="749" t="s">
        <v>25</v>
      </c>
      <c r="W25" s="750">
        <f>J25</f>
        <v>100</v>
      </c>
      <c r="X25" s="751"/>
      <c r="Y25" s="2997"/>
      <c r="Z25" s="23">
        <f>Q25</f>
        <v>111</v>
      </c>
      <c r="AA25" s="1902">
        <f>D25/F25</f>
        <v>1</v>
      </c>
      <c r="AB25" s="1902">
        <f>D25/H25</f>
        <v>1</v>
      </c>
      <c r="AC25" s="1902">
        <f>D25/J25</f>
        <v>1</v>
      </c>
    </row>
    <row r="26" spans="1:29" ht="15">
      <c r="A26" s="447" t="s">
        <v>2360</v>
      </c>
      <c r="B26" s="28" t="s">
        <v>2504</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83" t="s">
        <v>2362</v>
      </c>
      <c r="Q26" s="1898" t="str">
        <f t="shared" si="8"/>
        <v>公共部分装修</v>
      </c>
      <c r="R26" s="753" t="s">
        <v>25</v>
      </c>
      <c r="S26" s="754">
        <f t="shared" ref="S26:S34" si="9">F26</f>
        <v>100</v>
      </c>
      <c r="T26" s="753" t="s">
        <v>25</v>
      </c>
      <c r="U26" s="754">
        <f t="shared" ref="U26:U34" si="10">H26</f>
        <v>100</v>
      </c>
      <c r="V26" s="753" t="s">
        <v>25</v>
      </c>
      <c r="W26" s="754">
        <f t="shared" ref="W26:W34" si="11">J26</f>
        <v>100</v>
      </c>
      <c r="X26" s="1899"/>
      <c r="Y26" s="3001" t="s">
        <v>2362</v>
      </c>
      <c r="Z26" s="1901" t="str">
        <f t="shared" ref="Z26:Z34" si="12">Q26</f>
        <v>公共部分装修</v>
      </c>
      <c r="AA26" s="1902">
        <f t="shared" si="3"/>
        <v>1</v>
      </c>
      <c r="AB26" s="1902">
        <f t="shared" si="4"/>
        <v>1</v>
      </c>
      <c r="AC26" s="1902">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1"/>
      <c r="Q27" s="755" t="str">
        <f t="shared" si="8"/>
        <v>成新率</v>
      </c>
      <c r="R27" s="756" t="s">
        <v>25</v>
      </c>
      <c r="S27" s="757" t="e">
        <f t="shared" si="9"/>
        <v>#N/A</v>
      </c>
      <c r="T27" s="756" t="s">
        <v>25</v>
      </c>
      <c r="U27" s="757" t="e">
        <f t="shared" si="10"/>
        <v>#N/A</v>
      </c>
      <c r="V27" s="756" t="s">
        <v>25</v>
      </c>
      <c r="W27" s="757" t="e">
        <f t="shared" si="11"/>
        <v>#N/A</v>
      </c>
      <c r="X27" s="758"/>
      <c r="Y27" s="3001"/>
      <c r="Z27" s="759" t="str">
        <f t="shared" si="12"/>
        <v>成新率</v>
      </c>
      <c r="AA27" s="1902" t="e">
        <f t="shared" si="3"/>
        <v>#N/A</v>
      </c>
      <c r="AB27" s="1902" t="e">
        <f t="shared" si="4"/>
        <v>#N/A</v>
      </c>
      <c r="AC27" s="1902"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1"/>
      <c r="Q28" s="1898" t="str">
        <f t="shared" si="8"/>
        <v>物业等级</v>
      </c>
      <c r="R28" s="753" t="s">
        <v>25</v>
      </c>
      <c r="S28" s="754">
        <f t="shared" si="9"/>
        <v>100</v>
      </c>
      <c r="T28" s="753" t="s">
        <v>25</v>
      </c>
      <c r="U28" s="754">
        <f t="shared" si="10"/>
        <v>100</v>
      </c>
      <c r="V28" s="753" t="s">
        <v>25</v>
      </c>
      <c r="W28" s="754">
        <f t="shared" si="11"/>
        <v>100</v>
      </c>
      <c r="X28" s="1899"/>
      <c r="Y28" s="3001"/>
      <c r="Z28" s="1901" t="str">
        <f t="shared" si="12"/>
        <v>物业等级</v>
      </c>
      <c r="AA28" s="1902">
        <f t="shared" si="3"/>
        <v>1</v>
      </c>
      <c r="AB28" s="1902">
        <f t="shared" si="4"/>
        <v>1</v>
      </c>
      <c r="AC28" s="1902">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1"/>
      <c r="Q29" s="1898" t="str">
        <f t="shared" si="8"/>
        <v>有无电梯</v>
      </c>
      <c r="R29" s="753" t="s">
        <v>25</v>
      </c>
      <c r="S29" s="754">
        <f t="shared" si="9"/>
        <v>100</v>
      </c>
      <c r="T29" s="753" t="s">
        <v>25</v>
      </c>
      <c r="U29" s="754">
        <f t="shared" si="10"/>
        <v>100</v>
      </c>
      <c r="V29" s="753" t="s">
        <v>25</v>
      </c>
      <c r="W29" s="754">
        <f t="shared" si="11"/>
        <v>100</v>
      </c>
      <c r="X29" s="1899"/>
      <c r="Y29" s="3001"/>
      <c r="Z29" s="1901" t="str">
        <f t="shared" si="12"/>
        <v>有无电梯</v>
      </c>
      <c r="AA29" s="1902">
        <f t="shared" si="3"/>
        <v>1</v>
      </c>
      <c r="AB29" s="1902">
        <f t="shared" si="4"/>
        <v>1</v>
      </c>
      <c r="AC29" s="1902">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1"/>
      <c r="Q30" s="1898" t="str">
        <f t="shared" si="8"/>
        <v>建筑面积</v>
      </c>
      <c r="R30" s="753" t="s">
        <v>25</v>
      </c>
      <c r="S30" s="754" t="e">
        <f t="shared" si="9"/>
        <v>#N/A</v>
      </c>
      <c r="T30" s="753" t="s">
        <v>25</v>
      </c>
      <c r="U30" s="754" t="e">
        <f t="shared" si="10"/>
        <v>#N/A</v>
      </c>
      <c r="V30" s="753" t="s">
        <v>25</v>
      </c>
      <c r="W30" s="754" t="e">
        <f t="shared" si="11"/>
        <v>#N/A</v>
      </c>
      <c r="X30" s="1899"/>
      <c r="Y30" s="3001"/>
      <c r="Z30" s="1901" t="str">
        <f t="shared" si="12"/>
        <v>建筑面积</v>
      </c>
      <c r="AA30" s="1902" t="e">
        <f t="shared" si="3"/>
        <v>#N/A</v>
      </c>
      <c r="AB30" s="1902" t="e">
        <f t="shared" si="4"/>
        <v>#N/A</v>
      </c>
      <c r="AC30" s="1902"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1"/>
      <c r="Q31" s="1886" t="str">
        <f t="shared" si="8"/>
        <v>是否封闭</v>
      </c>
      <c r="R31" s="749" t="s">
        <v>25</v>
      </c>
      <c r="S31" s="750">
        <f t="shared" si="9"/>
        <v>100</v>
      </c>
      <c r="T31" s="749" t="s">
        <v>25</v>
      </c>
      <c r="U31" s="750">
        <f t="shared" si="10"/>
        <v>100</v>
      </c>
      <c r="V31" s="749" t="s">
        <v>25</v>
      </c>
      <c r="W31" s="750">
        <f t="shared" si="11"/>
        <v>100</v>
      </c>
      <c r="X31" s="751"/>
      <c r="Y31" s="3001"/>
      <c r="Z31" s="23" t="str">
        <f t="shared" si="12"/>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1" t="s">
        <v>2362</v>
      </c>
      <c r="Q32" s="1898">
        <f t="shared" si="8"/>
        <v>111</v>
      </c>
      <c r="R32" s="753" t="s">
        <v>25</v>
      </c>
      <c r="S32" s="754">
        <f t="shared" si="9"/>
        <v>100</v>
      </c>
      <c r="T32" s="753" t="s">
        <v>25</v>
      </c>
      <c r="U32" s="754">
        <f t="shared" si="10"/>
        <v>100</v>
      </c>
      <c r="V32" s="753" t="s">
        <v>25</v>
      </c>
      <c r="W32" s="754">
        <f t="shared" si="11"/>
        <v>100</v>
      </c>
      <c r="X32" s="1899"/>
      <c r="Y32" s="3001" t="s">
        <v>2362</v>
      </c>
      <c r="Z32" s="1901">
        <f t="shared" si="12"/>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1"/>
      <c r="Q33" s="1898">
        <f t="shared" si="8"/>
        <v>111</v>
      </c>
      <c r="R33" s="753" t="s">
        <v>25</v>
      </c>
      <c r="S33" s="754">
        <f t="shared" si="9"/>
        <v>100</v>
      </c>
      <c r="T33" s="753" t="s">
        <v>25</v>
      </c>
      <c r="U33" s="754">
        <f t="shared" si="10"/>
        <v>100</v>
      </c>
      <c r="V33" s="753" t="s">
        <v>25</v>
      </c>
      <c r="W33" s="754">
        <f t="shared" si="11"/>
        <v>100</v>
      </c>
      <c r="X33" s="1899"/>
      <c r="Y33" s="3001"/>
      <c r="Z33" s="1901">
        <f t="shared" si="12"/>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01"/>
      <c r="Q34" s="1898">
        <f t="shared" si="8"/>
        <v>111</v>
      </c>
      <c r="R34" s="753" t="s">
        <v>25</v>
      </c>
      <c r="S34" s="754">
        <f t="shared" si="9"/>
        <v>100</v>
      </c>
      <c r="T34" s="753" t="s">
        <v>25</v>
      </c>
      <c r="U34" s="754">
        <f t="shared" si="10"/>
        <v>100</v>
      </c>
      <c r="V34" s="753" t="s">
        <v>25</v>
      </c>
      <c r="W34" s="754">
        <f t="shared" si="11"/>
        <v>100</v>
      </c>
      <c r="X34" s="1899"/>
      <c r="Y34" s="3001"/>
      <c r="Z34" s="1901">
        <f t="shared" si="12"/>
        <v>111</v>
      </c>
      <c r="AA34" s="1902">
        <f t="shared" si="3"/>
        <v>1</v>
      </c>
      <c r="AB34" s="1902">
        <f t="shared" si="4"/>
        <v>1</v>
      </c>
      <c r="AC34" s="1902">
        <f t="shared" si="5"/>
        <v>1</v>
      </c>
    </row>
    <row r="35" spans="1:29" ht="15">
      <c r="A35" s="460" t="s">
        <v>2374</v>
      </c>
      <c r="B35" s="461"/>
      <c r="C35" s="1501" t="s">
        <v>1</v>
      </c>
      <c r="D35" s="1502"/>
      <c r="E35" s="1503"/>
      <c r="F35" s="1504"/>
      <c r="G35" s="1505"/>
      <c r="H35" s="1506"/>
      <c r="I35" s="1503"/>
      <c r="J35" s="1506"/>
      <c r="K35" s="762"/>
      <c r="L35" s="1255"/>
      <c r="M35" s="1256"/>
      <c r="N35" s="1243"/>
      <c r="O35" s="1256"/>
      <c r="P35" s="3007" t="str">
        <f>A35</f>
        <v>成交单价（元/平方米）</v>
      </c>
      <c r="Q35" s="3007"/>
      <c r="R35" s="3008">
        <f>E35</f>
        <v>0</v>
      </c>
      <c r="S35" s="3008"/>
      <c r="T35" s="3008">
        <f>G35</f>
        <v>0</v>
      </c>
      <c r="U35" s="3008"/>
      <c r="V35" s="3008">
        <f>I35</f>
        <v>0</v>
      </c>
      <c r="W35" s="3008"/>
      <c r="X35" s="738"/>
      <c r="Y35" s="760"/>
      <c r="Z35" s="738"/>
      <c r="AA35" s="738"/>
      <c r="AB35" s="738"/>
      <c r="AC35" s="738"/>
    </row>
    <row r="36" spans="1:29" ht="15.75" thickBot="1">
      <c r="A36" s="467" t="s">
        <v>2457</v>
      </c>
      <c r="B36" s="468"/>
      <c r="C36" s="1507" t="e">
        <f>R37</f>
        <v>#DIV/0!</v>
      </c>
      <c r="D36" s="1508"/>
      <c r="E36" s="1509" t="e">
        <f>R36</f>
        <v>#DIV/0!</v>
      </c>
      <c r="F36" s="1509"/>
      <c r="G36" s="1507" t="e">
        <f>T36</f>
        <v>#DIV/0!</v>
      </c>
      <c r="H36" s="1508"/>
      <c r="I36" s="1509" t="e">
        <f>V36</f>
        <v>#DIV/0!</v>
      </c>
      <c r="J36" s="1508"/>
      <c r="K36" s="763"/>
      <c r="L36" s="1255"/>
      <c r="M36" s="1256"/>
      <c r="N36" s="1243"/>
      <c r="O36" s="1256"/>
      <c r="P36" s="3007" t="str">
        <f>A36</f>
        <v>比较价值（元/平方米）</v>
      </c>
      <c r="Q36" s="3007"/>
      <c r="R36" s="3008" t="e">
        <f>IF(E1="售价",ROUND(PRODUCT(R35,AA7:AA34),0),ROUND(PRODUCT(R35,AA7:AA34),1))</f>
        <v>#DIV/0!</v>
      </c>
      <c r="S36" s="3008"/>
      <c r="T36" s="3008" t="e">
        <f>IF(E1="售价",ROUND(PRODUCT(T35,AB7:AB34),0),ROUND(PRODUCT(T35,AB7:AB34),1))</f>
        <v>#DIV/0!</v>
      </c>
      <c r="U36" s="3008"/>
      <c r="V36" s="3008" t="e">
        <f>IF(E1="售价",ROUND(PRODUCT(V35,AC7:AC34),0),ROUND(PRODUCT(V35,AC7:AC34),1))</f>
        <v>#DIV/0!</v>
      </c>
      <c r="W36" s="3008"/>
      <c r="X36" s="738"/>
      <c r="Y36" s="738"/>
      <c r="Z36" s="738"/>
      <c r="AA36" s="738"/>
      <c r="AB36" s="738"/>
      <c r="AC36" s="738"/>
    </row>
    <row r="37" spans="1:29" ht="15.75" thickBot="1">
      <c r="A37" s="473" t="s">
        <v>2480</v>
      </c>
      <c r="B37" s="474"/>
      <c r="C37" s="1511" t="e">
        <f>R37</f>
        <v>#DIV/0!</v>
      </c>
      <c r="D37" s="1511"/>
      <c r="E37" s="1511"/>
      <c r="F37" s="1511"/>
      <c r="G37" s="1511"/>
      <c r="H37" s="1511"/>
      <c r="I37" s="1511"/>
      <c r="J37" s="1511"/>
      <c r="K37" s="764"/>
      <c r="L37" s="1255"/>
      <c r="M37" s="1256"/>
      <c r="N37" s="1256"/>
      <c r="O37" s="1256"/>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2344</v>
      </c>
      <c r="B46" s="487"/>
      <c r="C46" s="1677" t="str">
        <f>YEAR(C7)&amp;"-"&amp;MONTH(C7)</f>
        <v>2018-6</v>
      </c>
      <c r="D46" s="1678">
        <f>EDATE(C46,-1)</f>
        <v>43221</v>
      </c>
      <c r="E46" s="1678">
        <f t="shared" ref="E46:O46" si="13">EDATE(D46,-1)</f>
        <v>43191</v>
      </c>
      <c r="F46" s="1678">
        <f t="shared" si="13"/>
        <v>43160</v>
      </c>
      <c r="G46" s="1678">
        <f t="shared" si="13"/>
        <v>43132</v>
      </c>
      <c r="H46" s="1678">
        <f t="shared" si="13"/>
        <v>43101</v>
      </c>
      <c r="I46" s="1678">
        <f t="shared" si="13"/>
        <v>43070</v>
      </c>
      <c r="J46" s="1678">
        <f t="shared" si="13"/>
        <v>43040</v>
      </c>
      <c r="K46" s="1678">
        <f t="shared" si="13"/>
        <v>43009</v>
      </c>
      <c r="L46" s="1678">
        <f t="shared" si="13"/>
        <v>42979</v>
      </c>
      <c r="M46" s="1678">
        <f t="shared" si="13"/>
        <v>42948</v>
      </c>
      <c r="N46" s="1678">
        <f t="shared" si="13"/>
        <v>42917</v>
      </c>
      <c r="O46" s="1678">
        <f t="shared" si="13"/>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2385</v>
      </c>
      <c r="B51" s="509" t="s">
        <v>2350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2519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2360</v>
      </c>
      <c r="B77" s="509" t="s">
        <v>2413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7"/>
      <c r="O78" s="1267"/>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7"/>
      <c r="O81" s="1267"/>
      <c r="P81" s="542"/>
      <c r="Q81" s="543"/>
    </row>
    <row r="82" spans="1:17" ht="15" thickTop="1">
      <c r="A82" s="583"/>
      <c r="B82" s="529" t="s">
        <v>2523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7"/>
      <c r="O83" s="1267"/>
      <c r="P83" s="22"/>
      <c r="Q83" s="485"/>
    </row>
    <row r="84" spans="1:17" ht="15" thickTop="1">
      <c r="A84" s="583"/>
      <c r="B84" s="521" t="s">
        <v>2530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7"/>
      <c r="O85" s="1267"/>
      <c r="P85" s="22"/>
      <c r="Q85" s="485"/>
    </row>
    <row r="86" spans="1:17" ht="15" thickTop="1">
      <c r="A86" s="583"/>
      <c r="B86" s="529" t="s">
        <v>2531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1998</v>
      </c>
      <c r="B2" s="654" t="e">
        <f>F66</f>
        <v>#DIV/0!</v>
      </c>
      <c r="C2" s="732" t="s">
        <v>2535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30"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30"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30" s="35" customFormat="1" ht="15.75" thickBot="1">
      <c r="A7" s="387" t="s">
        <v>2344</v>
      </c>
      <c r="B7" s="388"/>
      <c r="C7" s="389">
        <f>'数据-取费表'!B2</f>
        <v>43256</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45" si="3">D8/F8</f>
        <v>#DIV/0!</v>
      </c>
      <c r="AB8" s="752" t="e">
        <f t="shared" ref="AB8:AB45" si="4">D8/H8</f>
        <v>#DIV/0!</v>
      </c>
      <c r="AC8" s="752" t="e">
        <f t="shared" ref="AC8:AC45" si="5">D8/J8</f>
        <v>#DIV/0!</v>
      </c>
    </row>
    <row r="9" spans="1:30" s="35" customFormat="1">
      <c r="A9" s="395" t="s">
        <v>2349</v>
      </c>
      <c r="B9" s="28" t="s">
        <v>2350</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07"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30" s="407" customFormat="1" ht="27">
      <c r="A10" s="401"/>
      <c r="B10" s="402" t="s">
        <v>2353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07"/>
      <c r="Q10" s="1886"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7"/>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396" t="s">
        <v>2538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7"/>
      <c r="Q12" s="1886"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7"/>
      <c r="Q14" s="1886">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99.75">
      <c r="A15" s="380" t="s">
        <v>2355</v>
      </c>
      <c r="B15" s="1486" t="s">
        <v>1732</v>
      </c>
      <c r="C15" s="2464"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6" t="s">
        <v>2356</v>
      </c>
      <c r="Q15" s="1898" t="str">
        <f t="shared" si="6"/>
        <v>居住社区成熟度</v>
      </c>
      <c r="R15" s="753" t="s">
        <v>25</v>
      </c>
      <c r="S15" s="754">
        <f t="shared" si="0"/>
        <v>100</v>
      </c>
      <c r="T15" s="753" t="s">
        <v>25</v>
      </c>
      <c r="U15" s="754">
        <f t="shared" si="1"/>
        <v>100</v>
      </c>
      <c r="V15" s="753" t="s">
        <v>25</v>
      </c>
      <c r="W15" s="754">
        <f t="shared" si="2"/>
        <v>100</v>
      </c>
      <c r="X15" s="1899"/>
      <c r="Y15" s="2996" t="s">
        <v>2356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2997"/>
      <c r="Q16" s="1898"/>
      <c r="R16" s="753"/>
      <c r="S16" s="754"/>
      <c r="T16" s="753"/>
      <c r="U16" s="754"/>
      <c r="V16" s="753"/>
      <c r="W16" s="754"/>
      <c r="X16" s="1899"/>
      <c r="Y16" s="2997"/>
      <c r="Z16" s="1901"/>
      <c r="AA16" s="1902">
        <v>1</v>
      </c>
      <c r="AB16" s="1902">
        <v>1</v>
      </c>
      <c r="AC16" s="1902">
        <v>1</v>
      </c>
    </row>
    <row r="17" spans="1:29" ht="15">
      <c r="A17" s="383"/>
      <c r="B17" s="1488" t="s">
        <v>2441</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97"/>
      <c r="Q17" s="1898" t="str">
        <f>B17</f>
        <v>商业繁华度</v>
      </c>
      <c r="R17" s="753" t="s">
        <v>25</v>
      </c>
      <c r="S17" s="754">
        <f>F17</f>
        <v>100</v>
      </c>
      <c r="T17" s="753" t="s">
        <v>25</v>
      </c>
      <c r="U17" s="754">
        <f>H17</f>
        <v>100</v>
      </c>
      <c r="V17" s="753" t="s">
        <v>25</v>
      </c>
      <c r="W17" s="754">
        <f>J17</f>
        <v>100</v>
      </c>
      <c r="X17" s="1899"/>
      <c r="Y17" s="2997"/>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2997"/>
      <c r="Q18" s="1898"/>
      <c r="R18" s="753"/>
      <c r="S18" s="754"/>
      <c r="T18" s="753"/>
      <c r="U18" s="754"/>
      <c r="V18" s="753"/>
      <c r="W18" s="754"/>
      <c r="X18" s="1899"/>
      <c r="Y18" s="2997"/>
      <c r="Z18" s="1901"/>
      <c r="AA18" s="1902">
        <v>1</v>
      </c>
      <c r="AB18" s="1902">
        <v>1</v>
      </c>
      <c r="AC18" s="1902">
        <v>1</v>
      </c>
    </row>
    <row r="19" spans="1:29" ht="15">
      <c r="A19" s="383"/>
      <c r="B19" s="1488" t="s">
        <v>2470</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97"/>
      <c r="Q19" s="1898" t="str">
        <f>B19</f>
        <v>办公集聚程度</v>
      </c>
      <c r="R19" s="753" t="s">
        <v>25</v>
      </c>
      <c r="S19" s="754">
        <f>F19</f>
        <v>100</v>
      </c>
      <c r="T19" s="753" t="s">
        <v>25</v>
      </c>
      <c r="U19" s="754">
        <f>H19</f>
        <v>100</v>
      </c>
      <c r="V19" s="753" t="s">
        <v>25</v>
      </c>
      <c r="W19" s="754">
        <f>J19</f>
        <v>100</v>
      </c>
      <c r="X19" s="1899"/>
      <c r="Y19" s="2997"/>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2997"/>
      <c r="Q20" s="1898"/>
      <c r="R20" s="753"/>
      <c r="S20" s="754"/>
      <c r="T20" s="753"/>
      <c r="U20" s="754"/>
      <c r="V20" s="753"/>
      <c r="W20" s="754"/>
      <c r="X20" s="1899"/>
      <c r="Y20" s="2997"/>
      <c r="Z20" s="1901"/>
      <c r="AA20" s="1902">
        <v>1</v>
      </c>
      <c r="AB20" s="1902">
        <v>1</v>
      </c>
      <c r="AC20" s="1902">
        <v>1</v>
      </c>
    </row>
    <row r="21" spans="1:29" ht="114">
      <c r="A21" s="383"/>
      <c r="B21" s="1488" t="s">
        <v>2499</v>
      </c>
      <c r="C21" s="2465"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97"/>
      <c r="Q21" s="1898" t="str">
        <f>B21</f>
        <v>交通便捷度</v>
      </c>
      <c r="R21" s="753" t="s">
        <v>25</v>
      </c>
      <c r="S21" s="754">
        <f>F21</f>
        <v>100</v>
      </c>
      <c r="T21" s="753" t="s">
        <v>25</v>
      </c>
      <c r="U21" s="754">
        <f>H21</f>
        <v>100</v>
      </c>
      <c r="V21" s="753" t="s">
        <v>25</v>
      </c>
      <c r="W21" s="754">
        <f>J21</f>
        <v>100</v>
      </c>
      <c r="X21" s="1899"/>
      <c r="Y21" s="2997"/>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2997"/>
      <c r="Q22" s="1898"/>
      <c r="R22" s="753"/>
      <c r="S22" s="754"/>
      <c r="T22" s="753"/>
      <c r="U22" s="754"/>
      <c r="V22" s="753"/>
      <c r="W22" s="754"/>
      <c r="X22" s="1899"/>
      <c r="Y22" s="2997"/>
      <c r="Z22" s="1901"/>
      <c r="AA22" s="1902">
        <v>1</v>
      </c>
      <c r="AB22" s="1902">
        <v>1</v>
      </c>
      <c r="AC22" s="1902">
        <v>1</v>
      </c>
    </row>
    <row r="23" spans="1:29" ht="15">
      <c r="A23" s="383"/>
      <c r="B23" s="1491" t="s">
        <v>2539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97"/>
      <c r="Q23" s="1898" t="str">
        <f t="shared" ref="Q23:Q37" si="8">B23</f>
        <v>区域土地利用方向</v>
      </c>
      <c r="R23" s="753" t="s">
        <v>25</v>
      </c>
      <c r="S23" s="754">
        <f>F23</f>
        <v>100</v>
      </c>
      <c r="T23" s="753" t="s">
        <v>25</v>
      </c>
      <c r="U23" s="754">
        <f>H23</f>
        <v>100</v>
      </c>
      <c r="V23" s="753" t="s">
        <v>25</v>
      </c>
      <c r="W23" s="754">
        <f>J23</f>
        <v>100</v>
      </c>
      <c r="X23" s="1899"/>
      <c r="Y23" s="2997"/>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2997"/>
      <c r="Q24" s="1898"/>
      <c r="R24" s="753"/>
      <c r="S24" s="754"/>
      <c r="T24" s="753"/>
      <c r="U24" s="754"/>
      <c r="V24" s="753"/>
      <c r="W24" s="754"/>
      <c r="X24" s="1899"/>
      <c r="Y24" s="2997"/>
      <c r="Z24" s="1901"/>
      <c r="AA24" s="1902"/>
      <c r="AB24" s="1902"/>
      <c r="AC24" s="1902"/>
    </row>
    <row r="25" spans="1:29" ht="85.5">
      <c r="A25" s="383"/>
      <c r="B25" s="1490" t="s">
        <v>2540</v>
      </c>
      <c r="C25" s="2482"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97"/>
      <c r="Q25" s="1898" t="str">
        <f t="shared" si="8"/>
        <v>自然及人文环境状况</v>
      </c>
      <c r="R25" s="753" t="s">
        <v>25</v>
      </c>
      <c r="S25" s="754">
        <f>F25</f>
        <v>100</v>
      </c>
      <c r="T25" s="753" t="s">
        <v>25</v>
      </c>
      <c r="U25" s="754">
        <f>H25</f>
        <v>100</v>
      </c>
      <c r="V25" s="753" t="s">
        <v>25</v>
      </c>
      <c r="W25" s="754">
        <f>J25</f>
        <v>100</v>
      </c>
      <c r="X25" s="1899"/>
      <c r="Y25" s="2997"/>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97"/>
      <c r="Q26" s="1898"/>
      <c r="R26" s="753"/>
      <c r="S26" s="754"/>
      <c r="T26" s="753"/>
      <c r="U26" s="754"/>
      <c r="V26" s="753"/>
      <c r="W26" s="754"/>
      <c r="X26" s="1899"/>
      <c r="Y26" s="2997"/>
      <c r="Z26" s="1901"/>
      <c r="AA26" s="1902">
        <v>1</v>
      </c>
      <c r="AB26" s="1902">
        <v>1</v>
      </c>
      <c r="AC26" s="1902">
        <v>1</v>
      </c>
    </row>
    <row r="27" spans="1:29" ht="228">
      <c r="A27" s="383"/>
      <c r="B27" s="1490" t="s">
        <v>2442</v>
      </c>
      <c r="C27" s="246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97"/>
      <c r="Q27" s="1886" t="str">
        <f>B27</f>
        <v>公共配套设施</v>
      </c>
      <c r="R27" s="749" t="s">
        <v>25</v>
      </c>
      <c r="S27" s="750">
        <f>F27</f>
        <v>100</v>
      </c>
      <c r="T27" s="749" t="s">
        <v>25</v>
      </c>
      <c r="U27" s="750">
        <f>H27</f>
        <v>100</v>
      </c>
      <c r="V27" s="749" t="s">
        <v>25</v>
      </c>
      <c r="W27" s="750">
        <f>J27</f>
        <v>100</v>
      </c>
      <c r="X27" s="1899"/>
      <c r="Y27" s="2997"/>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2997"/>
      <c r="Q28" s="1898"/>
      <c r="R28" s="753"/>
      <c r="S28" s="754"/>
      <c r="T28" s="753"/>
      <c r="U28" s="754"/>
      <c r="V28" s="753"/>
      <c r="W28" s="754"/>
      <c r="X28" s="1899"/>
      <c r="Y28" s="2997"/>
      <c r="Z28" s="23"/>
      <c r="AA28" s="1902">
        <v>1</v>
      </c>
      <c r="AB28" s="1902">
        <v>1</v>
      </c>
      <c r="AC28" s="1902">
        <v>1</v>
      </c>
    </row>
    <row r="29" spans="1:29" s="35" customFormat="1" ht="42.75">
      <c r="A29" s="633"/>
      <c r="B29" s="1490" t="s">
        <v>2443</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97"/>
      <c r="Q29" s="1886" t="str">
        <f t="shared" si="8"/>
        <v>基础设施水平</v>
      </c>
      <c r="R29" s="749" t="s">
        <v>25</v>
      </c>
      <c r="S29" s="750">
        <f>F29</f>
        <v>100</v>
      </c>
      <c r="T29" s="749" t="s">
        <v>25</v>
      </c>
      <c r="U29" s="750">
        <f>H29</f>
        <v>100</v>
      </c>
      <c r="V29" s="749" t="s">
        <v>25</v>
      </c>
      <c r="W29" s="750">
        <f>J29</f>
        <v>100</v>
      </c>
      <c r="X29" s="751"/>
      <c r="Y29" s="2997"/>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2997"/>
      <c r="Q30" s="1886"/>
      <c r="R30" s="749"/>
      <c r="S30" s="750"/>
      <c r="T30" s="749"/>
      <c r="U30" s="750"/>
      <c r="V30" s="749"/>
      <c r="W30" s="750"/>
      <c r="X30" s="751"/>
      <c r="Y30" s="2997"/>
      <c r="Z30" s="23"/>
      <c r="AA30" s="1902">
        <v>1</v>
      </c>
      <c r="AB30" s="1902">
        <v>1</v>
      </c>
      <c r="AC30" s="1902">
        <v>1</v>
      </c>
    </row>
    <row r="31" spans="1:29" ht="15">
      <c r="A31" s="383"/>
      <c r="B31" s="1489"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97"/>
      <c r="Q31" s="1898" t="str">
        <f t="shared" si="8"/>
        <v>临街状况</v>
      </c>
      <c r="R31" s="753" t="s">
        <v>25</v>
      </c>
      <c r="S31" s="754">
        <f t="shared" ref="S31:S45" si="9">F31</f>
        <v>100</v>
      </c>
      <c r="T31" s="753" t="s">
        <v>25</v>
      </c>
      <c r="U31" s="754">
        <f t="shared" ref="U31:U45" si="10">H31</f>
        <v>100</v>
      </c>
      <c r="V31" s="753" t="s">
        <v>25</v>
      </c>
      <c r="W31" s="754">
        <f t="shared" ref="W31:W45" si="11">J31</f>
        <v>100</v>
      </c>
      <c r="X31" s="1899"/>
      <c r="Y31" s="2997"/>
      <c r="Z31" s="1901" t="str">
        <f t="shared" ref="Z31:Z45" si="12">Q31</f>
        <v>临街状况</v>
      </c>
      <c r="AA31" s="1902">
        <f t="shared" si="3"/>
        <v>1</v>
      </c>
      <c r="AB31" s="1902">
        <f t="shared" si="4"/>
        <v>1</v>
      </c>
      <c r="AC31" s="1902">
        <f t="shared" si="5"/>
        <v>1</v>
      </c>
    </row>
    <row r="32" spans="1:29" ht="27">
      <c r="A32" s="383"/>
      <c r="B32" s="1490"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97"/>
      <c r="Q32" s="1898" t="str">
        <f t="shared" si="8"/>
        <v>毗邻道路的类型与等级</v>
      </c>
      <c r="R32" s="753" t="s">
        <v>25</v>
      </c>
      <c r="S32" s="754">
        <f t="shared" si="9"/>
        <v>100</v>
      </c>
      <c r="T32" s="753" t="s">
        <v>25</v>
      </c>
      <c r="U32" s="754">
        <f t="shared" si="10"/>
        <v>100</v>
      </c>
      <c r="V32" s="753" t="s">
        <v>25</v>
      </c>
      <c r="W32" s="754">
        <f t="shared" si="11"/>
        <v>100</v>
      </c>
      <c r="X32" s="1899"/>
      <c r="Y32" s="2997"/>
      <c r="Z32" s="1901" t="str">
        <f t="shared" si="12"/>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97"/>
      <c r="Q33" s="1898"/>
      <c r="R33" s="753"/>
      <c r="S33" s="754"/>
      <c r="T33" s="753"/>
      <c r="U33" s="754"/>
      <c r="V33" s="753"/>
      <c r="W33" s="754"/>
      <c r="X33" s="1899"/>
      <c r="Y33" s="2997"/>
      <c r="Z33" s="1901"/>
      <c r="AA33" s="1902">
        <v>1</v>
      </c>
      <c r="AB33" s="1902">
        <v>1</v>
      </c>
      <c r="AC33" s="1902">
        <v>1</v>
      </c>
    </row>
    <row r="34" spans="1:29" ht="15">
      <c r="A34" s="383"/>
      <c r="B34" s="1493"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97"/>
      <c r="Q34" s="1898" t="str">
        <f t="shared" si="8"/>
        <v>土地级别</v>
      </c>
      <c r="R34" s="753" t="s">
        <v>25</v>
      </c>
      <c r="S34" s="754">
        <f t="shared" si="9"/>
        <v>100</v>
      </c>
      <c r="T34" s="753" t="s">
        <v>25</v>
      </c>
      <c r="U34" s="754">
        <f t="shared" si="10"/>
        <v>100</v>
      </c>
      <c r="V34" s="753" t="s">
        <v>25</v>
      </c>
      <c r="W34" s="754">
        <f t="shared" si="11"/>
        <v>100</v>
      </c>
      <c r="X34" s="1899"/>
      <c r="Y34" s="2997"/>
      <c r="Z34" s="1901" t="str">
        <f t="shared" si="12"/>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97"/>
      <c r="Q35" s="1898">
        <f t="shared" si="8"/>
        <v>111</v>
      </c>
      <c r="R35" s="753" t="s">
        <v>25</v>
      </c>
      <c r="S35" s="754">
        <f t="shared" si="9"/>
        <v>100</v>
      </c>
      <c r="T35" s="753" t="s">
        <v>25</v>
      </c>
      <c r="U35" s="754">
        <f t="shared" si="10"/>
        <v>100</v>
      </c>
      <c r="V35" s="753" t="s">
        <v>25</v>
      </c>
      <c r="W35" s="754">
        <f t="shared" si="11"/>
        <v>100</v>
      </c>
      <c r="X35" s="1899"/>
      <c r="Y35" s="2997"/>
      <c r="Z35" s="1901">
        <f t="shared" si="12"/>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3" t="s">
        <v>2362</v>
      </c>
      <c r="Q36" s="1898">
        <f t="shared" si="8"/>
        <v>111</v>
      </c>
      <c r="R36" s="753" t="s">
        <v>25</v>
      </c>
      <c r="S36" s="754">
        <f t="shared" si="9"/>
        <v>100</v>
      </c>
      <c r="T36" s="753" t="s">
        <v>25</v>
      </c>
      <c r="U36" s="754">
        <f t="shared" si="10"/>
        <v>100</v>
      </c>
      <c r="V36" s="753" t="s">
        <v>25</v>
      </c>
      <c r="W36" s="754">
        <f t="shared" si="11"/>
        <v>100</v>
      </c>
      <c r="X36" s="1899"/>
      <c r="Y36" s="3001" t="s">
        <v>2362</v>
      </c>
      <c r="Z36" s="1901">
        <f t="shared" si="12"/>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1"/>
      <c r="Q37" s="1898">
        <f t="shared" si="8"/>
        <v>111</v>
      </c>
      <c r="R37" s="756" t="s">
        <v>25</v>
      </c>
      <c r="S37" s="757">
        <f t="shared" si="9"/>
        <v>100</v>
      </c>
      <c r="T37" s="756" t="s">
        <v>25</v>
      </c>
      <c r="U37" s="757">
        <f t="shared" si="10"/>
        <v>100</v>
      </c>
      <c r="V37" s="756" t="s">
        <v>25</v>
      </c>
      <c r="W37" s="757">
        <f t="shared" si="11"/>
        <v>100</v>
      </c>
      <c r="X37" s="758"/>
      <c r="Y37" s="3001"/>
      <c r="Z37" s="759">
        <f t="shared" si="12"/>
        <v>111</v>
      </c>
      <c r="AA37" s="1902">
        <f t="shared" si="3"/>
        <v>1</v>
      </c>
      <c r="AB37" s="1902">
        <f t="shared" si="4"/>
        <v>1</v>
      </c>
      <c r="AC37" s="1902">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1"/>
      <c r="Q38" s="1898" t="str">
        <f>B38</f>
        <v>宗地面积</v>
      </c>
      <c r="R38" s="753" t="s">
        <v>25</v>
      </c>
      <c r="S38" s="754" t="e">
        <f t="shared" si="9"/>
        <v>#N/A</v>
      </c>
      <c r="T38" s="753" t="s">
        <v>25</v>
      </c>
      <c r="U38" s="754" t="e">
        <f t="shared" si="10"/>
        <v>#N/A</v>
      </c>
      <c r="V38" s="753" t="s">
        <v>25</v>
      </c>
      <c r="W38" s="754" t="e">
        <f t="shared" si="11"/>
        <v>#N/A</v>
      </c>
      <c r="X38" s="1899"/>
      <c r="Y38" s="3001"/>
      <c r="Z38" s="1901" t="str">
        <f t="shared" si="12"/>
        <v>宗地面积</v>
      </c>
      <c r="AA38" s="1902" t="e">
        <f t="shared" si="3"/>
        <v>#N/A</v>
      </c>
      <c r="AB38" s="1902" t="e">
        <f t="shared" si="4"/>
        <v>#N/A</v>
      </c>
      <c r="AC38" s="1902" t="e">
        <f t="shared" si="5"/>
        <v>#N/A</v>
      </c>
    </row>
    <row r="39" spans="1:29" ht="15">
      <c r="A39" s="453"/>
      <c r="B39" s="402" t="s">
        <v>2543</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01"/>
      <c r="Q39" s="1898" t="str">
        <f t="shared" ref="Q39:Q45" si="13">B39</f>
        <v>宗地形状</v>
      </c>
      <c r="R39" s="753" t="s">
        <v>25</v>
      </c>
      <c r="S39" s="754">
        <f t="shared" si="9"/>
        <v>100</v>
      </c>
      <c r="T39" s="753" t="s">
        <v>25</v>
      </c>
      <c r="U39" s="754">
        <f t="shared" si="10"/>
        <v>100</v>
      </c>
      <c r="V39" s="753" t="s">
        <v>25</v>
      </c>
      <c r="W39" s="754">
        <f t="shared" si="11"/>
        <v>100</v>
      </c>
      <c r="X39" s="1899"/>
      <c r="Y39" s="3001"/>
      <c r="Z39" s="1901" t="str">
        <f t="shared" si="12"/>
        <v>宗地形状</v>
      </c>
      <c r="AA39" s="1902">
        <f t="shared" si="3"/>
        <v>1</v>
      </c>
      <c r="AB39" s="1902">
        <f t="shared" si="4"/>
        <v>1</v>
      </c>
      <c r="AC39" s="1902">
        <f t="shared" si="5"/>
        <v>1</v>
      </c>
    </row>
    <row r="40" spans="1:29" ht="15">
      <c r="A40" s="453"/>
      <c r="B40" s="402" t="s">
        <v>2544</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01"/>
      <c r="Q40" s="1898" t="str">
        <f t="shared" si="13"/>
        <v>临街宽度及深度</v>
      </c>
      <c r="R40" s="753" t="s">
        <v>25</v>
      </c>
      <c r="S40" s="754">
        <f t="shared" si="9"/>
        <v>100</v>
      </c>
      <c r="T40" s="753" t="s">
        <v>25</v>
      </c>
      <c r="U40" s="754">
        <f t="shared" si="10"/>
        <v>100</v>
      </c>
      <c r="V40" s="753" t="s">
        <v>25</v>
      </c>
      <c r="W40" s="754">
        <f t="shared" si="11"/>
        <v>100</v>
      </c>
      <c r="X40" s="1899"/>
      <c r="Y40" s="3001"/>
      <c r="Z40" s="1901" t="str">
        <f t="shared" si="12"/>
        <v>临街宽度及深度</v>
      </c>
      <c r="AA40" s="1902">
        <f t="shared" si="3"/>
        <v>1</v>
      </c>
      <c r="AB40" s="1902">
        <f t="shared" si="4"/>
        <v>1</v>
      </c>
      <c r="AC40" s="1902">
        <f t="shared" si="5"/>
        <v>1</v>
      </c>
    </row>
    <row r="41" spans="1:29" s="35" customFormat="1" ht="15">
      <c r="A41" s="454"/>
      <c r="B41" s="402" t="s">
        <v>2545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01"/>
      <c r="Q41" s="1898" t="str">
        <f t="shared" si="13"/>
        <v>宗地开发程度</v>
      </c>
      <c r="R41" s="749" t="s">
        <v>25</v>
      </c>
      <c r="S41" s="750">
        <f t="shared" si="9"/>
        <v>100</v>
      </c>
      <c r="T41" s="749" t="s">
        <v>25</v>
      </c>
      <c r="U41" s="750">
        <f t="shared" si="10"/>
        <v>100</v>
      </c>
      <c r="V41" s="749" t="s">
        <v>25</v>
      </c>
      <c r="W41" s="750">
        <f t="shared" si="11"/>
        <v>100</v>
      </c>
      <c r="X41" s="751"/>
      <c r="Y41" s="3001"/>
      <c r="Z41" s="23" t="str">
        <f t="shared" si="12"/>
        <v>宗地开发程度</v>
      </c>
      <c r="AA41" s="752">
        <f t="shared" si="3"/>
        <v>1</v>
      </c>
      <c r="AB41" s="752">
        <f t="shared" si="4"/>
        <v>1</v>
      </c>
      <c r="AC41" s="752">
        <f t="shared" si="5"/>
        <v>1</v>
      </c>
    </row>
    <row r="42" spans="1:29" ht="15">
      <c r="A42" s="453"/>
      <c r="B42" s="402" t="s">
        <v>2546</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01" t="s">
        <v>2362</v>
      </c>
      <c r="Q42" s="1898" t="str">
        <f t="shared" si="13"/>
        <v>工程地质条件</v>
      </c>
      <c r="R42" s="753" t="s">
        <v>25</v>
      </c>
      <c r="S42" s="754">
        <f t="shared" si="9"/>
        <v>100</v>
      </c>
      <c r="T42" s="753" t="s">
        <v>25</v>
      </c>
      <c r="U42" s="754">
        <f t="shared" si="10"/>
        <v>100</v>
      </c>
      <c r="V42" s="753" t="s">
        <v>25</v>
      </c>
      <c r="W42" s="754">
        <f t="shared" si="11"/>
        <v>100</v>
      </c>
      <c r="X42" s="1899"/>
      <c r="Y42" s="3001" t="s">
        <v>2362</v>
      </c>
      <c r="Z42" s="1901" t="str">
        <f t="shared" si="12"/>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1"/>
      <c r="Q43" s="1898">
        <f t="shared" si="13"/>
        <v>111</v>
      </c>
      <c r="R43" s="753" t="s">
        <v>25</v>
      </c>
      <c r="S43" s="754">
        <f t="shared" si="9"/>
        <v>100</v>
      </c>
      <c r="T43" s="753" t="s">
        <v>25</v>
      </c>
      <c r="U43" s="754">
        <f t="shared" si="10"/>
        <v>100</v>
      </c>
      <c r="V43" s="753" t="s">
        <v>25</v>
      </c>
      <c r="W43" s="754">
        <f t="shared" si="11"/>
        <v>100</v>
      </c>
      <c r="X43" s="1899"/>
      <c r="Y43" s="3001"/>
      <c r="Z43" s="1901">
        <f t="shared" si="12"/>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1"/>
      <c r="Q44" s="1898">
        <f t="shared" si="13"/>
        <v>111</v>
      </c>
      <c r="R44" s="753" t="s">
        <v>25</v>
      </c>
      <c r="S44" s="754">
        <f t="shared" si="9"/>
        <v>100</v>
      </c>
      <c r="T44" s="753" t="s">
        <v>25</v>
      </c>
      <c r="U44" s="754">
        <f t="shared" si="10"/>
        <v>100</v>
      </c>
      <c r="V44" s="753" t="s">
        <v>25</v>
      </c>
      <c r="W44" s="754">
        <f t="shared" si="11"/>
        <v>100</v>
      </c>
      <c r="X44" s="1899"/>
      <c r="Y44" s="3001"/>
      <c r="Z44" s="1901">
        <f t="shared" si="12"/>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1"/>
      <c r="Q45" s="1898">
        <f t="shared" si="13"/>
        <v>111</v>
      </c>
      <c r="R45" s="756" t="s">
        <v>25</v>
      </c>
      <c r="S45" s="757">
        <f t="shared" si="9"/>
        <v>100</v>
      </c>
      <c r="T45" s="756" t="s">
        <v>25</v>
      </c>
      <c r="U45" s="757">
        <f t="shared" si="10"/>
        <v>100</v>
      </c>
      <c r="V45" s="756" t="s">
        <v>25</v>
      </c>
      <c r="W45" s="757">
        <f t="shared" si="11"/>
        <v>100</v>
      </c>
      <c r="X45" s="758"/>
      <c r="Y45" s="3001"/>
      <c r="Z45" s="759">
        <f t="shared" si="12"/>
        <v>111</v>
      </c>
      <c r="AA45" s="1902">
        <f t="shared" si="3"/>
        <v>1</v>
      </c>
      <c r="AB45" s="1902">
        <f t="shared" si="4"/>
        <v>1</v>
      </c>
      <c r="AC45" s="1902">
        <f t="shared" si="5"/>
        <v>1</v>
      </c>
    </row>
    <row r="46" spans="1:29" ht="15">
      <c r="A46" s="460" t="s">
        <v>2510</v>
      </c>
      <c r="B46" s="2489" t="s">
        <v>2547</v>
      </c>
      <c r="C46" s="665" t="s">
        <v>1</v>
      </c>
      <c r="D46" s="462"/>
      <c r="E46" s="463"/>
      <c r="F46" s="464"/>
      <c r="G46" s="465"/>
      <c r="H46" s="466"/>
      <c r="I46" s="463"/>
      <c r="J46" s="466"/>
      <c r="K46" s="762"/>
      <c r="L46" s="1255"/>
      <c r="M46" s="1256"/>
      <c r="N46" s="1243"/>
      <c r="O46" s="1256"/>
      <c r="P46" s="3007" t="str">
        <f>A46</f>
        <v>成交单价</v>
      </c>
      <c r="Q46" s="3007"/>
      <c r="R46" s="2991">
        <f>E46</f>
        <v>0</v>
      </c>
      <c r="S46" s="2991"/>
      <c r="T46" s="2991">
        <f>G46</f>
        <v>0</v>
      </c>
      <c r="U46" s="2991"/>
      <c r="V46" s="2991">
        <f>I46</f>
        <v>0</v>
      </c>
      <c r="W46" s="2991"/>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5"/>
      <c r="M47" s="1256"/>
      <c r="N47" s="1256"/>
      <c r="O47" s="1256"/>
      <c r="P47" s="3007" t="str">
        <f>A47</f>
        <v>比较价值（元/平方米）</v>
      </c>
      <c r="Q47" s="3007"/>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5"/>
      <c r="M48" s="1256"/>
      <c r="N48" s="1256"/>
      <c r="O48" s="1256"/>
      <c r="P48" s="3013" t="str">
        <f>A48</f>
        <v>估价对象XX用房的比较价值（楼面单价，元/平方米）</v>
      </c>
      <c r="Q48" s="3014"/>
      <c r="R48" s="3085" t="e">
        <f>ROUND(AVERAGE(R47:V47),0)</f>
        <v>#DIV/0!</v>
      </c>
      <c r="S48" s="3085"/>
      <c r="T48" s="3085"/>
      <c r="U48" s="3085"/>
      <c r="V48" s="3085"/>
      <c r="W48" s="308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2548</v>
      </c>
      <c r="B55" s="668" t="s">
        <v>2549</v>
      </c>
      <c r="C55" s="2490" t="s">
        <v>2550</v>
      </c>
      <c r="D55" s="2491" t="s">
        <v>2551</v>
      </c>
      <c r="E55" s="669" t="s">
        <v>2552</v>
      </c>
      <c r="F55" s="670" t="s">
        <v>2553</v>
      </c>
      <c r="G55" s="62" t="s">
        <v>2554</v>
      </c>
      <c r="H55" s="62">
        <f>项目基本情况!G8</f>
        <v>0</v>
      </c>
      <c r="I55" s="2492" t="s">
        <v>2555</v>
      </c>
      <c r="J55" s="739"/>
      <c r="K55" s="1257"/>
      <c r="L55" s="1257"/>
      <c r="M55" s="1256"/>
      <c r="N55" s="1256"/>
      <c r="O55" s="1256"/>
    </row>
    <row r="56" spans="1:15" s="675" customFormat="1">
      <c r="A56" s="671" t="s">
        <v>2556</v>
      </c>
      <c r="B56" s="672" t="e">
        <f>C48</f>
        <v>#DIV/0!</v>
      </c>
      <c r="C56" s="673">
        <v>1</v>
      </c>
      <c r="D56" s="1292">
        <v>1</v>
      </c>
      <c r="E56" s="677">
        <v>120</v>
      </c>
      <c r="F56" s="674" t="e">
        <f t="shared" ref="F56:F65" si="14">ROUND(B56*E56,0)</f>
        <v>#DIV/0!</v>
      </c>
      <c r="G56" s="972">
        <v>1</v>
      </c>
      <c r="H56" s="972">
        <v>1</v>
      </c>
      <c r="I56" s="1258"/>
      <c r="J56" s="1258"/>
      <c r="K56" s="1262"/>
      <c r="L56" s="1263"/>
      <c r="M56" s="1258"/>
      <c r="N56" s="1258"/>
      <c r="O56" s="971"/>
    </row>
    <row r="57" spans="1:15" s="675" customFormat="1">
      <c r="A57" s="676" t="s">
        <v>2557</v>
      </c>
      <c r="B57" s="178" t="e">
        <f>ROUND($C$48*C57*D57,0)</f>
        <v>#DIV/0!</v>
      </c>
      <c r="C57" s="117">
        <f>IF($C$55="北京市系数",G57,H57)</f>
        <v>0.8</v>
      </c>
      <c r="D57" s="1291">
        <v>0.25</v>
      </c>
      <c r="E57" s="677">
        <v>0</v>
      </c>
      <c r="F57" s="674" t="e">
        <f t="shared" si="14"/>
        <v>#DIV/0!</v>
      </c>
      <c r="G57" s="972">
        <f>SUMIF(修正!$A$45:$A$56,项目基本情况!$F$9,修正!B45:B56)</f>
        <v>0.8</v>
      </c>
      <c r="H57" s="973"/>
      <c r="I57" s="1256"/>
      <c r="J57" s="1261"/>
      <c r="K57" s="1257"/>
      <c r="L57" s="1257"/>
      <c r="M57" s="1256"/>
      <c r="N57" s="1256"/>
      <c r="O57" s="971"/>
    </row>
    <row r="58" spans="1:15" s="675" customFormat="1">
      <c r="A58" s="676" t="s">
        <v>2558</v>
      </c>
      <c r="B58" s="178" t="e">
        <f t="shared" ref="B58:B65" si="15">ROUND($C$48*C58*D58,0)</f>
        <v>#DIV/0!</v>
      </c>
      <c r="C58" s="117">
        <f t="shared" ref="C58:C65" si="16">IF($C$55="北京市系数",G58,H58)</f>
        <v>0.5</v>
      </c>
      <c r="D58" s="1291">
        <v>0.25</v>
      </c>
      <c r="E58" s="677">
        <v>0</v>
      </c>
      <c r="F58" s="674" t="e">
        <f t="shared" si="14"/>
        <v>#DIV/0!</v>
      </c>
      <c r="G58" s="972">
        <f>SUMIF(修正!$A$45:$A$56,项目基本情况!$F$9,修正!C45:C56)</f>
        <v>0.5</v>
      </c>
      <c r="H58" s="973"/>
      <c r="I58" s="1258"/>
      <c r="J58" s="1258"/>
      <c r="K58" s="1262"/>
      <c r="L58" s="1263"/>
      <c r="M58" s="1258"/>
      <c r="N58" s="1258"/>
      <c r="O58" s="971"/>
    </row>
    <row r="59" spans="1:15" s="675" customFormat="1">
      <c r="A59" s="676" t="s">
        <v>2559</v>
      </c>
      <c r="B59" s="178" t="e">
        <f t="shared" si="15"/>
        <v>#DIV/0!</v>
      </c>
      <c r="C59" s="117">
        <f t="shared" si="16"/>
        <v>0.36</v>
      </c>
      <c r="D59" s="1291">
        <v>0.25</v>
      </c>
      <c r="E59" s="677">
        <v>0</v>
      </c>
      <c r="F59" s="674" t="e">
        <f t="shared" si="14"/>
        <v>#DIV/0!</v>
      </c>
      <c r="G59" s="972">
        <f>SUMIF(修正!$A$45:$A$56,项目基本情况!$F$9,修正!D45:D56)</f>
        <v>0.36</v>
      </c>
      <c r="H59" s="973"/>
      <c r="I59" s="1256"/>
      <c r="J59" s="1261"/>
      <c r="K59" s="1257"/>
      <c r="L59" s="1257"/>
      <c r="M59" s="1256"/>
      <c r="N59" s="1256"/>
      <c r="O59" s="971"/>
    </row>
    <row r="60" spans="1:15" s="675" customFormat="1">
      <c r="A60" s="676" t="s">
        <v>2560</v>
      </c>
      <c r="B60" s="178" t="e">
        <f t="shared" si="15"/>
        <v>#DIV/0!</v>
      </c>
      <c r="C60" s="117">
        <f t="shared" si="16"/>
        <v>0.3</v>
      </c>
      <c r="D60" s="1291">
        <v>0.25</v>
      </c>
      <c r="E60" s="677">
        <v>0</v>
      </c>
      <c r="F60" s="674" t="e">
        <f t="shared" si="14"/>
        <v>#DIV/0!</v>
      </c>
      <c r="G60" s="972">
        <f>SUMIF(修正!$A$45:$A$56,项目基本情况!$F$9,修正!E45:E56)</f>
        <v>0.3</v>
      </c>
      <c r="H60" s="973"/>
      <c r="I60" s="1258"/>
      <c r="J60" s="1258"/>
      <c r="K60" s="1262"/>
      <c r="L60" s="1263"/>
      <c r="M60" s="1258"/>
      <c r="N60" s="1258"/>
      <c r="O60" s="971"/>
    </row>
    <row r="61" spans="1:15" s="675" customFormat="1">
      <c r="A61" s="676" t="s">
        <v>2561</v>
      </c>
      <c r="B61" s="178" t="e">
        <f t="shared" si="15"/>
        <v>#DIV/0!</v>
      </c>
      <c r="C61" s="117">
        <f t="shared" si="16"/>
        <v>0.3</v>
      </c>
      <c r="D61" s="1291">
        <v>0.25</v>
      </c>
      <c r="E61" s="677">
        <v>0</v>
      </c>
      <c r="F61" s="674" t="e">
        <f t="shared" si="14"/>
        <v>#DIV/0!</v>
      </c>
      <c r="G61" s="972">
        <f>SUMIF(修正!A45:A56,项目基本情况!F9,修正!F45:F56)</f>
        <v>0.3</v>
      </c>
      <c r="H61" s="973"/>
      <c r="I61" s="1256"/>
      <c r="J61" s="1261"/>
      <c r="K61" s="1257"/>
      <c r="L61" s="1257"/>
      <c r="M61" s="1256"/>
      <c r="N61" s="1256"/>
      <c r="O61" s="971"/>
    </row>
    <row r="62" spans="1:15" s="675" customFormat="1">
      <c r="A62" s="676" t="s">
        <v>2562</v>
      </c>
      <c r="B62" s="178" t="e">
        <f t="shared" si="15"/>
        <v>#DIV/0!</v>
      </c>
      <c r="C62" s="117">
        <f t="shared" si="16"/>
        <v>0.3</v>
      </c>
      <c r="D62" s="1291">
        <v>0.25</v>
      </c>
      <c r="E62" s="677">
        <v>0</v>
      </c>
      <c r="F62" s="674" t="e">
        <f t="shared" si="14"/>
        <v>#DIV/0!</v>
      </c>
      <c r="G62" s="972">
        <f>SUMIF(修正!A45:A56,项目基本情况!F9,修正!G45:G56)</f>
        <v>0.3</v>
      </c>
      <c r="H62" s="973"/>
      <c r="I62" s="1258"/>
      <c r="J62" s="1258"/>
      <c r="K62" s="1262"/>
      <c r="L62" s="1263"/>
      <c r="M62" s="1258"/>
      <c r="N62" s="1258"/>
      <c r="O62" s="971"/>
    </row>
    <row r="63" spans="1:15" s="675" customFormat="1">
      <c r="A63" s="676" t="s">
        <v>2563</v>
      </c>
      <c r="B63" s="178" t="e">
        <f t="shared" si="15"/>
        <v>#DIV/0!</v>
      </c>
      <c r="C63" s="117">
        <f>IF($C$55="北京市系数",G63,H63)</f>
        <v>0.25</v>
      </c>
      <c r="D63" s="1291">
        <v>0.25</v>
      </c>
      <c r="E63" s="677">
        <v>0</v>
      </c>
      <c r="F63" s="674" t="e">
        <f t="shared" si="14"/>
        <v>#DIV/0!</v>
      </c>
      <c r="G63" s="972">
        <f>SUMIF(修正!A45:A56,项目基本情况!F9,修正!H45:H56)</f>
        <v>0.25</v>
      </c>
      <c r="H63" s="973"/>
      <c r="I63" s="1256"/>
      <c r="J63" s="1261"/>
      <c r="K63" s="1257"/>
      <c r="L63" s="1257"/>
      <c r="M63" s="1256"/>
      <c r="N63" s="1256"/>
      <c r="O63" s="971"/>
    </row>
    <row r="64" spans="1:15" s="675" customFormat="1">
      <c r="A64" s="676" t="s">
        <v>2564</v>
      </c>
      <c r="B64" s="178" t="e">
        <f t="shared" si="15"/>
        <v>#DIV/0!</v>
      </c>
      <c r="C64" s="117">
        <f t="shared" si="16"/>
        <v>0.25</v>
      </c>
      <c r="D64" s="1291">
        <v>0.25</v>
      </c>
      <c r="E64" s="677">
        <v>0</v>
      </c>
      <c r="F64" s="674" t="e">
        <f t="shared" si="14"/>
        <v>#DIV/0!</v>
      </c>
      <c r="G64" s="972">
        <f>G63</f>
        <v>0.25</v>
      </c>
      <c r="H64" s="973"/>
      <c r="I64" s="1258"/>
      <c r="J64" s="1258"/>
      <c r="K64" s="1262"/>
      <c r="L64" s="1263"/>
      <c r="M64" s="1258"/>
      <c r="N64" s="1258"/>
      <c r="O64" s="971"/>
    </row>
    <row r="65" spans="1:17" s="675" customFormat="1">
      <c r="A65" s="676" t="s">
        <v>2565</v>
      </c>
      <c r="B65" s="178" t="e">
        <f t="shared" si="15"/>
        <v>#DIV/0!</v>
      </c>
      <c r="C65" s="117">
        <f t="shared" si="16"/>
        <v>0.25</v>
      </c>
      <c r="D65" s="1291">
        <v>0.25</v>
      </c>
      <c r="E65" s="677">
        <v>0</v>
      </c>
      <c r="F65" s="674" t="e">
        <f t="shared" si="14"/>
        <v>#DIV/0!</v>
      </c>
      <c r="G65" s="972">
        <f>G63</f>
        <v>0.25</v>
      </c>
      <c r="H65" s="973"/>
      <c r="I65" s="1256"/>
      <c r="J65" s="1261"/>
      <c r="K65" s="1257"/>
      <c r="L65" s="1257"/>
      <c r="M65" s="1256"/>
      <c r="N65" s="1256"/>
      <c r="O65" s="971"/>
    </row>
    <row r="66" spans="1:17" s="675" customFormat="1" ht="13.5" thickBot="1">
      <c r="A66" s="679" t="s">
        <v>2566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7">EDATE(D68,-3)</f>
        <v>43070</v>
      </c>
      <c r="F68" s="1669">
        <f t="shared" si="17"/>
        <v>42979</v>
      </c>
      <c r="G68" s="1669">
        <f t="shared" si="17"/>
        <v>42887</v>
      </c>
      <c r="H68" s="1669">
        <f t="shared" si="17"/>
        <v>42795</v>
      </c>
      <c r="I68" s="1669">
        <f t="shared" si="17"/>
        <v>42705</v>
      </c>
      <c r="J68" s="1669">
        <f t="shared" si="17"/>
        <v>42614</v>
      </c>
      <c r="K68" s="1669">
        <f t="shared" si="17"/>
        <v>42522</v>
      </c>
      <c r="L68" s="1669">
        <f t="shared" si="17"/>
        <v>42430</v>
      </c>
      <c r="M68" s="1669">
        <f t="shared" si="17"/>
        <v>42339</v>
      </c>
      <c r="N68" s="1669">
        <f t="shared" si="17"/>
        <v>42248</v>
      </c>
      <c r="O68" s="1669">
        <f t="shared" si="17"/>
        <v>42156</v>
      </c>
    </row>
    <row r="69" spans="1:17" ht="21.75" thickBot="1">
      <c r="A69" s="742" t="s">
        <v>2462</v>
      </c>
      <c r="B69" s="738"/>
      <c r="C69" s="743"/>
      <c r="D69" s="743"/>
      <c r="E69" s="743"/>
      <c r="F69" s="744"/>
      <c r="G69" s="744"/>
      <c r="H69" s="743"/>
      <c r="I69" s="1272"/>
      <c r="J69" s="1272"/>
      <c r="K69" s="1270"/>
      <c r="L69" s="1271"/>
      <c r="M69" s="1272"/>
      <c r="N69" s="1272"/>
      <c r="O69" s="1272"/>
      <c r="P69" s="484"/>
      <c r="Q69" s="485"/>
    </row>
    <row r="70" spans="1:17" s="1673" customFormat="1" ht="15">
      <c r="A70" s="2493" t="s">
        <v>2567</v>
      </c>
      <c r="B70" s="1455"/>
      <c r="C70" s="1670" t="str">
        <f>YEAR(C68)&amp;"-"&amp;ROUNDUP(MONTH(C68)/3,0)</f>
        <v>2018-2</v>
      </c>
      <c r="D70" s="1670" t="str">
        <f>YEAR(D68)&amp;"-"&amp;ROUNDUP(MONTH(D68)/3,0)</f>
        <v>2018-1</v>
      </c>
      <c r="E70" s="1670" t="str">
        <f t="shared" ref="E70:O70" si="18">YEAR(E68)&amp;"-"&amp;ROUNDUP(MONTH(E68)/3,0)</f>
        <v>2017-4</v>
      </c>
      <c r="F70" s="1670" t="str">
        <f t="shared" si="18"/>
        <v>2017-3</v>
      </c>
      <c r="G70" s="1670" t="str">
        <f t="shared" si="18"/>
        <v>2017-2</v>
      </c>
      <c r="H70" s="1670" t="str">
        <f t="shared" si="18"/>
        <v>2017-1</v>
      </c>
      <c r="I70" s="1670" t="str">
        <f t="shared" si="18"/>
        <v>2016-4</v>
      </c>
      <c r="J70" s="1670" t="str">
        <f t="shared" si="18"/>
        <v>2016-3</v>
      </c>
      <c r="K70" s="1670" t="str">
        <f t="shared" si="18"/>
        <v>2016-2</v>
      </c>
      <c r="L70" s="1670" t="str">
        <f t="shared" si="18"/>
        <v>2016-1</v>
      </c>
      <c r="M70" s="1670" t="str">
        <f t="shared" si="18"/>
        <v>2015-4</v>
      </c>
      <c r="N70" s="1670" t="str">
        <f t="shared" si="18"/>
        <v>2015-3</v>
      </c>
      <c r="O70" s="1670" t="str">
        <f t="shared" si="18"/>
        <v>2015-2</v>
      </c>
      <c r="P70" s="1672"/>
    </row>
    <row r="71" spans="1:17" s="35" customFormat="1" ht="29.25" customHeight="1">
      <c r="A71" s="2494" t="s">
        <v>2568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2382</v>
      </c>
      <c r="B72" s="497"/>
      <c r="C72" s="498"/>
      <c r="D72" s="499"/>
      <c r="E72" s="499"/>
      <c r="F72" s="499"/>
      <c r="G72" s="499"/>
      <c r="H72" s="499"/>
      <c r="I72" s="499"/>
      <c r="J72" s="499"/>
      <c r="K72" s="499"/>
      <c r="L72" s="499"/>
      <c r="M72" s="500"/>
      <c r="N72" s="499"/>
      <c r="O72" s="1675"/>
      <c r="P72" s="485"/>
      <c r="Q72" s="485"/>
    </row>
    <row r="73" spans="1:17" s="35" customFormat="1" ht="15">
      <c r="A73" s="502" t="s">
        <v>2346</v>
      </c>
      <c r="B73" s="491"/>
      <c r="C73" s="503" t="s">
        <v>2347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2385</v>
      </c>
      <c r="B75" s="509" t="s">
        <v>2350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7"/>
      <c r="O105" s="1267"/>
      <c r="P105" s="22"/>
      <c r="Q105" s="485"/>
    </row>
    <row r="106" spans="1:17" ht="27.75" thickTop="1">
      <c r="A106" s="516"/>
      <c r="B106" s="521" t="s">
        <v>2474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7"/>
      <c r="O107" s="1267"/>
      <c r="P107" s="22"/>
      <c r="Q107" s="485"/>
    </row>
    <row r="108" spans="1:17" ht="15.75" thickTop="1">
      <c r="A108" s="516"/>
      <c r="B108" s="521" t="s">
        <v>2541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2360</v>
      </c>
      <c r="B116" s="509" t="s">
        <v>2576</v>
      </c>
      <c r="C116" s="1856" t="str">
        <f t="shared" ref="C116:L116" si="24">C117&amp;"(含)"&amp;"-"&amp;D117</f>
        <v>(含)-</v>
      </c>
      <c r="D116" s="1856" t="str">
        <f t="shared" si="24"/>
        <v>(含)-</v>
      </c>
      <c r="E116" s="1856" t="str">
        <f t="shared" si="24"/>
        <v>(含)-</v>
      </c>
      <c r="F116" s="1856" t="str">
        <f t="shared" si="24"/>
        <v>(含)-</v>
      </c>
      <c r="G116" s="1856" t="str">
        <f t="shared" si="24"/>
        <v>(含)-</v>
      </c>
      <c r="H116" s="1856" t="str">
        <f t="shared" si="24"/>
        <v>(含)-</v>
      </c>
      <c r="I116" s="1856" t="str">
        <f t="shared" si="24"/>
        <v>(含)-</v>
      </c>
      <c r="J116" s="1856" t="str">
        <f t="shared" si="24"/>
        <v>(含)-</v>
      </c>
      <c r="K116" s="1856" t="str">
        <f t="shared" si="24"/>
        <v>(含)-</v>
      </c>
      <c r="L116" s="1857" t="str">
        <f t="shared" si="24"/>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7"/>
      <c r="O120" s="1267"/>
      <c r="P120" s="22"/>
      <c r="Q120" s="485"/>
    </row>
    <row r="121" spans="1:17" ht="15" thickTop="1">
      <c r="A121" s="583"/>
      <c r="B121" s="521" t="s">
        <v>2578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7"/>
      <c r="O122" s="1267"/>
      <c r="P122" s="22"/>
      <c r="Q122" s="485"/>
    </row>
    <row r="123" spans="1:17" s="452" customFormat="1" ht="15" thickTop="1">
      <c r="A123" s="577"/>
      <c r="B123" s="521" t="s">
        <v>2579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542"/>
      <c r="Q124" s="543"/>
    </row>
    <row r="125" spans="1:17" ht="15" thickTop="1">
      <c r="A125" s="583"/>
      <c r="B125" s="521" t="s">
        <v>2580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受您的委托，我公司对北京市海淀区德胜门西大街15号1号楼房地产进行了预评估。</v>
      </c>
      <c r="B4" s="1916"/>
      <c r="C4" s="1916"/>
      <c r="D4" s="1916"/>
      <c r="E4" s="1916"/>
      <c r="F4" s="1916"/>
      <c r="G4" s="1916"/>
    </row>
    <row r="5" spans="1:7" ht="18.75">
      <c r="A5" s="1917" t="s">
        <v>1268</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2018年6月5日（评估专业人员实地查勘之日）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1998</v>
      </c>
      <c r="B2" s="654" t="e">
        <f>F61</f>
        <v>#DIV/0!</v>
      </c>
      <c r="C2" s="732" t="s">
        <v>2535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5" t="s">
        <v>2332</v>
      </c>
      <c r="D4" s="2976"/>
      <c r="E4" s="2977" t="s">
        <v>2333</v>
      </c>
      <c r="F4" s="2978"/>
      <c r="G4" s="2975" t="s">
        <v>2334</v>
      </c>
      <c r="H4" s="2976"/>
      <c r="I4" s="2975" t="s">
        <v>2335</v>
      </c>
      <c r="J4" s="2976"/>
      <c r="K4" s="594" t="s">
        <v>2336</v>
      </c>
      <c r="L4" s="1242"/>
      <c r="M4" s="1243"/>
      <c r="N4" s="1243"/>
      <c r="O4" s="1243"/>
      <c r="P4" s="2979" t="s">
        <v>2337</v>
      </c>
      <c r="Q4" s="2980"/>
      <c r="R4" s="2985" t="s">
        <v>2333</v>
      </c>
      <c r="S4" s="2986"/>
      <c r="T4" s="2985" t="s">
        <v>2334</v>
      </c>
      <c r="U4" s="2986"/>
      <c r="V4" s="2991" t="s">
        <v>2335</v>
      </c>
      <c r="W4" s="2991"/>
      <c r="X4" s="1899"/>
      <c r="Y4" s="2985" t="s">
        <v>2337</v>
      </c>
      <c r="Z4" s="2986"/>
      <c r="AA4" s="2972" t="s">
        <v>2333</v>
      </c>
      <c r="AB4" s="2973" t="s">
        <v>2334</v>
      </c>
      <c r="AC4" s="2972" t="s">
        <v>2335</v>
      </c>
    </row>
    <row r="5" spans="1:29" ht="15">
      <c r="A5" s="383"/>
      <c r="B5" s="384"/>
      <c r="C5" s="3073" t="s">
        <v>2338</v>
      </c>
      <c r="D5" s="2993"/>
      <c r="E5" s="3074" t="s">
        <v>2339</v>
      </c>
      <c r="F5" s="3075"/>
      <c r="G5" s="3073" t="s">
        <v>2340</v>
      </c>
      <c r="H5" s="2993"/>
      <c r="I5" s="3073" t="s">
        <v>2341</v>
      </c>
      <c r="J5" s="2993"/>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72" t="s">
        <v>2342</v>
      </c>
      <c r="D6" s="2995"/>
      <c r="E6" s="3070" t="s">
        <v>2342</v>
      </c>
      <c r="F6" s="3071"/>
      <c r="G6" s="3072" t="s">
        <v>2342</v>
      </c>
      <c r="H6" s="2995"/>
      <c r="I6" s="3072" t="s">
        <v>2342</v>
      </c>
      <c r="J6" s="2995"/>
      <c r="K6" s="594" t="s">
        <v>2343</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2344</v>
      </c>
      <c r="B7" s="388"/>
      <c r="C7" s="389">
        <f>'数据-取费表'!B2</f>
        <v>43256</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03" t="s">
        <v>2345</v>
      </c>
      <c r="Q7" s="3005"/>
      <c r="R7" s="749" t="s">
        <v>25</v>
      </c>
      <c r="S7" s="750">
        <f t="shared" ref="S7:S15" si="0">F7</f>
        <v>0</v>
      </c>
      <c r="T7" s="749" t="s">
        <v>25</v>
      </c>
      <c r="U7" s="750">
        <f t="shared" ref="U7:U15" si="1">H7</f>
        <v>0</v>
      </c>
      <c r="V7" s="749" t="s">
        <v>25</v>
      </c>
      <c r="W7" s="750">
        <f t="shared" ref="W7:W15" si="2">J7</f>
        <v>0</v>
      </c>
      <c r="X7" s="751"/>
      <c r="Y7" s="3003" t="s">
        <v>2345</v>
      </c>
      <c r="Z7" s="3004"/>
      <c r="AA7" s="752" t="e">
        <f>D7/F7</f>
        <v>#DIV/0!</v>
      </c>
      <c r="AB7" s="752" t="e">
        <f>D7/H7</f>
        <v>#DIV/0!</v>
      </c>
      <c r="AC7" s="752"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3" t="s">
        <v>2348</v>
      </c>
      <c r="Q8" s="3004"/>
      <c r="R8" s="749" t="s">
        <v>25</v>
      </c>
      <c r="S8" s="750">
        <f t="shared" si="0"/>
        <v>0</v>
      </c>
      <c r="T8" s="749" t="s">
        <v>25</v>
      </c>
      <c r="U8" s="750">
        <f t="shared" si="1"/>
        <v>0</v>
      </c>
      <c r="V8" s="749" t="s">
        <v>25</v>
      </c>
      <c r="W8" s="750">
        <f t="shared" si="2"/>
        <v>0</v>
      </c>
      <c r="X8" s="751"/>
      <c r="Y8" s="3003" t="s">
        <v>2348</v>
      </c>
      <c r="Z8" s="3004"/>
      <c r="AA8" s="752" t="e">
        <f t="shared" ref="AA8:AA40" si="3">D8/F8</f>
        <v>#DIV/0!</v>
      </c>
      <c r="AB8" s="752" t="e">
        <f t="shared" ref="AB8:AB40" si="4">D8/H8</f>
        <v>#DIV/0!</v>
      </c>
      <c r="AC8" s="752" t="e">
        <f t="shared" ref="AC8:AC40" si="5">D8/J8</f>
        <v>#DIV/0!</v>
      </c>
    </row>
    <row r="9" spans="1:29" s="35" customFormat="1">
      <c r="A9" s="395" t="s">
        <v>2349</v>
      </c>
      <c r="B9" s="28" t="s">
        <v>2350</v>
      </c>
      <c r="C9" s="2481" t="s">
        <v>2582</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07" t="s">
        <v>2351</v>
      </c>
      <c r="Q9" s="1886" t="str">
        <f t="shared" ref="Q9:Q15" si="6">B9</f>
        <v>用途</v>
      </c>
      <c r="R9" s="749" t="s">
        <v>25</v>
      </c>
      <c r="S9" s="750">
        <f t="shared" si="0"/>
        <v>100</v>
      </c>
      <c r="T9" s="749" t="s">
        <v>25</v>
      </c>
      <c r="U9" s="750">
        <f t="shared" si="1"/>
        <v>100</v>
      </c>
      <c r="V9" s="749" t="s">
        <v>25</v>
      </c>
      <c r="W9" s="750">
        <f t="shared" si="2"/>
        <v>100</v>
      </c>
      <c r="X9" s="751"/>
      <c r="Y9" s="2855" t="s">
        <v>2352</v>
      </c>
      <c r="Z9" s="23" t="str">
        <f t="shared" ref="Z9:Z15" si="7">Q9</f>
        <v>用途</v>
      </c>
      <c r="AA9" s="752">
        <f t="shared" si="3"/>
        <v>1</v>
      </c>
      <c r="AB9" s="752">
        <f t="shared" si="4"/>
        <v>1</v>
      </c>
      <c r="AC9" s="752">
        <f t="shared" si="5"/>
        <v>1</v>
      </c>
    </row>
    <row r="10" spans="1:29" s="407" customFormat="1" ht="27">
      <c r="A10" s="401"/>
      <c r="B10" s="402" t="s">
        <v>2353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07"/>
      <c r="Q10" s="1886"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7"/>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7"/>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7"/>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7"/>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2355</v>
      </c>
      <c r="B15" s="613" t="s">
        <v>2583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6" t="s">
        <v>2356</v>
      </c>
      <c r="Q15" s="1898" t="str">
        <f t="shared" si="6"/>
        <v>产业集聚程度</v>
      </c>
      <c r="R15" s="753" t="s">
        <v>25</v>
      </c>
      <c r="S15" s="754">
        <f t="shared" si="0"/>
        <v>100</v>
      </c>
      <c r="T15" s="753" t="s">
        <v>25</v>
      </c>
      <c r="U15" s="754">
        <f t="shared" si="1"/>
        <v>100</v>
      </c>
      <c r="V15" s="753" t="s">
        <v>25</v>
      </c>
      <c r="W15" s="754">
        <f t="shared" si="2"/>
        <v>100</v>
      </c>
      <c r="X15" s="1899"/>
      <c r="Y15" s="2996" t="s">
        <v>2356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97"/>
      <c r="Q16" s="1898"/>
      <c r="R16" s="753"/>
      <c r="S16" s="754"/>
      <c r="T16" s="753"/>
      <c r="U16" s="754"/>
      <c r="V16" s="753"/>
      <c r="W16" s="754"/>
      <c r="X16" s="1899"/>
      <c r="Y16" s="2997"/>
      <c r="Z16" s="1901"/>
      <c r="AA16" s="1902">
        <v>1</v>
      </c>
      <c r="AB16" s="1902">
        <v>1</v>
      </c>
      <c r="AC16" s="1902">
        <v>1</v>
      </c>
    </row>
    <row r="17" spans="1:29" ht="85.5">
      <c r="A17" s="408"/>
      <c r="B17" s="615" t="s">
        <v>2499</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97"/>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2997"/>
      <c r="Q18" s="1898"/>
      <c r="R18" s="753"/>
      <c r="S18" s="754"/>
      <c r="T18" s="753"/>
      <c r="U18" s="754"/>
      <c r="V18" s="753"/>
      <c r="W18" s="754"/>
      <c r="X18" s="1899"/>
      <c r="Y18" s="2997"/>
      <c r="Z18" s="1901"/>
      <c r="AA18" s="1902">
        <v>1</v>
      </c>
      <c r="AB18" s="1902">
        <v>1</v>
      </c>
      <c r="AC18" s="1902">
        <v>1</v>
      </c>
    </row>
    <row r="19" spans="1:29" ht="15">
      <c r="A19" s="408"/>
      <c r="B19" s="615" t="s">
        <v>2539</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97"/>
      <c r="Q19" s="1898" t="str">
        <f t="shared" ref="Q19:Q33" si="8">B19</f>
        <v>区域土地利用方向</v>
      </c>
      <c r="R19" s="753" t="s">
        <v>25</v>
      </c>
      <c r="S19" s="754">
        <f>F19</f>
        <v>100</v>
      </c>
      <c r="T19" s="753" t="s">
        <v>25</v>
      </c>
      <c r="U19" s="754">
        <f>H19</f>
        <v>100</v>
      </c>
      <c r="V19" s="753" t="s">
        <v>25</v>
      </c>
      <c r="W19" s="754">
        <f>J19</f>
        <v>100</v>
      </c>
      <c r="X19" s="1899"/>
      <c r="Y19" s="2997"/>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97"/>
      <c r="Q20" s="1898"/>
      <c r="R20" s="753"/>
      <c r="S20" s="754"/>
      <c r="T20" s="753"/>
      <c r="U20" s="754"/>
      <c r="V20" s="753"/>
      <c r="W20" s="754"/>
      <c r="X20" s="1899"/>
      <c r="Y20" s="2997"/>
      <c r="Z20" s="1901"/>
      <c r="AA20" s="1902"/>
      <c r="AB20" s="1902"/>
      <c r="AC20" s="1902"/>
    </row>
    <row r="21" spans="1:29" ht="71.25">
      <c r="A21" s="383"/>
      <c r="B21" s="615" t="s">
        <v>2584</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97"/>
      <c r="Q21" s="1898" t="str">
        <f t="shared" si="8"/>
        <v>环境状况</v>
      </c>
      <c r="R21" s="753" t="s">
        <v>25</v>
      </c>
      <c r="S21" s="754">
        <f>F21</f>
        <v>100</v>
      </c>
      <c r="T21" s="753" t="s">
        <v>25</v>
      </c>
      <c r="U21" s="754">
        <f>H21</f>
        <v>100</v>
      </c>
      <c r="V21" s="753" t="s">
        <v>25</v>
      </c>
      <c r="W21" s="754">
        <f>J21</f>
        <v>100</v>
      </c>
      <c r="X21" s="1899"/>
      <c r="Y21" s="2997"/>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97"/>
      <c r="Q22" s="1898"/>
      <c r="R22" s="753"/>
      <c r="S22" s="754"/>
      <c r="T22" s="753"/>
      <c r="U22" s="754"/>
      <c r="V22" s="753"/>
      <c r="W22" s="754"/>
      <c r="X22" s="1899"/>
      <c r="Y22" s="2997"/>
      <c r="Z22" s="1901"/>
      <c r="AA22" s="1902">
        <v>1</v>
      </c>
      <c r="AB22" s="1902">
        <v>1</v>
      </c>
      <c r="AC22" s="1902">
        <v>1</v>
      </c>
    </row>
    <row r="23" spans="1:29" s="35" customFormat="1" ht="42.75">
      <c r="A23" s="633"/>
      <c r="B23" s="615" t="s">
        <v>2442</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97"/>
      <c r="Q23" s="1886" t="str">
        <f t="shared" si="8"/>
        <v>公共配套设施</v>
      </c>
      <c r="R23" s="749" t="s">
        <v>25</v>
      </c>
      <c r="S23" s="750">
        <f>F23</f>
        <v>100</v>
      </c>
      <c r="T23" s="749" t="s">
        <v>25</v>
      </c>
      <c r="U23" s="750">
        <f>H23</f>
        <v>100</v>
      </c>
      <c r="V23" s="749" t="s">
        <v>25</v>
      </c>
      <c r="W23" s="750">
        <f>J23</f>
        <v>100</v>
      </c>
      <c r="X23" s="751"/>
      <c r="Y23" s="2997"/>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2997"/>
      <c r="Q24" s="1886"/>
      <c r="R24" s="749"/>
      <c r="S24" s="750"/>
      <c r="T24" s="749"/>
      <c r="U24" s="750"/>
      <c r="V24" s="749"/>
      <c r="W24" s="750"/>
      <c r="X24" s="751"/>
      <c r="Y24" s="2997"/>
      <c r="Z24" s="23"/>
      <c r="AA24" s="752">
        <v>1</v>
      </c>
      <c r="AB24" s="752">
        <v>1</v>
      </c>
      <c r="AC24" s="752">
        <v>1</v>
      </c>
    </row>
    <row r="25" spans="1:29" s="35" customFormat="1" ht="28.5">
      <c r="A25" s="633"/>
      <c r="B25" s="617" t="s">
        <v>2443</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97"/>
      <c r="Q25" s="1886" t="str">
        <f>B25</f>
        <v>基础设施水平</v>
      </c>
      <c r="R25" s="749" t="s">
        <v>25</v>
      </c>
      <c r="S25" s="750">
        <f>F25</f>
        <v>100</v>
      </c>
      <c r="T25" s="749" t="s">
        <v>25</v>
      </c>
      <c r="U25" s="750">
        <f>H25</f>
        <v>100</v>
      </c>
      <c r="V25" s="749" t="s">
        <v>25</v>
      </c>
      <c r="W25" s="750">
        <f>J25</f>
        <v>100</v>
      </c>
      <c r="X25" s="751"/>
      <c r="Y25" s="2997"/>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2997"/>
      <c r="Q26" s="1886"/>
      <c r="R26" s="749"/>
      <c r="S26" s="750"/>
      <c r="T26" s="749"/>
      <c r="U26" s="750"/>
      <c r="V26" s="749"/>
      <c r="W26" s="750"/>
      <c r="X26" s="751"/>
      <c r="Y26" s="2997"/>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97"/>
      <c r="Q27" s="1898" t="str">
        <f t="shared" si="8"/>
        <v>临街状况</v>
      </c>
      <c r="R27" s="753" t="s">
        <v>25</v>
      </c>
      <c r="S27" s="754">
        <f t="shared" ref="S27:S40" si="9">F27</f>
        <v>100</v>
      </c>
      <c r="T27" s="753" t="s">
        <v>25</v>
      </c>
      <c r="U27" s="754">
        <f t="shared" ref="U27:U40" si="10">H27</f>
        <v>100</v>
      </c>
      <c r="V27" s="753" t="s">
        <v>25</v>
      </c>
      <c r="W27" s="754">
        <f t="shared" ref="W27:W40" si="11">J27</f>
        <v>100</v>
      </c>
      <c r="X27" s="1899"/>
      <c r="Y27" s="2997"/>
      <c r="Z27" s="1901" t="str">
        <f t="shared" ref="Z27:Z40" si="12">Q27</f>
        <v>临街状况</v>
      </c>
      <c r="AA27" s="1902">
        <f t="shared" si="3"/>
        <v>1</v>
      </c>
      <c r="AB27" s="1902">
        <f t="shared" si="4"/>
        <v>1</v>
      </c>
      <c r="AC27" s="1902">
        <f t="shared" si="5"/>
        <v>1</v>
      </c>
    </row>
    <row r="28" spans="1:29" ht="27">
      <c r="A28" s="408"/>
      <c r="B28" s="617" t="s">
        <v>2474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97"/>
      <c r="Q28" s="1898" t="str">
        <f t="shared" si="8"/>
        <v>毗邻道路的类型与等级</v>
      </c>
      <c r="R28" s="753" t="s">
        <v>25</v>
      </c>
      <c r="S28" s="754">
        <f t="shared" si="9"/>
        <v>100</v>
      </c>
      <c r="T28" s="753" t="s">
        <v>25</v>
      </c>
      <c r="U28" s="754">
        <f t="shared" si="10"/>
        <v>100</v>
      </c>
      <c r="V28" s="753" t="s">
        <v>25</v>
      </c>
      <c r="W28" s="754">
        <f t="shared" si="11"/>
        <v>100</v>
      </c>
      <c r="X28" s="1899"/>
      <c r="Y28" s="2997"/>
      <c r="Z28" s="1901" t="str">
        <f t="shared" si="12"/>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97"/>
      <c r="Q29" s="1898"/>
      <c r="R29" s="753"/>
      <c r="S29" s="754"/>
      <c r="T29" s="753"/>
      <c r="U29" s="754"/>
      <c r="V29" s="753"/>
      <c r="W29" s="754"/>
      <c r="X29" s="1899"/>
      <c r="Y29" s="2997"/>
      <c r="Z29" s="1901"/>
      <c r="AA29" s="1902">
        <v>1</v>
      </c>
      <c r="AB29" s="1902">
        <v>1</v>
      </c>
      <c r="AC29" s="1902">
        <v>1</v>
      </c>
    </row>
    <row r="30" spans="1:29" ht="15">
      <c r="A30" s="408"/>
      <c r="B30" s="637" t="s">
        <v>2541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97"/>
      <c r="Q30" s="1898" t="str">
        <f t="shared" si="8"/>
        <v>土地级别</v>
      </c>
      <c r="R30" s="753" t="s">
        <v>25</v>
      </c>
      <c r="S30" s="754">
        <f t="shared" si="9"/>
        <v>100</v>
      </c>
      <c r="T30" s="753" t="s">
        <v>25</v>
      </c>
      <c r="U30" s="754">
        <f t="shared" si="10"/>
        <v>100</v>
      </c>
      <c r="V30" s="753" t="s">
        <v>25</v>
      </c>
      <c r="W30" s="754">
        <f t="shared" si="11"/>
        <v>100</v>
      </c>
      <c r="X30" s="1899"/>
      <c r="Y30" s="2997"/>
      <c r="Z30" s="1901" t="str">
        <f t="shared" si="12"/>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97"/>
      <c r="Q31" s="1898">
        <f t="shared" si="8"/>
        <v>111</v>
      </c>
      <c r="R31" s="753" t="s">
        <v>25</v>
      </c>
      <c r="S31" s="754">
        <f t="shared" si="9"/>
        <v>100</v>
      </c>
      <c r="T31" s="753" t="s">
        <v>25</v>
      </c>
      <c r="U31" s="754">
        <f t="shared" si="10"/>
        <v>100</v>
      </c>
      <c r="V31" s="753" t="s">
        <v>25</v>
      </c>
      <c r="W31" s="754">
        <f t="shared" si="11"/>
        <v>100</v>
      </c>
      <c r="X31" s="1899"/>
      <c r="Y31" s="2997"/>
      <c r="Z31" s="1901">
        <f t="shared" si="12"/>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3" t="s">
        <v>2362</v>
      </c>
      <c r="Q32" s="1898">
        <f t="shared" si="8"/>
        <v>111</v>
      </c>
      <c r="R32" s="753" t="s">
        <v>25</v>
      </c>
      <c r="S32" s="754">
        <f t="shared" si="9"/>
        <v>100</v>
      </c>
      <c r="T32" s="753" t="s">
        <v>25</v>
      </c>
      <c r="U32" s="754">
        <f t="shared" si="10"/>
        <v>100</v>
      </c>
      <c r="V32" s="753" t="s">
        <v>25</v>
      </c>
      <c r="W32" s="754">
        <f t="shared" si="11"/>
        <v>100</v>
      </c>
      <c r="X32" s="1899"/>
      <c r="Y32" s="3001" t="s">
        <v>2362</v>
      </c>
      <c r="Z32" s="1901">
        <f t="shared" si="12"/>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1"/>
      <c r="Q33" s="1898">
        <f t="shared" si="8"/>
        <v>111</v>
      </c>
      <c r="R33" s="756" t="s">
        <v>25</v>
      </c>
      <c r="S33" s="757">
        <f t="shared" si="9"/>
        <v>100</v>
      </c>
      <c r="T33" s="756" t="s">
        <v>25</v>
      </c>
      <c r="U33" s="757">
        <f t="shared" si="10"/>
        <v>100</v>
      </c>
      <c r="V33" s="756" t="s">
        <v>25</v>
      </c>
      <c r="W33" s="757">
        <f t="shared" si="11"/>
        <v>100</v>
      </c>
      <c r="X33" s="758"/>
      <c r="Y33" s="3001"/>
      <c r="Z33" s="759">
        <f t="shared" si="12"/>
        <v>111</v>
      </c>
      <c r="AA33" s="1902">
        <f t="shared" si="3"/>
        <v>1</v>
      </c>
      <c r="AB33" s="1902">
        <f t="shared" si="4"/>
        <v>1</v>
      </c>
      <c r="AC33" s="1902">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1"/>
      <c r="Q34" s="1898" t="str">
        <f>B34</f>
        <v>宗地面积</v>
      </c>
      <c r="R34" s="753" t="s">
        <v>25</v>
      </c>
      <c r="S34" s="754" t="e">
        <f t="shared" si="9"/>
        <v>#N/A</v>
      </c>
      <c r="T34" s="753" t="s">
        <v>25</v>
      </c>
      <c r="U34" s="754" t="e">
        <f t="shared" si="10"/>
        <v>#N/A</v>
      </c>
      <c r="V34" s="753" t="s">
        <v>25</v>
      </c>
      <c r="W34" s="754" t="e">
        <f t="shared" si="11"/>
        <v>#N/A</v>
      </c>
      <c r="X34" s="1899"/>
      <c r="Y34" s="3001"/>
      <c r="Z34" s="1901" t="str">
        <f t="shared" si="12"/>
        <v>宗地面积</v>
      </c>
      <c r="AA34" s="1902" t="e">
        <f t="shared" si="3"/>
        <v>#N/A</v>
      </c>
      <c r="AB34" s="1902" t="e">
        <f t="shared" si="4"/>
        <v>#N/A</v>
      </c>
      <c r="AC34" s="1902" t="e">
        <f t="shared" si="5"/>
        <v>#N/A</v>
      </c>
    </row>
    <row r="35" spans="1:29" ht="15">
      <c r="A35" s="453"/>
      <c r="B35" s="402" t="s">
        <v>2543</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01"/>
      <c r="Q35" s="1898" t="str">
        <f t="shared" ref="Q35:Q40" si="13">B35</f>
        <v>宗地形状</v>
      </c>
      <c r="R35" s="753" t="s">
        <v>25</v>
      </c>
      <c r="S35" s="754">
        <f t="shared" si="9"/>
        <v>100</v>
      </c>
      <c r="T35" s="753" t="s">
        <v>25</v>
      </c>
      <c r="U35" s="754">
        <f t="shared" si="10"/>
        <v>100</v>
      </c>
      <c r="V35" s="753" t="s">
        <v>25</v>
      </c>
      <c r="W35" s="754">
        <f t="shared" si="11"/>
        <v>100</v>
      </c>
      <c r="X35" s="1899"/>
      <c r="Y35" s="3001"/>
      <c r="Z35" s="1901" t="str">
        <f t="shared" si="12"/>
        <v>宗地形状</v>
      </c>
      <c r="AA35" s="1902">
        <f t="shared" si="3"/>
        <v>1</v>
      </c>
      <c r="AB35" s="1902">
        <f t="shared" si="4"/>
        <v>1</v>
      </c>
      <c r="AC35" s="1902">
        <f t="shared" si="5"/>
        <v>1</v>
      </c>
    </row>
    <row r="36" spans="1:29" s="35" customFormat="1" ht="15">
      <c r="A36" s="454"/>
      <c r="B36" s="402" t="s">
        <v>2545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01"/>
      <c r="Q36" s="1898" t="str">
        <f t="shared" si="13"/>
        <v>宗地开发程度</v>
      </c>
      <c r="R36" s="749" t="s">
        <v>25</v>
      </c>
      <c r="S36" s="750">
        <f t="shared" si="9"/>
        <v>100</v>
      </c>
      <c r="T36" s="749" t="s">
        <v>25</v>
      </c>
      <c r="U36" s="750">
        <f t="shared" si="10"/>
        <v>100</v>
      </c>
      <c r="V36" s="749" t="s">
        <v>25</v>
      </c>
      <c r="W36" s="750">
        <f t="shared" si="11"/>
        <v>100</v>
      </c>
      <c r="X36" s="751"/>
      <c r="Y36" s="3001"/>
      <c r="Z36" s="23" t="str">
        <f t="shared" si="12"/>
        <v>宗地开发程度</v>
      </c>
      <c r="AA36" s="752">
        <f t="shared" si="3"/>
        <v>1</v>
      </c>
      <c r="AB36" s="752">
        <f t="shared" si="4"/>
        <v>1</v>
      </c>
      <c r="AC36" s="752">
        <f t="shared" si="5"/>
        <v>1</v>
      </c>
    </row>
    <row r="37" spans="1:29" ht="15">
      <c r="A37" s="453"/>
      <c r="B37" s="402" t="s">
        <v>2546</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01" t="s">
        <v>2362</v>
      </c>
      <c r="Q37" s="1898" t="str">
        <f t="shared" si="13"/>
        <v>工程地质条件</v>
      </c>
      <c r="R37" s="753" t="s">
        <v>25</v>
      </c>
      <c r="S37" s="754">
        <f t="shared" si="9"/>
        <v>100</v>
      </c>
      <c r="T37" s="753" t="s">
        <v>25</v>
      </c>
      <c r="U37" s="754">
        <f t="shared" si="10"/>
        <v>100</v>
      </c>
      <c r="V37" s="753" t="s">
        <v>25</v>
      </c>
      <c r="W37" s="754">
        <f t="shared" si="11"/>
        <v>100</v>
      </c>
      <c r="X37" s="1899"/>
      <c r="Y37" s="3001" t="s">
        <v>2362</v>
      </c>
      <c r="Z37" s="1901" t="str">
        <f t="shared" si="12"/>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1"/>
      <c r="Q38" s="1898">
        <f t="shared" si="13"/>
        <v>111</v>
      </c>
      <c r="R38" s="753" t="s">
        <v>25</v>
      </c>
      <c r="S38" s="754">
        <f t="shared" si="9"/>
        <v>100</v>
      </c>
      <c r="T38" s="753" t="s">
        <v>25</v>
      </c>
      <c r="U38" s="754">
        <f t="shared" si="10"/>
        <v>100</v>
      </c>
      <c r="V38" s="753" t="s">
        <v>25</v>
      </c>
      <c r="W38" s="754">
        <f t="shared" si="11"/>
        <v>100</v>
      </c>
      <c r="X38" s="1899"/>
      <c r="Y38" s="3001"/>
      <c r="Z38" s="1901">
        <f t="shared" si="12"/>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1"/>
      <c r="Q39" s="1898">
        <f t="shared" si="13"/>
        <v>111</v>
      </c>
      <c r="R39" s="753" t="s">
        <v>25</v>
      </c>
      <c r="S39" s="754">
        <f t="shared" si="9"/>
        <v>100</v>
      </c>
      <c r="T39" s="753" t="s">
        <v>25</v>
      </c>
      <c r="U39" s="754">
        <f t="shared" si="10"/>
        <v>100</v>
      </c>
      <c r="V39" s="753" t="s">
        <v>25</v>
      </c>
      <c r="W39" s="754">
        <f t="shared" si="11"/>
        <v>100</v>
      </c>
      <c r="X39" s="1899"/>
      <c r="Y39" s="3001"/>
      <c r="Z39" s="1901">
        <f t="shared" si="12"/>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1"/>
      <c r="Q40" s="1898">
        <f t="shared" si="13"/>
        <v>111</v>
      </c>
      <c r="R40" s="756" t="s">
        <v>25</v>
      </c>
      <c r="S40" s="757">
        <f t="shared" si="9"/>
        <v>100</v>
      </c>
      <c r="T40" s="756" t="s">
        <v>25</v>
      </c>
      <c r="U40" s="757">
        <f t="shared" si="10"/>
        <v>100</v>
      </c>
      <c r="V40" s="756" t="s">
        <v>25</v>
      </c>
      <c r="W40" s="757">
        <f t="shared" si="11"/>
        <v>100</v>
      </c>
      <c r="X40" s="758"/>
      <c r="Y40" s="3001"/>
      <c r="Z40" s="759">
        <f t="shared" si="12"/>
        <v>111</v>
      </c>
      <c r="AA40" s="1902">
        <f t="shared" si="3"/>
        <v>1</v>
      </c>
      <c r="AB40" s="1902">
        <f t="shared" si="4"/>
        <v>1</v>
      </c>
      <c r="AC40" s="1902">
        <f t="shared" si="5"/>
        <v>1</v>
      </c>
    </row>
    <row r="41" spans="1:29" ht="15">
      <c r="A41" s="460" t="s">
        <v>2510</v>
      </c>
      <c r="B41" s="2489" t="s">
        <v>2585</v>
      </c>
      <c r="C41" s="665" t="s">
        <v>1</v>
      </c>
      <c r="D41" s="462"/>
      <c r="E41" s="463"/>
      <c r="F41" s="464"/>
      <c r="G41" s="465"/>
      <c r="H41" s="466"/>
      <c r="I41" s="463"/>
      <c r="J41" s="466"/>
      <c r="K41" s="762"/>
      <c r="L41" s="1255"/>
      <c r="M41" s="1243"/>
      <c r="N41" s="1243"/>
      <c r="O41" s="1256"/>
      <c r="P41" s="3007" t="str">
        <f>A41</f>
        <v>成交单价</v>
      </c>
      <c r="Q41" s="3007"/>
      <c r="R41" s="2991">
        <f>E41</f>
        <v>0</v>
      </c>
      <c r="S41" s="2991"/>
      <c r="T41" s="2991">
        <f>G41</f>
        <v>0</v>
      </c>
      <c r="U41" s="2991"/>
      <c r="V41" s="2991">
        <f>I41</f>
        <v>0</v>
      </c>
      <c r="W41" s="2991"/>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5"/>
      <c r="M42" s="1243"/>
      <c r="N42" s="1243"/>
      <c r="O42" s="1256"/>
      <c r="P42" s="3007" t="str">
        <f>A42</f>
        <v>比较价值（元/平方米）</v>
      </c>
      <c r="Q42" s="3007"/>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5"/>
      <c r="M43" s="1243"/>
      <c r="N43" s="1243"/>
      <c r="O43" s="1256"/>
      <c r="P43" s="3013" t="str">
        <f>A43</f>
        <v>估价对象XX用房的比较价值（楼面单价，元/平方米）</v>
      </c>
      <c r="Q43" s="3014"/>
      <c r="R43" s="3085" t="e">
        <f>ROUND(AVERAGE(R42:V42),0)</f>
        <v>#DIV/0!</v>
      </c>
      <c r="S43" s="3085"/>
      <c r="T43" s="3085"/>
      <c r="U43" s="3085"/>
      <c r="V43" s="3085"/>
      <c r="W43" s="308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2548</v>
      </c>
      <c r="B50" s="668" t="s">
        <v>2549</v>
      </c>
      <c r="C50" s="2490" t="s">
        <v>2550</v>
      </c>
      <c r="D50" s="2491" t="s">
        <v>2551</v>
      </c>
      <c r="E50" s="669" t="s">
        <v>2552</v>
      </c>
      <c r="F50" s="670" t="s">
        <v>2553</v>
      </c>
      <c r="G50" s="1901" t="s">
        <v>2586</v>
      </c>
      <c r="H50" s="1901">
        <f>项目基本情况!G8</f>
        <v>0</v>
      </c>
      <c r="I50" s="1848" t="s">
        <v>2555</v>
      </c>
      <c r="J50" s="1261"/>
      <c r="K50" s="1257"/>
      <c r="L50" s="1257"/>
      <c r="M50" s="1256"/>
      <c r="N50" s="1256"/>
      <c r="O50" s="1256"/>
    </row>
    <row r="51" spans="1:17" s="675" customFormat="1">
      <c r="A51" s="671" t="s">
        <v>2556</v>
      </c>
      <c r="B51" s="672" t="e">
        <f>C43</f>
        <v>#DIV/0!</v>
      </c>
      <c r="C51" s="673">
        <v>1</v>
      </c>
      <c r="D51" s="673">
        <v>1</v>
      </c>
      <c r="E51" s="677">
        <v>120</v>
      </c>
      <c r="F51" s="674" t="e">
        <f t="shared" ref="F51:F60" si="14">ROUND(B51*E51,0)</f>
        <v>#DIV/0!</v>
      </c>
      <c r="G51" s="972">
        <v>1</v>
      </c>
      <c r="H51" s="972">
        <v>1</v>
      </c>
      <c r="I51" s="1258"/>
      <c r="J51" s="1261"/>
      <c r="K51" s="1257"/>
      <c r="L51" s="1257"/>
      <c r="M51" s="1256"/>
      <c r="N51" s="1256"/>
      <c r="O51" s="1256"/>
    </row>
    <row r="52" spans="1:17" s="675" customFormat="1">
      <c r="A52" s="676" t="s">
        <v>2557</v>
      </c>
      <c r="B52" s="178" t="e">
        <f>ROUND($C$43*C52*D52,0)</f>
        <v>#DIV/0!</v>
      </c>
      <c r="C52" s="117">
        <f>IF($C$50="北京市系数",G52,H52)</f>
        <v>0.8</v>
      </c>
      <c r="D52" s="1291">
        <v>0.25</v>
      </c>
      <c r="E52" s="677">
        <v>0</v>
      </c>
      <c r="F52" s="674" t="e">
        <f t="shared" si="14"/>
        <v>#DIV/0!</v>
      </c>
      <c r="G52" s="972">
        <f>SUMIF(修正!$A$45:$A$56,项目基本情况!$F$9,修正!B45:B56)</f>
        <v>0.8</v>
      </c>
      <c r="H52" s="973"/>
      <c r="I52" s="1256"/>
      <c r="J52" s="1261"/>
      <c r="K52" s="1257"/>
      <c r="L52" s="1257"/>
      <c r="M52" s="1256"/>
      <c r="N52" s="1256"/>
      <c r="O52" s="1256"/>
    </row>
    <row r="53" spans="1:17" s="675" customFormat="1">
      <c r="A53" s="676" t="s">
        <v>2558</v>
      </c>
      <c r="B53" s="178" t="e">
        <f t="shared" ref="B53:B60" si="15">ROUND($C$43*C53*D53,0)</f>
        <v>#DIV/0!</v>
      </c>
      <c r="C53" s="117">
        <f t="shared" ref="C53:C60" si="16">IF($C$50="北京市系数",G53,H53)</f>
        <v>0.5</v>
      </c>
      <c r="D53" s="1291">
        <v>0.25</v>
      </c>
      <c r="E53" s="677">
        <v>0</v>
      </c>
      <c r="F53" s="674" t="e">
        <f t="shared" si="14"/>
        <v>#DIV/0!</v>
      </c>
      <c r="G53" s="972">
        <f>SUMIF(修正!$A$45:$A$56,项目基本情况!$F$9,修正!C45:C56)</f>
        <v>0.5</v>
      </c>
      <c r="H53" s="973"/>
      <c r="I53" s="1258"/>
      <c r="J53" s="1261"/>
      <c r="K53" s="1257"/>
      <c r="L53" s="1257"/>
      <c r="M53" s="1256"/>
      <c r="N53" s="1256"/>
      <c r="O53" s="1256"/>
    </row>
    <row r="54" spans="1:17" s="675" customFormat="1">
      <c r="A54" s="676" t="s">
        <v>2559</v>
      </c>
      <c r="B54" s="178" t="e">
        <f t="shared" si="15"/>
        <v>#DIV/0!</v>
      </c>
      <c r="C54" s="117">
        <f t="shared" si="16"/>
        <v>0.36</v>
      </c>
      <c r="D54" s="1291">
        <v>0.25</v>
      </c>
      <c r="E54" s="677">
        <v>0</v>
      </c>
      <c r="F54" s="674" t="e">
        <f t="shared" si="14"/>
        <v>#DIV/0!</v>
      </c>
      <c r="G54" s="972">
        <f>SUMIF(修正!$A$45:$A$56,项目基本情况!$F$9,修正!D45:D56)</f>
        <v>0.36</v>
      </c>
      <c r="H54" s="973"/>
      <c r="I54" s="1256"/>
      <c r="J54" s="1261"/>
      <c r="K54" s="1257"/>
      <c r="L54" s="1257"/>
      <c r="M54" s="1256"/>
      <c r="N54" s="1256"/>
      <c r="O54" s="1256"/>
    </row>
    <row r="55" spans="1:17" s="675" customFormat="1">
      <c r="A55" s="676" t="s">
        <v>2560</v>
      </c>
      <c r="B55" s="178" t="e">
        <f t="shared" si="15"/>
        <v>#DIV/0!</v>
      </c>
      <c r="C55" s="117">
        <f t="shared" si="16"/>
        <v>0.3</v>
      </c>
      <c r="D55" s="1291">
        <v>0.25</v>
      </c>
      <c r="E55" s="677">
        <v>0</v>
      </c>
      <c r="F55" s="674" t="e">
        <f t="shared" si="14"/>
        <v>#DIV/0!</v>
      </c>
      <c r="G55" s="972">
        <f>SUMIF(修正!$A$45:$A$56,项目基本情况!$F$9,修正!E45:E56)</f>
        <v>0.3</v>
      </c>
      <c r="H55" s="973"/>
      <c r="I55" s="1258"/>
      <c r="J55" s="1261"/>
      <c r="K55" s="1257"/>
      <c r="L55" s="1257"/>
      <c r="M55" s="1256"/>
      <c r="N55" s="1256"/>
      <c r="O55" s="1256"/>
    </row>
    <row r="56" spans="1:17" s="675" customFormat="1">
      <c r="A56" s="676" t="s">
        <v>2561</v>
      </c>
      <c r="B56" s="178" t="e">
        <f t="shared" si="15"/>
        <v>#DIV/0!</v>
      </c>
      <c r="C56" s="117">
        <f t="shared" si="16"/>
        <v>0.25</v>
      </c>
      <c r="D56" s="1291">
        <v>0.25</v>
      </c>
      <c r="E56" s="677">
        <v>0</v>
      </c>
      <c r="F56" s="674" t="e">
        <f t="shared" si="14"/>
        <v>#DIV/0!</v>
      </c>
      <c r="G56" s="972">
        <f>SUMIF(修正!A40:A51,项目基本情况!F9,修正!F45:F56)</f>
        <v>0.25</v>
      </c>
      <c r="H56" s="973"/>
      <c r="I56" s="1256"/>
      <c r="J56" s="1261"/>
      <c r="K56" s="1257"/>
      <c r="L56" s="1257"/>
      <c r="M56" s="1256"/>
      <c r="N56" s="1256"/>
      <c r="O56" s="1256"/>
    </row>
    <row r="57" spans="1:17" s="675" customFormat="1">
      <c r="A57" s="676" t="s">
        <v>2562</v>
      </c>
      <c r="B57" s="178" t="e">
        <f t="shared" si="15"/>
        <v>#DIV/0!</v>
      </c>
      <c r="C57" s="117">
        <f t="shared" si="16"/>
        <v>0.25</v>
      </c>
      <c r="D57" s="1291">
        <v>0.25</v>
      </c>
      <c r="E57" s="677">
        <v>0</v>
      </c>
      <c r="F57" s="674" t="e">
        <f t="shared" si="14"/>
        <v>#DIV/0!</v>
      </c>
      <c r="G57" s="972">
        <f>SUMIF(修正!A40:A51,项目基本情况!F9,修正!G45:G56)</f>
        <v>0.25</v>
      </c>
      <c r="H57" s="973"/>
      <c r="I57" s="1258"/>
      <c r="J57" s="1261"/>
      <c r="K57" s="1257"/>
      <c r="L57" s="1257"/>
      <c r="M57" s="1256"/>
      <c r="N57" s="1256"/>
      <c r="O57" s="1256"/>
    </row>
    <row r="58" spans="1:17" s="675" customFormat="1">
      <c r="A58" s="676" t="s">
        <v>2563</v>
      </c>
      <c r="B58" s="178" t="e">
        <f t="shared" si="15"/>
        <v>#DIV/0!</v>
      </c>
      <c r="C58" s="117">
        <f t="shared" si="16"/>
        <v>0.2</v>
      </c>
      <c r="D58" s="1291">
        <v>0.25</v>
      </c>
      <c r="E58" s="677">
        <v>0</v>
      </c>
      <c r="F58" s="674" t="e">
        <f t="shared" si="14"/>
        <v>#DIV/0!</v>
      </c>
      <c r="G58" s="972">
        <f>SUMIF(修正!A40:A51,项目基本情况!F9,修正!H45:H56)</f>
        <v>0.2</v>
      </c>
      <c r="H58" s="973"/>
      <c r="I58" s="1256"/>
      <c r="J58" s="1261"/>
      <c r="K58" s="1257"/>
      <c r="L58" s="1257"/>
      <c r="M58" s="1256"/>
      <c r="N58" s="1256"/>
      <c r="O58" s="1256"/>
    </row>
    <row r="59" spans="1:17" s="675" customFormat="1">
      <c r="A59" s="676" t="s">
        <v>2564</v>
      </c>
      <c r="B59" s="178" t="e">
        <f t="shared" si="15"/>
        <v>#DIV/0!</v>
      </c>
      <c r="C59" s="117">
        <f t="shared" si="16"/>
        <v>0.2</v>
      </c>
      <c r="D59" s="1291">
        <v>0.25</v>
      </c>
      <c r="E59" s="677">
        <v>0</v>
      </c>
      <c r="F59" s="674" t="e">
        <f t="shared" si="14"/>
        <v>#DIV/0!</v>
      </c>
      <c r="G59" s="972">
        <f>G58</f>
        <v>0.2</v>
      </c>
      <c r="H59" s="973"/>
      <c r="I59" s="1258"/>
      <c r="J59" s="1261"/>
      <c r="K59" s="1257"/>
      <c r="L59" s="1257"/>
      <c r="M59" s="1256"/>
      <c r="N59" s="1256"/>
      <c r="O59" s="1256"/>
    </row>
    <row r="60" spans="1:17" s="675" customFormat="1">
      <c r="A60" s="676" t="s">
        <v>2565</v>
      </c>
      <c r="B60" s="178" t="e">
        <f t="shared" si="15"/>
        <v>#DIV/0!</v>
      </c>
      <c r="C60" s="117">
        <f t="shared" si="16"/>
        <v>0.2</v>
      </c>
      <c r="D60" s="1291">
        <v>0.25</v>
      </c>
      <c r="E60" s="677">
        <v>0</v>
      </c>
      <c r="F60" s="674" t="e">
        <f t="shared" si="14"/>
        <v>#DIV/0!</v>
      </c>
      <c r="G60" s="972">
        <f>G58</f>
        <v>0.2</v>
      </c>
      <c r="H60" s="973"/>
      <c r="I60" s="1256"/>
      <c r="J60" s="1261"/>
      <c r="K60" s="1257"/>
      <c r="L60" s="1257"/>
      <c r="M60" s="1256"/>
      <c r="N60" s="1256"/>
      <c r="O60" s="1256"/>
    </row>
    <row r="61" spans="1:17" s="675" customFormat="1" ht="15" thickBot="1">
      <c r="A61" s="679" t="s">
        <v>2566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7">EDATE(D63,-3)</f>
        <v>43070</v>
      </c>
      <c r="F63" s="1669">
        <f t="shared" si="17"/>
        <v>42979</v>
      </c>
      <c r="G63" s="1669">
        <f t="shared" si="17"/>
        <v>42887</v>
      </c>
      <c r="H63" s="1669">
        <f t="shared" si="17"/>
        <v>42795</v>
      </c>
      <c r="I63" s="1669">
        <f t="shared" si="17"/>
        <v>42705</v>
      </c>
      <c r="J63" s="1669">
        <f t="shared" si="17"/>
        <v>42614</v>
      </c>
      <c r="K63" s="1669">
        <f t="shared" si="17"/>
        <v>42522</v>
      </c>
      <c r="L63" s="1669">
        <f t="shared" si="17"/>
        <v>42430</v>
      </c>
      <c r="M63" s="1669">
        <f t="shared" si="17"/>
        <v>42339</v>
      </c>
      <c r="N63" s="1669">
        <f t="shared" si="17"/>
        <v>42248</v>
      </c>
      <c r="O63" s="1669">
        <f t="shared" si="17"/>
        <v>42156</v>
      </c>
    </row>
    <row r="64" spans="1:17" ht="21.75" thickBot="1">
      <c r="A64" s="742" t="s">
        <v>2462</v>
      </c>
      <c r="B64" s="738"/>
      <c r="C64" s="743"/>
      <c r="D64" s="743"/>
      <c r="E64" s="743"/>
      <c r="F64" s="744"/>
      <c r="G64" s="744"/>
      <c r="H64" s="743"/>
      <c r="I64" s="1272"/>
      <c r="J64" s="1272"/>
      <c r="K64" s="1270"/>
      <c r="L64" s="1271"/>
      <c r="M64" s="1272"/>
      <c r="N64" s="1272"/>
      <c r="O64" s="1272"/>
      <c r="P64" s="484"/>
      <c r="Q64" s="485"/>
    </row>
    <row r="65" spans="1:17" s="489" customFormat="1" ht="15">
      <c r="A65" s="2493" t="s">
        <v>2567</v>
      </c>
      <c r="B65" s="1455"/>
      <c r="C65" s="1670" t="str">
        <f>YEAR(C63)&amp;"-"&amp;ROUNDUP(MONTH(C63)/3,0)</f>
        <v>2018-2</v>
      </c>
      <c r="D65" s="1670" t="str">
        <f t="shared" ref="D65:O65" si="18">YEAR(D63)&amp;"-"&amp;ROUNDUP(MONTH(D63)/3,0)</f>
        <v>2018-1</v>
      </c>
      <c r="E65" s="1670" t="str">
        <f t="shared" si="18"/>
        <v>2017-4</v>
      </c>
      <c r="F65" s="1670" t="str">
        <f t="shared" si="18"/>
        <v>2017-3</v>
      </c>
      <c r="G65" s="1670" t="str">
        <f t="shared" si="18"/>
        <v>2017-2</v>
      </c>
      <c r="H65" s="1670" t="str">
        <f t="shared" si="18"/>
        <v>2017-1</v>
      </c>
      <c r="I65" s="1670" t="str">
        <f t="shared" si="18"/>
        <v>2016-4</v>
      </c>
      <c r="J65" s="1670" t="str">
        <f t="shared" si="18"/>
        <v>2016-3</v>
      </c>
      <c r="K65" s="1670" t="str">
        <f t="shared" si="18"/>
        <v>2016-2</v>
      </c>
      <c r="L65" s="1670" t="str">
        <f t="shared" si="18"/>
        <v>2016-1</v>
      </c>
      <c r="M65" s="1670" t="str">
        <f t="shared" si="18"/>
        <v>2015-4</v>
      </c>
      <c r="N65" s="1670" t="str">
        <f t="shared" si="18"/>
        <v>2015-3</v>
      </c>
      <c r="O65" s="1670" t="str">
        <f t="shared" si="18"/>
        <v>2015-2</v>
      </c>
      <c r="P65" s="488"/>
    </row>
    <row r="66" spans="1:17" s="35" customFormat="1" ht="33.75" customHeight="1">
      <c r="A66" s="2499" t="s">
        <v>2587</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2382</v>
      </c>
      <c r="B67" s="497"/>
      <c r="C67" s="498"/>
      <c r="D67" s="499"/>
      <c r="E67" s="499"/>
      <c r="F67" s="499"/>
      <c r="G67" s="499"/>
      <c r="H67" s="499"/>
      <c r="I67" s="499"/>
      <c r="J67" s="499"/>
      <c r="K67" s="499"/>
      <c r="L67" s="499"/>
      <c r="M67" s="500"/>
      <c r="N67" s="499"/>
      <c r="O67" s="1675"/>
      <c r="P67" s="485"/>
      <c r="Q67" s="485"/>
    </row>
    <row r="68" spans="1:17" s="35" customFormat="1" ht="15">
      <c r="A68" s="502" t="s">
        <v>2346</v>
      </c>
      <c r="B68" s="491"/>
      <c r="C68" s="503" t="s">
        <v>2347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2385</v>
      </c>
      <c r="B70" s="509" t="s">
        <v>2350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6"/>
      <c r="O95" s="1266"/>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7"/>
      <c r="O96" s="1267"/>
      <c r="P96" s="22"/>
      <c r="Q96" s="485"/>
    </row>
    <row r="97" spans="1:17" ht="27.75" thickTop="1">
      <c r="A97" s="516"/>
      <c r="B97" s="521" t="s">
        <v>2474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7"/>
      <c r="O98" s="1267"/>
      <c r="P98" s="22"/>
      <c r="Q98" s="485"/>
    </row>
    <row r="99" spans="1:17" ht="15.75" thickTop="1">
      <c r="A99" s="516"/>
      <c r="B99" s="521" t="s">
        <v>2541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2360</v>
      </c>
      <c r="B107" s="509" t="s">
        <v>2576</v>
      </c>
      <c r="C107" s="1856" t="str">
        <f t="shared" ref="C107:L107" si="24">C108&amp;"(含)"&amp;"-"&amp;D108</f>
        <v>(含)-</v>
      </c>
      <c r="D107" s="1856" t="str">
        <f t="shared" si="24"/>
        <v>(含)-</v>
      </c>
      <c r="E107" s="1856" t="str">
        <f t="shared" si="24"/>
        <v>(含)-</v>
      </c>
      <c r="F107" s="1856" t="str">
        <f t="shared" si="24"/>
        <v>(含)-</v>
      </c>
      <c r="G107" s="1856" t="str">
        <f t="shared" si="24"/>
        <v>(含)-</v>
      </c>
      <c r="H107" s="1856" t="str">
        <f t="shared" si="24"/>
        <v>(含)-</v>
      </c>
      <c r="I107" s="1856" t="str">
        <f t="shared" si="24"/>
        <v>(含)-</v>
      </c>
      <c r="J107" s="1856" t="str">
        <f t="shared" si="24"/>
        <v>(含)-</v>
      </c>
      <c r="K107" s="1856" t="str">
        <f t="shared" si="24"/>
        <v>(含)-</v>
      </c>
      <c r="L107" s="1857" t="str">
        <f t="shared" si="24"/>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7"/>
      <c r="O111" s="1267"/>
      <c r="P111" s="22"/>
      <c r="Q111" s="485"/>
    </row>
    <row r="112" spans="1:17" s="452" customFormat="1" ht="15" thickTop="1">
      <c r="A112" s="577"/>
      <c r="B112" s="521" t="s">
        <v>2579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8"/>
      <c r="O113" s="1268"/>
      <c r="P113" s="542"/>
      <c r="Q113" s="543"/>
    </row>
    <row r="114" spans="1:17" ht="15" thickTop="1">
      <c r="A114" s="583"/>
      <c r="B114" s="521" t="s">
        <v>2580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787</v>
      </c>
      <c r="B1" s="308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60">
      <c r="A10" s="833" t="s">
        <v>719</v>
      </c>
      <c r="B1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60">
      <c r="A21" s="820" t="s">
        <v>719</v>
      </c>
      <c r="B21"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60">
      <c r="A30" s="820" t="s">
        <v>719</v>
      </c>
      <c r="B3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E5" sqref="E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6" t="s">
        <v>1033</v>
      </c>
      <c r="C1" s="3096"/>
      <c r="D1" s="3096"/>
      <c r="E1" s="3096"/>
      <c r="F1" s="3096"/>
      <c r="G1" s="3095" t="s">
        <v>1034</v>
      </c>
      <c r="H1" s="3095"/>
      <c r="I1" s="3095"/>
      <c r="J1" s="3095"/>
      <c r="K1" s="3095"/>
      <c r="L1" s="3095"/>
      <c r="N1" s="3095" t="s">
        <v>1035</v>
      </c>
      <c r="O1" s="3095"/>
      <c r="P1" s="3095"/>
      <c r="Q1" s="3095"/>
      <c r="R1" s="1547"/>
      <c r="S1" s="3095" t="s">
        <v>1036</v>
      </c>
      <c r="T1" s="3095"/>
      <c r="U1" s="3095"/>
      <c r="V1" s="3095"/>
      <c r="X1" s="3094" t="s">
        <v>1037</v>
      </c>
      <c r="Y1" s="3095"/>
      <c r="Z1" s="3095"/>
      <c r="AA1" s="3095"/>
      <c r="AB1" s="3095"/>
      <c r="AD1" s="3094" t="s">
        <v>1038</v>
      </c>
      <c r="AE1" s="3095"/>
      <c r="AF1" s="3095"/>
      <c r="AG1" s="3095"/>
      <c r="AH1" s="3095"/>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2799</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2803</v>
      </c>
      <c r="B5" s="1567">
        <f t="shared" ref="B5:B10" si="2">B6*(1+N5)</f>
        <v>446.46299999999997</v>
      </c>
      <c r="C5" s="1567">
        <f>C6*(1+O5)</f>
        <v>333.27840000000003</v>
      </c>
      <c r="D5" s="1816">
        <f>C5</f>
        <v>333.27840000000003</v>
      </c>
      <c r="E5" s="1567">
        <f>E6*(1+P5)</f>
        <v>637.28279999999995</v>
      </c>
      <c r="F5" s="1567">
        <f>F6*(1+Q5)</f>
        <v>288.68830000000003</v>
      </c>
      <c r="G5" s="2729">
        <v>2018</v>
      </c>
      <c r="H5" s="1820">
        <v>2</v>
      </c>
      <c r="I5" s="2710">
        <v>0</v>
      </c>
      <c r="J5" s="2710">
        <v>0</v>
      </c>
      <c r="K5" s="2710">
        <v>0</v>
      </c>
      <c r="L5" s="2711">
        <v>0</v>
      </c>
      <c r="N5" s="1569">
        <f>I5/100</f>
        <v>0</v>
      </c>
      <c r="O5" s="1569">
        <f>J5/100</f>
        <v>0</v>
      </c>
      <c r="P5" s="1569">
        <f>K5/100</f>
        <v>0</v>
      </c>
      <c r="Q5" s="1569">
        <f>L5/100</f>
        <v>0</v>
      </c>
      <c r="R5" s="1822"/>
      <c r="S5" s="1823"/>
      <c r="T5" s="1822"/>
      <c r="U5" s="1822"/>
      <c r="V5" s="1822"/>
      <c r="W5" s="2716" t="s">
        <v>2798</v>
      </c>
      <c r="X5" s="1815">
        <f>ROUND(SUMPRODUCT(PRODUCT(1+N5:N$21)),4)</f>
        <v>1.4517</v>
      </c>
      <c r="Y5" s="1815">
        <f>ROUND(SUMPRODUCT(PRODUCT(1+O5:O$21)),4)</f>
        <v>1.2928999999999999</v>
      </c>
      <c r="Z5" s="1815">
        <f>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AE5</f>
        <v>1.5699999999999999E-2</v>
      </c>
      <c r="AG5" s="1570">
        <f>ROUND(AVERAGE(K5:K$22)/100,4)</f>
        <v>2.5000000000000001E-2</v>
      </c>
      <c r="AH5" s="1570">
        <f>ROUND(AVERAGE(L5:L$22)/100,4)</f>
        <v>1.35E-2</v>
      </c>
    </row>
    <row r="6" spans="1:34" s="1568" customFormat="1" ht="13.5" thickBot="1">
      <c r="A6" s="1562" t="s">
        <v>2804</v>
      </c>
      <c r="B6" s="1579">
        <f t="shared" si="2"/>
        <v>446.46299999999997</v>
      </c>
      <c r="C6" s="1579">
        <f>C7*(1+O6)</f>
        <v>333.27840000000003</v>
      </c>
      <c r="D6" s="1579">
        <f t="shared" ref="D6:D11" si="3">C6</f>
        <v>333.27840000000003</v>
      </c>
      <c r="E6" s="1579">
        <f>E7*(1+P6)</f>
        <v>637.28279999999995</v>
      </c>
      <c r="F6" s="1579">
        <f>F7*(1+Q6)</f>
        <v>288.68830000000003</v>
      </c>
      <c r="G6" s="2708">
        <v>2018</v>
      </c>
      <c r="H6" s="1565">
        <v>1</v>
      </c>
      <c r="I6" s="1565">
        <v>1.7</v>
      </c>
      <c r="J6" s="1565">
        <v>1.92</v>
      </c>
      <c r="K6" s="1565">
        <v>1.64</v>
      </c>
      <c r="L6" s="1580">
        <v>2.0099999999999998</v>
      </c>
      <c r="M6" s="1573"/>
      <c r="N6" s="1574">
        <f t="shared" ref="N6:N11" si="4">I6/100</f>
        <v>1.7000000000000001E-2</v>
      </c>
      <c r="O6" s="1575">
        <f t="shared" ref="O6:Q9" si="5">J6/100</f>
        <v>1.9199999999999998E-2</v>
      </c>
      <c r="P6" s="1575">
        <f t="shared" si="5"/>
        <v>1.6399999999999998E-2</v>
      </c>
      <c r="Q6" s="1575">
        <f t="shared" si="5"/>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Y6</f>
        <v>1.2928999999999999</v>
      </c>
      <c r="AA6" s="1560">
        <f>ROUND(SUMPRODUCT(PRODUCT(1+P6:P$21)),4)</f>
        <v>1.5068999999999999</v>
      </c>
      <c r="AB6" s="1560">
        <f>ROUND(SUMPRODUCT(PRODUCT(1+Q6:Q$21)),4)</f>
        <v>1.2557</v>
      </c>
      <c r="AC6" s="1573"/>
      <c r="AD6" s="1561">
        <f>ROUND(AVERAGE(I6:I$22)/100,4)</f>
        <v>2.4E-2</v>
      </c>
      <c r="AE6" s="1561">
        <f>ROUND(AVERAGE(J6:J$22)/100,4)</f>
        <v>1.66E-2</v>
      </c>
      <c r="AF6" s="1561">
        <f>AE6</f>
        <v>1.66E-2</v>
      </c>
      <c r="AG6" s="1561">
        <f>ROUND(AVERAGE(K6:K$22)/100,4)</f>
        <v>2.6499999999999999E-2</v>
      </c>
      <c r="AH6" s="1561">
        <f>ROUND(AVERAGE(L6:L$22)/100,4)</f>
        <v>1.43E-2</v>
      </c>
    </row>
    <row r="7" spans="1:34">
      <c r="A7" s="1562" t="s">
        <v>2800</v>
      </c>
      <c r="B7" s="1571">
        <v>439</v>
      </c>
      <c r="C7" s="1571">
        <v>327</v>
      </c>
      <c r="D7" s="1571">
        <f t="shared" si="3"/>
        <v>327</v>
      </c>
      <c r="E7" s="1571">
        <v>627</v>
      </c>
      <c r="F7" s="1572">
        <v>283</v>
      </c>
      <c r="G7" s="2715">
        <v>2017</v>
      </c>
      <c r="H7" s="1563">
        <v>4</v>
      </c>
      <c r="I7" s="1563">
        <v>1.71</v>
      </c>
      <c r="J7" s="1563">
        <v>1.78</v>
      </c>
      <c r="K7" s="1563">
        <v>1.71</v>
      </c>
      <c r="L7" s="1564">
        <v>1.43</v>
      </c>
      <c r="N7" s="1574">
        <f t="shared" si="4"/>
        <v>1.7100000000000001E-2</v>
      </c>
      <c r="O7" s="1575">
        <f t="shared" si="5"/>
        <v>1.78E-2</v>
      </c>
      <c r="P7" s="1575">
        <f t="shared" si="5"/>
        <v>1.7100000000000001E-2</v>
      </c>
      <c r="Q7" s="1575">
        <f t="shared" si="5"/>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2795</v>
      </c>
      <c r="B8" s="1579">
        <f t="shared" si="2"/>
        <v>431.80730811680002</v>
      </c>
      <c r="C8" s="1579">
        <f>C9*(1+O8)</f>
        <v>320.57880516480003</v>
      </c>
      <c r="D8" s="1579">
        <f t="shared" si="3"/>
        <v>320.57880516480003</v>
      </c>
      <c r="E8" s="1579">
        <f t="shared" ref="E8:F10" si="6">E9*(1+P8)</f>
        <v>615.96110553196797</v>
      </c>
      <c r="F8" s="1579">
        <f t="shared" si="6"/>
        <v>279.46777300108801</v>
      </c>
      <c r="G8" s="2708"/>
      <c r="H8" s="1565">
        <v>3</v>
      </c>
      <c r="I8" s="1565">
        <v>2.98</v>
      </c>
      <c r="J8" s="1565">
        <v>2.11</v>
      </c>
      <c r="K8" s="1565">
        <v>3.24</v>
      </c>
      <c r="L8" s="1580">
        <v>1.72</v>
      </c>
      <c r="M8" s="1573"/>
      <c r="N8" s="1574">
        <f t="shared" si="4"/>
        <v>2.98E-2</v>
      </c>
      <c r="O8" s="1575">
        <f t="shared" si="5"/>
        <v>2.1099999999999997E-2</v>
      </c>
      <c r="P8" s="1575">
        <f t="shared" si="5"/>
        <v>3.2400000000000005E-2</v>
      </c>
      <c r="Q8" s="1575">
        <f t="shared" si="5"/>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C10*(1+O9)</f>
        <v>313.95436800000004</v>
      </c>
      <c r="D9" s="1579">
        <f t="shared" si="3"/>
        <v>313.95436800000004</v>
      </c>
      <c r="E9" s="1579">
        <f t="shared" si="6"/>
        <v>596.63028431999999</v>
      </c>
      <c r="F9" s="1579">
        <f t="shared" si="6"/>
        <v>274.74220703999998</v>
      </c>
      <c r="G9" s="2707"/>
      <c r="H9" s="1566">
        <v>2</v>
      </c>
      <c r="I9" s="1566">
        <v>3.4</v>
      </c>
      <c r="J9" s="1566">
        <v>2</v>
      </c>
      <c r="K9" s="1566">
        <v>3.82</v>
      </c>
      <c r="L9" s="1581">
        <v>1.68</v>
      </c>
      <c r="M9" s="1573"/>
      <c r="N9" s="1574">
        <f t="shared" si="4"/>
        <v>3.4000000000000002E-2</v>
      </c>
      <c r="O9" s="1575">
        <f t="shared" si="5"/>
        <v>0.02</v>
      </c>
      <c r="P9" s="1575">
        <f t="shared" si="5"/>
        <v>3.8199999999999998E-2</v>
      </c>
      <c r="Q9" s="1575">
        <f t="shared" si="5"/>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C11*(1+O10)</f>
        <v>307.79840000000002</v>
      </c>
      <c r="D10" s="1579">
        <f t="shared" si="3"/>
        <v>307.79840000000002</v>
      </c>
      <c r="E10" s="1579">
        <f t="shared" si="6"/>
        <v>574.67759999999998</v>
      </c>
      <c r="F10" s="1579">
        <f t="shared" si="6"/>
        <v>270.20280000000002</v>
      </c>
      <c r="G10" s="2708"/>
      <c r="H10" s="1565">
        <v>1</v>
      </c>
      <c r="I10" s="1565">
        <v>3.45</v>
      </c>
      <c r="J10" s="1565">
        <v>1.92</v>
      </c>
      <c r="K10" s="1565">
        <v>3.92</v>
      </c>
      <c r="L10" s="1580">
        <v>1.58</v>
      </c>
      <c r="M10" s="1573"/>
      <c r="N10" s="1574">
        <f t="shared" si="4"/>
        <v>3.4500000000000003E-2</v>
      </c>
      <c r="O10" s="1575">
        <f t="shared" ref="O10:Q25" si="7">J10/100</f>
        <v>1.9199999999999998E-2</v>
      </c>
      <c r="P10" s="1575">
        <f t="shared" si="7"/>
        <v>3.9199999999999999E-2</v>
      </c>
      <c r="Q10" s="1575">
        <f t="shared" si="7"/>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3"/>
        <v>302</v>
      </c>
      <c r="E11" s="1571">
        <v>553</v>
      </c>
      <c r="F11" s="1572">
        <v>266</v>
      </c>
      <c r="G11" s="3097">
        <v>2016</v>
      </c>
      <c r="H11" s="1563">
        <v>4</v>
      </c>
      <c r="I11" s="1563">
        <v>4.5599999999999996</v>
      </c>
      <c r="J11" s="1563">
        <v>2.15</v>
      </c>
      <c r="K11" s="1563">
        <v>5.32</v>
      </c>
      <c r="L11" s="1564">
        <v>1.57</v>
      </c>
      <c r="N11" s="1574">
        <f t="shared" si="4"/>
        <v>4.5599999999999995E-2</v>
      </c>
      <c r="O11" s="1575">
        <f t="shared" si="7"/>
        <v>2.1499999999999998E-2</v>
      </c>
      <c r="P11" s="1575">
        <f t="shared" si="7"/>
        <v>5.3200000000000004E-2</v>
      </c>
      <c r="Q11" s="1575">
        <f t="shared" si="7"/>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8">AE11</f>
        <v>1.55E-2</v>
      </c>
      <c r="AG11" s="1561">
        <f>ROUND(AVERAGE(K11:K$22)/100,4)</f>
        <v>2.5600000000000001E-2</v>
      </c>
      <c r="AH11" s="1561">
        <f>ROUND(AVERAGE(L11:L$22)/100,4)</f>
        <v>1.32E-2</v>
      </c>
    </row>
    <row r="12" spans="1:34">
      <c r="A12" s="1562" t="s">
        <v>103</v>
      </c>
      <c r="B12" s="1579">
        <f t="shared" ref="B12:C14" si="9">B11/(1+N11)</f>
        <v>374.90436113236416</v>
      </c>
      <c r="C12" s="1579">
        <f t="shared" si="9"/>
        <v>295.64366128242779</v>
      </c>
      <c r="D12" s="1579">
        <f t="shared" ref="D12:D71" si="10">C12</f>
        <v>295.64366128242779</v>
      </c>
      <c r="E12" s="1579">
        <f t="shared" ref="E12:F14" si="11">E11/(1+P11)</f>
        <v>525.06646410938095</v>
      </c>
      <c r="F12" s="1579">
        <f t="shared" si="11"/>
        <v>261.88835286009646</v>
      </c>
      <c r="G12" s="3092"/>
      <c r="H12" s="1565">
        <v>3</v>
      </c>
      <c r="I12" s="1565">
        <v>4.12</v>
      </c>
      <c r="J12" s="1565">
        <v>2</v>
      </c>
      <c r="K12" s="1565">
        <v>4.79</v>
      </c>
      <c r="L12" s="1580">
        <v>1.97</v>
      </c>
      <c r="N12" s="1574">
        <f t="shared" ref="N12:Q46" si="12">I12/100</f>
        <v>4.1200000000000001E-2</v>
      </c>
      <c r="O12" s="1575">
        <f t="shared" si="7"/>
        <v>0.02</v>
      </c>
      <c r="P12" s="1575">
        <f t="shared" si="7"/>
        <v>4.7899999999999998E-2</v>
      </c>
      <c r="Q12" s="1575">
        <f t="shared" si="7"/>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8"/>
        <v>1.49E-2</v>
      </c>
      <c r="AG12" s="1561">
        <f>ROUND(AVERAGE(K12:K$22)/100,4)</f>
        <v>2.3099999999999999E-2</v>
      </c>
      <c r="AH12" s="1561">
        <f>ROUND(AVERAGE(L12:L$22)/100,4)</f>
        <v>1.2999999999999999E-2</v>
      </c>
    </row>
    <row r="13" spans="1:34">
      <c r="A13" s="1562" t="s">
        <v>93</v>
      </c>
      <c r="B13" s="1579">
        <f t="shared" si="9"/>
        <v>360.06949782209392</v>
      </c>
      <c r="C13" s="1579">
        <f t="shared" si="9"/>
        <v>289.84672674747821</v>
      </c>
      <c r="D13" s="1579">
        <f t="shared" si="10"/>
        <v>289.84672674747821</v>
      </c>
      <c r="E13" s="1579">
        <f t="shared" si="11"/>
        <v>501.06543001181495</v>
      </c>
      <c r="F13" s="1579">
        <f t="shared" si="11"/>
        <v>256.82882500744967</v>
      </c>
      <c r="G13" s="3092"/>
      <c r="H13" s="1566">
        <v>2</v>
      </c>
      <c r="I13" s="1566">
        <v>3.85</v>
      </c>
      <c r="J13" s="1566">
        <v>1.95</v>
      </c>
      <c r="K13" s="1566">
        <v>4.4800000000000004</v>
      </c>
      <c r="L13" s="1581">
        <v>1.41</v>
      </c>
      <c r="N13" s="1574">
        <f t="shared" si="12"/>
        <v>3.85E-2</v>
      </c>
      <c r="O13" s="1575">
        <f t="shared" si="7"/>
        <v>1.95E-2</v>
      </c>
      <c r="P13" s="1575">
        <f t="shared" si="7"/>
        <v>4.4800000000000006E-2</v>
      </c>
      <c r="Q13" s="1575">
        <f t="shared" si="7"/>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8"/>
        <v>1.44E-2</v>
      </c>
      <c r="AG13" s="1561">
        <f>ROUND(AVERAGE(K13:K$22)/100,4)</f>
        <v>2.06E-2</v>
      </c>
      <c r="AH13" s="1561">
        <f>ROUND(AVERAGE(L13:L$22)/100,4)</f>
        <v>1.23E-2</v>
      </c>
    </row>
    <row r="14" spans="1:34" ht="13.5" thickBot="1">
      <c r="A14" s="1562" t="s">
        <v>102</v>
      </c>
      <c r="B14" s="1579">
        <f t="shared" si="9"/>
        <v>346.720748986128</v>
      </c>
      <c r="C14" s="1579">
        <f t="shared" si="9"/>
        <v>284.30282172386285</v>
      </c>
      <c r="D14" s="1579">
        <f t="shared" si="10"/>
        <v>284.30282172386285</v>
      </c>
      <c r="E14" s="1579">
        <f t="shared" si="11"/>
        <v>479.58023546306947</v>
      </c>
      <c r="F14" s="1579">
        <f t="shared" si="11"/>
        <v>253.25788877571213</v>
      </c>
      <c r="G14" s="3093"/>
      <c r="H14" s="1565">
        <v>1</v>
      </c>
      <c r="I14" s="1565">
        <v>4.09</v>
      </c>
      <c r="J14" s="1565">
        <v>2.93</v>
      </c>
      <c r="K14" s="1565">
        <v>4.54</v>
      </c>
      <c r="L14" s="1580">
        <v>1.48</v>
      </c>
      <c r="N14" s="1574">
        <f t="shared" si="12"/>
        <v>4.0899999999999999E-2</v>
      </c>
      <c r="O14" s="1575">
        <f t="shared" si="7"/>
        <v>2.9300000000000003E-2</v>
      </c>
      <c r="P14" s="1575">
        <f t="shared" si="7"/>
        <v>4.5400000000000003E-2</v>
      </c>
      <c r="Q14" s="1575">
        <f t="shared" si="7"/>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8"/>
        <v>1.38E-2</v>
      </c>
      <c r="AG14" s="1561">
        <f>ROUND(AVERAGE(K14:K$22)/100,4)</f>
        <v>1.7899999999999999E-2</v>
      </c>
      <c r="AH14" s="1561">
        <f>ROUND(AVERAGE(L14:L$22)/100,4)</f>
        <v>1.21E-2</v>
      </c>
    </row>
    <row r="15" spans="1:34" ht="13.5" thickBot="1">
      <c r="A15" s="1562" t="s">
        <v>101</v>
      </c>
      <c r="B15" s="1571">
        <v>333</v>
      </c>
      <c r="C15" s="1571">
        <v>277</v>
      </c>
      <c r="D15" s="1571">
        <f t="shared" si="10"/>
        <v>277</v>
      </c>
      <c r="E15" s="1571">
        <v>459</v>
      </c>
      <c r="F15" s="1572">
        <v>249</v>
      </c>
      <c r="G15" s="3091">
        <v>2015</v>
      </c>
      <c r="H15" s="1584">
        <v>4</v>
      </c>
      <c r="I15" s="1584">
        <v>1.63</v>
      </c>
      <c r="J15" s="1584">
        <v>1.1100000000000001</v>
      </c>
      <c r="K15" s="1584">
        <v>1.77</v>
      </c>
      <c r="L15" s="1585">
        <v>1.89</v>
      </c>
      <c r="N15" s="1586">
        <f t="shared" si="12"/>
        <v>1.6299999999999999E-2</v>
      </c>
      <c r="O15" s="1587">
        <f t="shared" si="7"/>
        <v>1.11E-2</v>
      </c>
      <c r="P15" s="1587">
        <f t="shared" si="7"/>
        <v>1.77E-2</v>
      </c>
      <c r="Q15" s="1587">
        <f t="shared" si="7"/>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8"/>
        <v>1.1900000000000001E-2</v>
      </c>
      <c r="AG15" s="1561">
        <f>ROUND(AVERAGE(K15:K$22)/100,4)</f>
        <v>1.4500000000000001E-2</v>
      </c>
      <c r="AH15" s="1561">
        <f>ROUND(AVERAGE(L15:L$22)/100,4)</f>
        <v>1.18E-2</v>
      </c>
    </row>
    <row r="16" spans="1:34">
      <c r="A16" s="1562" t="s">
        <v>100</v>
      </c>
      <c r="B16" s="1579">
        <f t="shared" ref="B16:C18" si="13">B15/(1+N15)</f>
        <v>327.65915576109415</v>
      </c>
      <c r="C16" s="1579">
        <f t="shared" si="13"/>
        <v>273.95905449510434</v>
      </c>
      <c r="D16" s="1579">
        <f t="shared" si="10"/>
        <v>273.95905449510434</v>
      </c>
      <c r="E16" s="1579">
        <f t="shared" ref="E16:F18" si="14">E15/(1+P15)</f>
        <v>451.01699911565294</v>
      </c>
      <c r="F16" s="1579">
        <f t="shared" si="14"/>
        <v>244.38119540681129</v>
      </c>
      <c r="G16" s="3092"/>
      <c r="H16" s="1589">
        <v>3</v>
      </c>
      <c r="I16" s="1589">
        <v>1.65</v>
      </c>
      <c r="J16" s="1589">
        <v>0.92</v>
      </c>
      <c r="K16" s="1589">
        <v>1.88</v>
      </c>
      <c r="L16" s="1590">
        <v>1.26</v>
      </c>
      <c r="N16" s="1574">
        <f t="shared" si="12"/>
        <v>1.6500000000000001E-2</v>
      </c>
      <c r="O16" s="1591">
        <f t="shared" si="7"/>
        <v>9.1999999999999998E-3</v>
      </c>
      <c r="P16" s="1591">
        <f t="shared" si="7"/>
        <v>1.8799999999999997E-2</v>
      </c>
      <c r="Q16" s="1591">
        <f t="shared" si="7"/>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8"/>
        <v>1.2E-2</v>
      </c>
      <c r="AG16" s="1561">
        <f>ROUND(AVERAGE(K16:K$22)/100,4)</f>
        <v>1.4E-2</v>
      </c>
      <c r="AH16" s="1561">
        <f>ROUND(AVERAGE(L16:L$22)/100,4)</f>
        <v>1.0800000000000001E-2</v>
      </c>
    </row>
    <row r="17" spans="1:34">
      <c r="A17" s="1562" t="s">
        <v>99</v>
      </c>
      <c r="B17" s="1579">
        <f t="shared" si="13"/>
        <v>322.34053690220776</v>
      </c>
      <c r="C17" s="1579">
        <f t="shared" si="13"/>
        <v>271.46160770422546</v>
      </c>
      <c r="D17" s="1579">
        <f t="shared" si="10"/>
        <v>271.46160770422546</v>
      </c>
      <c r="E17" s="1579">
        <f t="shared" si="14"/>
        <v>442.69434542172456</v>
      </c>
      <c r="F17" s="1579">
        <f t="shared" si="14"/>
        <v>241.34030753190925</v>
      </c>
      <c r="G17" s="3092"/>
      <c r="H17" s="1566">
        <v>2</v>
      </c>
      <c r="I17" s="1566">
        <v>0.77</v>
      </c>
      <c r="J17" s="1566">
        <v>0.69</v>
      </c>
      <c r="K17" s="1566">
        <v>0.8</v>
      </c>
      <c r="L17" s="1581">
        <v>0.88</v>
      </c>
      <c r="N17" s="1574">
        <f t="shared" si="12"/>
        <v>7.7000000000000002E-3</v>
      </c>
      <c r="O17" s="1591">
        <f t="shared" si="7"/>
        <v>6.8999999999999999E-3</v>
      </c>
      <c r="P17" s="1591">
        <f t="shared" si="7"/>
        <v>8.0000000000000002E-3</v>
      </c>
      <c r="Q17" s="1591">
        <f t="shared" si="7"/>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8"/>
        <v>1.2500000000000001E-2</v>
      </c>
      <c r="AG17" s="1561">
        <f>ROUND(AVERAGE(K17:K$22)/100,4)</f>
        <v>1.32E-2</v>
      </c>
      <c r="AH17" s="1561">
        <f>ROUND(AVERAGE(L17:L$22)/100,4)</f>
        <v>1.0500000000000001E-2</v>
      </c>
    </row>
    <row r="18" spans="1:34">
      <c r="A18" s="1562" t="s">
        <v>98</v>
      </c>
      <c r="B18" s="1579">
        <f t="shared" si="13"/>
        <v>319.87748030386797</v>
      </c>
      <c r="C18" s="1579">
        <f t="shared" si="13"/>
        <v>269.60135833173649</v>
      </c>
      <c r="D18" s="1579">
        <f t="shared" si="10"/>
        <v>269.60135833173649</v>
      </c>
      <c r="E18" s="1579">
        <f t="shared" si="14"/>
        <v>439.18089823583784</v>
      </c>
      <c r="F18" s="1579">
        <f t="shared" si="14"/>
        <v>239.23503918706311</v>
      </c>
      <c r="G18" s="3093"/>
      <c r="H18" s="1565">
        <v>1</v>
      </c>
      <c r="I18" s="1565">
        <v>0.51</v>
      </c>
      <c r="J18" s="1565">
        <v>0.54</v>
      </c>
      <c r="K18" s="1565">
        <v>0.48</v>
      </c>
      <c r="L18" s="1580">
        <v>0.93</v>
      </c>
      <c r="N18" s="1582">
        <f t="shared" si="12"/>
        <v>5.1000000000000004E-3</v>
      </c>
      <c r="O18" s="1583">
        <f t="shared" si="7"/>
        <v>5.4000000000000003E-3</v>
      </c>
      <c r="P18" s="1583">
        <f t="shared" si="7"/>
        <v>4.7999999999999996E-3</v>
      </c>
      <c r="Q18" s="1583">
        <f t="shared" si="7"/>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8"/>
        <v>1.3599999999999999E-2</v>
      </c>
      <c r="AG18" s="1561">
        <f>ROUND(AVERAGE(K18:K$22)/100,4)</f>
        <v>1.4200000000000001E-2</v>
      </c>
      <c r="AH18" s="1561">
        <f>ROUND(AVERAGE(L18:L$22)/100,4)</f>
        <v>1.0800000000000001E-2</v>
      </c>
    </row>
    <row r="19" spans="1:34" ht="13.5" thickBot="1">
      <c r="A19" s="1562" t="s">
        <v>97</v>
      </c>
      <c r="B19" s="1592">
        <v>318</v>
      </c>
      <c r="C19" s="1592">
        <v>268</v>
      </c>
      <c r="D19" s="1592">
        <f t="shared" si="10"/>
        <v>268</v>
      </c>
      <c r="E19" s="1592">
        <v>437</v>
      </c>
      <c r="F19" s="1593">
        <v>237</v>
      </c>
      <c r="G19" s="3091">
        <v>2014</v>
      </c>
      <c r="H19" s="1584">
        <v>4</v>
      </c>
      <c r="I19" s="1584">
        <v>0.21</v>
      </c>
      <c r="J19" s="1584">
        <v>0.41</v>
      </c>
      <c r="K19" s="1584">
        <v>0.12</v>
      </c>
      <c r="L19" s="1585">
        <v>0.89</v>
      </c>
      <c r="N19" s="1574">
        <f t="shared" si="12"/>
        <v>2.0999999999999999E-3</v>
      </c>
      <c r="O19" s="1575">
        <f t="shared" si="7"/>
        <v>4.0999999999999995E-3</v>
      </c>
      <c r="P19" s="1575">
        <f t="shared" si="7"/>
        <v>1.1999999999999999E-3</v>
      </c>
      <c r="Q19" s="1575">
        <f t="shared" si="7"/>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8"/>
        <v>1.5599999999999999E-2</v>
      </c>
      <c r="AG19" s="1561">
        <f>ROUND(AVERAGE(K19:K$22)/100,4)</f>
        <v>1.66E-2</v>
      </c>
      <c r="AH19" s="1561">
        <f>ROUND(AVERAGE(L19:L$22)/100,4)</f>
        <v>1.12E-2</v>
      </c>
    </row>
    <row r="20" spans="1:34">
      <c r="A20" s="1562" t="s">
        <v>96</v>
      </c>
      <c r="B20" s="1579">
        <f t="shared" ref="B20:C22" si="15">B19/(1+N19)</f>
        <v>317.33359944117353</v>
      </c>
      <c r="C20" s="1579">
        <f t="shared" si="15"/>
        <v>266.90568668459315</v>
      </c>
      <c r="D20" s="1579">
        <f t="shared" si="10"/>
        <v>266.90568668459315</v>
      </c>
      <c r="E20" s="1579">
        <f t="shared" ref="E20:F22" si="16">E19/(1+P19)</f>
        <v>436.47622852576905</v>
      </c>
      <c r="F20" s="1579">
        <f t="shared" si="16"/>
        <v>234.90930716622066</v>
      </c>
      <c r="G20" s="3092"/>
      <c r="H20" s="1594">
        <v>3</v>
      </c>
      <c r="I20" s="1594">
        <v>0.83</v>
      </c>
      <c r="J20" s="1594">
        <v>1.47</v>
      </c>
      <c r="K20" s="1594">
        <v>0.65</v>
      </c>
      <c r="L20" s="1595">
        <v>0.72</v>
      </c>
      <c r="N20" s="1574">
        <f t="shared" si="12"/>
        <v>8.3000000000000001E-3</v>
      </c>
      <c r="O20" s="1575">
        <f t="shared" si="7"/>
        <v>1.47E-2</v>
      </c>
      <c r="P20" s="1575">
        <f t="shared" si="7"/>
        <v>6.5000000000000006E-3</v>
      </c>
      <c r="Q20" s="1575">
        <f t="shared" si="7"/>
        <v>7.1999999999999998E-3</v>
      </c>
      <c r="R20" s="1576"/>
      <c r="S20" s="1574"/>
      <c r="T20" s="1575"/>
      <c r="U20" s="1575"/>
      <c r="V20" s="1575"/>
      <c r="X20" s="1560">
        <f>ROUND(SUMPRODUCT(PRODUCT(1+N20:N$21)),4)</f>
        <v>1.0325</v>
      </c>
      <c r="Y20" s="1560">
        <f>ROUND(SUMPRODUCT(PRODUCT(1+O20:O$21)),4)</f>
        <v>1.0353000000000001</v>
      </c>
      <c r="Z20" s="1560">
        <f>Y20</f>
        <v>1.0353000000000001</v>
      </c>
      <c r="AA20" s="1560">
        <f>ROUND(SUMPRODUCT(PRODUCT(1+P20:P$21)),4)</f>
        <v>1.0326</v>
      </c>
      <c r="AB20" s="1560">
        <f>ROUND(SUMPRODUCT(PRODUCT(1+Q20:Q$21)),4)</f>
        <v>1.0225</v>
      </c>
      <c r="AD20" s="1561">
        <f>ROUND(AVERAGE(I20:I$22)/100,4)</f>
        <v>2.07E-2</v>
      </c>
      <c r="AE20" s="1561">
        <f>ROUND(AVERAGE(J20:J$22)/100,4)</f>
        <v>1.95E-2</v>
      </c>
      <c r="AF20" s="1561">
        <f t="shared" si="8"/>
        <v>1.95E-2</v>
      </c>
      <c r="AG20" s="1561">
        <f>ROUND(AVERAGE(K20:K$22)/100,4)</f>
        <v>2.1700000000000001E-2</v>
      </c>
      <c r="AH20" s="1561">
        <f>ROUND(AVERAGE(L20:L$22)/100,4)</f>
        <v>1.2E-2</v>
      </c>
    </row>
    <row r="21" spans="1:34" ht="13.5" thickBot="1">
      <c r="A21" s="1562" t="s">
        <v>95</v>
      </c>
      <c r="B21" s="1579">
        <f t="shared" si="15"/>
        <v>314.72141172386546</v>
      </c>
      <c r="C21" s="1579">
        <f t="shared" si="15"/>
        <v>263.03901319069001</v>
      </c>
      <c r="D21" s="1579">
        <f t="shared" si="10"/>
        <v>263.03901319069001</v>
      </c>
      <c r="E21" s="1579">
        <f t="shared" si="16"/>
        <v>433.65745506782821</v>
      </c>
      <c r="F21" s="1579">
        <f t="shared" si="16"/>
        <v>233.23005080045735</v>
      </c>
      <c r="G21" s="3092"/>
      <c r="H21" s="1584">
        <v>2</v>
      </c>
      <c r="I21" s="1584">
        <v>2.4</v>
      </c>
      <c r="J21" s="1584">
        <v>2.0299999999999998</v>
      </c>
      <c r="K21" s="1584">
        <v>2.59</v>
      </c>
      <c r="L21" s="1585">
        <v>1.52</v>
      </c>
      <c r="N21" s="1574">
        <f t="shared" si="12"/>
        <v>2.4E-2</v>
      </c>
      <c r="O21" s="1575">
        <f t="shared" si="7"/>
        <v>2.0299999999999999E-2</v>
      </c>
      <c r="P21" s="1575">
        <f t="shared" si="7"/>
        <v>2.5899999999999999E-2</v>
      </c>
      <c r="Q21" s="1575">
        <f t="shared" si="7"/>
        <v>1.52E-2</v>
      </c>
      <c r="R21" s="1576"/>
      <c r="S21" s="1574"/>
      <c r="T21" s="1575"/>
      <c r="U21" s="1575"/>
      <c r="V21" s="1575"/>
      <c r="X21" s="1560">
        <f>1+N21</f>
        <v>1.024</v>
      </c>
      <c r="Y21" s="1560">
        <f>1+O21</f>
        <v>1.0203</v>
      </c>
      <c r="Z21" s="1560">
        <f>Y21</f>
        <v>1.0203</v>
      </c>
      <c r="AA21" s="1560">
        <f>1+P21</f>
        <v>1.0259</v>
      </c>
      <c r="AB21" s="1560">
        <f>1+Q21</f>
        <v>1.0152000000000001</v>
      </c>
      <c r="AD21" s="1561">
        <f>ROUND(AVERAGE(I21:I$22)/100,4)</f>
        <v>2.69E-2</v>
      </c>
      <c r="AE21" s="1561">
        <f>ROUND(AVERAGE(J21:J$22)/100,4)</f>
        <v>2.1899999999999999E-2</v>
      </c>
      <c r="AF21" s="1561">
        <f>AE21</f>
        <v>2.1899999999999999E-2</v>
      </c>
      <c r="AG21" s="1561">
        <f>ROUND(AVERAGE(K21:K$22)/100,4)</f>
        <v>2.9399999999999999E-2</v>
      </c>
      <c r="AH21" s="1561">
        <f>ROUND(AVERAGE(L21:L$22)/100,4)</f>
        <v>1.44E-2</v>
      </c>
    </row>
    <row r="22" spans="1:34" s="1600" customFormat="1" ht="13.5" thickBot="1">
      <c r="A22" s="1596" t="s">
        <v>94</v>
      </c>
      <c r="B22" s="1597">
        <f t="shared" si="15"/>
        <v>307.34512863658733</v>
      </c>
      <c r="C22" s="1597">
        <f t="shared" si="15"/>
        <v>257.80556031626975</v>
      </c>
      <c r="D22" s="1597">
        <f t="shared" si="10"/>
        <v>257.80556031626975</v>
      </c>
      <c r="E22" s="1597">
        <f t="shared" si="16"/>
        <v>422.70928459677179</v>
      </c>
      <c r="F22" s="1597">
        <f t="shared" si="16"/>
        <v>229.73803270336617</v>
      </c>
      <c r="G22" s="3093"/>
      <c r="H22" s="1598">
        <v>1</v>
      </c>
      <c r="I22" s="1598">
        <v>2.97</v>
      </c>
      <c r="J22" s="1598">
        <v>2.34</v>
      </c>
      <c r="K22" s="1598">
        <v>3.28</v>
      </c>
      <c r="L22" s="1599">
        <v>1.36</v>
      </c>
      <c r="N22" s="1601">
        <f t="shared" si="12"/>
        <v>2.9700000000000001E-2</v>
      </c>
      <c r="O22" s="1602">
        <f t="shared" si="7"/>
        <v>2.3399999999999997E-2</v>
      </c>
      <c r="P22" s="1602">
        <f t="shared" si="7"/>
        <v>3.2799999999999996E-2</v>
      </c>
      <c r="Q22" s="1602">
        <f t="shared" si="7"/>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10"/>
        <v>252</v>
      </c>
      <c r="E23" s="1571">
        <v>409</v>
      </c>
      <c r="F23" s="1572">
        <v>227</v>
      </c>
      <c r="G23" s="3098">
        <v>2013</v>
      </c>
      <c r="H23" s="1608">
        <v>4</v>
      </c>
      <c r="I23" s="1608">
        <v>1.83</v>
      </c>
      <c r="J23" s="1608">
        <v>1.68</v>
      </c>
      <c r="K23" s="1608">
        <v>1.97</v>
      </c>
      <c r="L23" s="1609">
        <v>0.87</v>
      </c>
      <c r="N23" s="1586">
        <f t="shared" si="12"/>
        <v>1.83E-2</v>
      </c>
      <c r="O23" s="1587">
        <f t="shared" si="7"/>
        <v>1.6799999999999999E-2</v>
      </c>
      <c r="P23" s="1587">
        <f t="shared" si="7"/>
        <v>1.9699999999999999E-2</v>
      </c>
      <c r="Q23" s="1587">
        <f t="shared" si="7"/>
        <v>8.6999999999999994E-3</v>
      </c>
      <c r="R23" s="1576"/>
      <c r="S23" s="1577"/>
      <c r="T23" s="1578"/>
      <c r="U23" s="1578"/>
      <c r="V23" s="1578"/>
      <c r="X23" s="1578"/>
      <c r="Y23" s="1578"/>
      <c r="Z23" s="1578"/>
    </row>
    <row r="24" spans="1:34">
      <c r="A24" s="1562" t="s">
        <v>1052</v>
      </c>
      <c r="B24" s="1579">
        <f t="shared" ref="B24:C26" si="17">B23/(1+N23)</f>
        <v>293.62663262299913</v>
      </c>
      <c r="C24" s="1579">
        <f t="shared" si="17"/>
        <v>247.83634933123525</v>
      </c>
      <c r="D24" s="1579">
        <f t="shared" si="10"/>
        <v>247.83634933123525</v>
      </c>
      <c r="E24" s="1579">
        <f t="shared" ref="E24:F26" si="18">E23/(1+P23)</f>
        <v>401.09836226341076</v>
      </c>
      <c r="F24" s="1579">
        <f t="shared" si="18"/>
        <v>225.04213343908003</v>
      </c>
      <c r="G24" s="3099"/>
      <c r="H24" s="1589">
        <v>3</v>
      </c>
      <c r="I24" s="1589">
        <v>1.86</v>
      </c>
      <c r="J24" s="1589">
        <v>1.72</v>
      </c>
      <c r="K24" s="1589">
        <v>1.98</v>
      </c>
      <c r="L24" s="1590">
        <v>0.88</v>
      </c>
      <c r="N24" s="1574">
        <f t="shared" si="12"/>
        <v>1.8600000000000002E-2</v>
      </c>
      <c r="O24" s="1591">
        <f t="shared" si="7"/>
        <v>1.72E-2</v>
      </c>
      <c r="P24" s="1591">
        <f t="shared" si="7"/>
        <v>1.9799999999999998E-2</v>
      </c>
      <c r="Q24" s="1591">
        <f t="shared" si="7"/>
        <v>8.8000000000000005E-3</v>
      </c>
      <c r="R24" s="1576"/>
      <c r="S24" s="1574"/>
      <c r="T24" s="1575"/>
      <c r="U24" s="1575"/>
      <c r="V24" s="1575"/>
    </row>
    <row r="25" spans="1:34">
      <c r="A25" s="1562" t="s">
        <v>1053</v>
      </c>
      <c r="B25" s="1579">
        <f t="shared" si="17"/>
        <v>288.2649053828776</v>
      </c>
      <c r="C25" s="1579">
        <f t="shared" si="17"/>
        <v>243.64564425013293</v>
      </c>
      <c r="D25" s="1579">
        <f t="shared" si="10"/>
        <v>243.64564425013293</v>
      </c>
      <c r="E25" s="1579">
        <f t="shared" si="18"/>
        <v>393.31080825986544</v>
      </c>
      <c r="F25" s="1579">
        <f t="shared" si="18"/>
        <v>223.07903790551154</v>
      </c>
      <c r="G25" s="3099"/>
      <c r="H25" s="1566">
        <v>2</v>
      </c>
      <c r="I25" s="1566">
        <v>2.04</v>
      </c>
      <c r="J25" s="1566">
        <v>2.33</v>
      </c>
      <c r="K25" s="1566">
        <v>2.0699999999999998</v>
      </c>
      <c r="L25" s="1581">
        <v>0.69</v>
      </c>
      <c r="N25" s="1574">
        <f t="shared" si="12"/>
        <v>2.0400000000000001E-2</v>
      </c>
      <c r="O25" s="1591">
        <f t="shared" si="7"/>
        <v>2.3300000000000001E-2</v>
      </c>
      <c r="P25" s="1591">
        <f t="shared" si="7"/>
        <v>2.07E-2</v>
      </c>
      <c r="Q25" s="1591">
        <f t="shared" si="7"/>
        <v>6.8999999999999999E-3</v>
      </c>
      <c r="R25" s="1576"/>
      <c r="S25" s="1574"/>
      <c r="T25" s="1575"/>
      <c r="U25" s="1575"/>
      <c r="V25" s="1575"/>
      <c r="X25" s="1610"/>
      <c r="Y25" s="1611"/>
    </row>
    <row r="26" spans="1:34">
      <c r="A26" s="1562" t="s">
        <v>1054</v>
      </c>
      <c r="B26" s="1579">
        <f t="shared" si="17"/>
        <v>282.50186729015837</v>
      </c>
      <c r="C26" s="1579">
        <f t="shared" si="17"/>
        <v>238.09796174155468</v>
      </c>
      <c r="D26" s="1579">
        <f t="shared" si="10"/>
        <v>238.09796174155468</v>
      </c>
      <c r="E26" s="1579">
        <f t="shared" si="18"/>
        <v>385.33438646014054</v>
      </c>
      <c r="F26" s="1579">
        <f t="shared" si="18"/>
        <v>221.55034055567739</v>
      </c>
      <c r="G26" s="3100"/>
      <c r="H26" s="1565">
        <v>1</v>
      </c>
      <c r="I26" s="1565">
        <v>1.67</v>
      </c>
      <c r="J26" s="1565">
        <v>1.31</v>
      </c>
      <c r="K26" s="1565">
        <v>1.85</v>
      </c>
      <c r="L26" s="1580">
        <v>0.96</v>
      </c>
      <c r="N26" s="1582">
        <f t="shared" si="12"/>
        <v>1.67E-2</v>
      </c>
      <c r="O26" s="1583">
        <f t="shared" si="12"/>
        <v>1.3100000000000001E-2</v>
      </c>
      <c r="P26" s="1583">
        <f t="shared" si="12"/>
        <v>1.8500000000000003E-2</v>
      </c>
      <c r="Q26" s="1583">
        <f t="shared" si="12"/>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10"/>
        <v>234</v>
      </c>
      <c r="E27" s="1613">
        <v>379</v>
      </c>
      <c r="F27" s="1614">
        <v>220</v>
      </c>
      <c r="G27" s="3091">
        <v>2012</v>
      </c>
      <c r="H27" s="1584">
        <v>4</v>
      </c>
      <c r="I27" s="1584">
        <v>0.91</v>
      </c>
      <c r="J27" s="1584">
        <v>0.68</v>
      </c>
      <c r="K27" s="1584">
        <v>0.98</v>
      </c>
      <c r="L27" s="1585">
        <v>0.9</v>
      </c>
      <c r="N27" s="1574">
        <f t="shared" si="12"/>
        <v>9.1000000000000004E-3</v>
      </c>
      <c r="O27" s="1575">
        <f t="shared" si="12"/>
        <v>6.8000000000000005E-3</v>
      </c>
      <c r="P27" s="1575">
        <f t="shared" si="12"/>
        <v>9.7999999999999997E-3</v>
      </c>
      <c r="Q27" s="1575">
        <f t="shared" si="12"/>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10"/>
        <v>232.41954707985698</v>
      </c>
      <c r="E28" s="1579">
        <f t="shared" ref="E28:F30" si="19">E27/(1+P27)</f>
        <v>375.32184591008121</v>
      </c>
      <c r="F28" s="1579">
        <f t="shared" si="19"/>
        <v>218.03766105054513</v>
      </c>
      <c r="G28" s="3092"/>
      <c r="H28" s="1589">
        <v>3</v>
      </c>
      <c r="I28" s="1589">
        <v>0.09</v>
      </c>
      <c r="J28" s="1589">
        <v>0.28999999999999998</v>
      </c>
      <c r="K28" s="1589">
        <v>-0.01</v>
      </c>
      <c r="L28" s="1590">
        <v>0.57999999999999996</v>
      </c>
      <c r="N28" s="1574">
        <f t="shared" si="12"/>
        <v>8.9999999999999998E-4</v>
      </c>
      <c r="O28" s="1575">
        <f t="shared" si="12"/>
        <v>2.8999999999999998E-3</v>
      </c>
      <c r="P28" s="1575">
        <f t="shared" si="12"/>
        <v>-1E-4</v>
      </c>
      <c r="Q28" s="1575">
        <f t="shared" si="12"/>
        <v>5.7999999999999996E-3</v>
      </c>
      <c r="R28" s="1576"/>
      <c r="S28" s="1574"/>
      <c r="T28" s="1575"/>
      <c r="U28" s="1575"/>
      <c r="V28" s="1575"/>
    </row>
    <row r="29" spans="1:34">
      <c r="A29" s="1562" t="s">
        <v>1057</v>
      </c>
      <c r="B29" s="1579">
        <f>B28/(1+N28)</f>
        <v>275.24529281292263</v>
      </c>
      <c r="C29" s="1579">
        <f>C28/(1+O28)</f>
        <v>231.74747938962707</v>
      </c>
      <c r="D29" s="1579">
        <f t="shared" si="10"/>
        <v>231.74747938962707</v>
      </c>
      <c r="E29" s="1579">
        <f t="shared" si="19"/>
        <v>375.35938184826603</v>
      </c>
      <c r="F29" s="1579">
        <f t="shared" si="19"/>
        <v>216.78033510692495</v>
      </c>
      <c r="G29" s="3092"/>
      <c r="H29" s="1566">
        <v>2</v>
      </c>
      <c r="I29" s="1566">
        <v>0.02</v>
      </c>
      <c r="J29" s="1566">
        <v>0.12</v>
      </c>
      <c r="K29" s="1566">
        <v>-0.08</v>
      </c>
      <c r="L29" s="1581">
        <v>1.24</v>
      </c>
      <c r="N29" s="1574">
        <f t="shared" si="12"/>
        <v>2.0000000000000001E-4</v>
      </c>
      <c r="O29" s="1575">
        <f t="shared" si="12"/>
        <v>1.1999999999999999E-3</v>
      </c>
      <c r="P29" s="1575">
        <f t="shared" si="12"/>
        <v>-8.0000000000000004E-4</v>
      </c>
      <c r="Q29" s="1575">
        <f t="shared" si="12"/>
        <v>1.24E-2</v>
      </c>
      <c r="R29" s="1576"/>
      <c r="S29" s="1574"/>
      <c r="T29" s="1575"/>
      <c r="U29" s="1575"/>
      <c r="V29" s="1575"/>
    </row>
    <row r="30" spans="1:34" ht="13.5" thickBot="1">
      <c r="A30" s="1562" t="s">
        <v>1058</v>
      </c>
      <c r="B30" s="1579">
        <f>B29/(1+N29)</f>
        <v>275.19025476197027</v>
      </c>
      <c r="C30" s="1615">
        <v>232</v>
      </c>
      <c r="D30" s="1615">
        <f t="shared" si="10"/>
        <v>232</v>
      </c>
      <c r="E30" s="1579">
        <f t="shared" si="19"/>
        <v>375.65990977608692</v>
      </c>
      <c r="F30" s="1579">
        <f t="shared" si="19"/>
        <v>214.12518283971252</v>
      </c>
      <c r="G30" s="3093"/>
      <c r="H30" s="1565">
        <v>1</v>
      </c>
      <c r="I30" s="1565">
        <v>0.02</v>
      </c>
      <c r="J30" s="1565">
        <v>0.13</v>
      </c>
      <c r="K30" s="1565">
        <v>-0.04</v>
      </c>
      <c r="L30" s="1580">
        <v>0.46</v>
      </c>
      <c r="N30" s="1574">
        <f t="shared" si="12"/>
        <v>2.0000000000000001E-4</v>
      </c>
      <c r="O30" s="1575">
        <f t="shared" si="12"/>
        <v>1.2999999999999999E-3</v>
      </c>
      <c r="P30" s="1575">
        <f t="shared" si="12"/>
        <v>-4.0000000000000002E-4</v>
      </c>
      <c r="Q30" s="1575">
        <f t="shared" si="12"/>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10"/>
        <v>232</v>
      </c>
      <c r="E31" s="1571">
        <v>376</v>
      </c>
      <c r="F31" s="1572">
        <v>213</v>
      </c>
      <c r="G31" s="3091">
        <v>2011</v>
      </c>
      <c r="H31" s="1584">
        <v>4</v>
      </c>
      <c r="I31" s="1584">
        <v>-0.2</v>
      </c>
      <c r="J31" s="1584">
        <v>0.04</v>
      </c>
      <c r="K31" s="1584">
        <v>-0.34</v>
      </c>
      <c r="L31" s="1585">
        <v>0.46</v>
      </c>
      <c r="N31" s="1586">
        <f t="shared" si="12"/>
        <v>-2E-3</v>
      </c>
      <c r="O31" s="1587">
        <f t="shared" si="12"/>
        <v>4.0000000000000002E-4</v>
      </c>
      <c r="P31" s="1587">
        <f t="shared" si="12"/>
        <v>-3.4000000000000002E-3</v>
      </c>
      <c r="Q31" s="1587">
        <f t="shared" si="12"/>
        <v>4.5999999999999999E-3</v>
      </c>
      <c r="R31" s="1576"/>
      <c r="S31" s="1577"/>
      <c r="T31" s="1578"/>
      <c r="U31" s="1578"/>
      <c r="V31" s="1578"/>
      <c r="X31" s="1578"/>
      <c r="Y31" s="1578"/>
      <c r="Z31" s="1578"/>
    </row>
    <row r="32" spans="1:34">
      <c r="A32" s="1562" t="s">
        <v>1060</v>
      </c>
      <c r="B32" s="1579">
        <f t="shared" ref="B32:C34" si="20">B31/(1+N31)</f>
        <v>275.55110220440883</v>
      </c>
      <c r="C32" s="1579">
        <f t="shared" si="20"/>
        <v>231.90723710515795</v>
      </c>
      <c r="D32" s="1579">
        <f t="shared" si="10"/>
        <v>231.90723710515795</v>
      </c>
      <c r="E32" s="1579">
        <f t="shared" ref="E32:F34" si="21">E31/(1+P31)</f>
        <v>377.28276138872161</v>
      </c>
      <c r="F32" s="1579">
        <f t="shared" si="21"/>
        <v>212.02468644236512</v>
      </c>
      <c r="G32" s="3092">
        <v>2011</v>
      </c>
      <c r="H32" s="1589">
        <v>3</v>
      </c>
      <c r="I32" s="1589">
        <v>0.13</v>
      </c>
      <c r="J32" s="1589">
        <v>0.75</v>
      </c>
      <c r="K32" s="1589">
        <v>-0.08</v>
      </c>
      <c r="L32" s="1590">
        <v>0.53</v>
      </c>
      <c r="N32" s="1574">
        <f t="shared" si="12"/>
        <v>1.2999999999999999E-3</v>
      </c>
      <c r="O32" s="1591">
        <f t="shared" si="12"/>
        <v>7.4999999999999997E-3</v>
      </c>
      <c r="P32" s="1591">
        <f t="shared" si="12"/>
        <v>-8.0000000000000004E-4</v>
      </c>
      <c r="Q32" s="1591">
        <f t="shared" si="12"/>
        <v>5.3E-3</v>
      </c>
      <c r="R32" s="1576"/>
      <c r="S32" s="1574"/>
      <c r="T32" s="1575"/>
      <c r="U32" s="1575"/>
      <c r="V32" s="1575"/>
    </row>
    <row r="33" spans="1:26">
      <c r="A33" s="1562" t="s">
        <v>1061</v>
      </c>
      <c r="B33" s="1579">
        <f t="shared" si="20"/>
        <v>275.19335084830601</v>
      </c>
      <c r="C33" s="1579">
        <f t="shared" si="20"/>
        <v>230.18088050139744</v>
      </c>
      <c r="D33" s="1579">
        <f t="shared" si="10"/>
        <v>230.18088050139744</v>
      </c>
      <c r="E33" s="1579">
        <f t="shared" si="21"/>
        <v>377.58482925212331</v>
      </c>
      <c r="F33" s="1579">
        <f t="shared" si="21"/>
        <v>210.90687997847917</v>
      </c>
      <c r="G33" s="3092">
        <v>2011</v>
      </c>
      <c r="H33" s="1566">
        <v>2</v>
      </c>
      <c r="I33" s="1566">
        <v>-0.4</v>
      </c>
      <c r="J33" s="1566">
        <v>0.17</v>
      </c>
      <c r="K33" s="1566">
        <v>-0.57999999999999996</v>
      </c>
      <c r="L33" s="1581">
        <v>-0.2</v>
      </c>
      <c r="N33" s="1574">
        <f t="shared" si="12"/>
        <v>-4.0000000000000001E-3</v>
      </c>
      <c r="O33" s="1591">
        <f t="shared" si="12"/>
        <v>1.7000000000000001E-3</v>
      </c>
      <c r="P33" s="1591">
        <f t="shared" si="12"/>
        <v>-5.7999999999999996E-3</v>
      </c>
      <c r="Q33" s="1591">
        <f t="shared" si="12"/>
        <v>-2E-3</v>
      </c>
      <c r="R33" s="1576"/>
      <c r="S33" s="1574"/>
      <c r="T33" s="1575"/>
      <c r="U33" s="1575"/>
      <c r="V33" s="1575"/>
    </row>
    <row r="34" spans="1:26" ht="13.5" thickBot="1">
      <c r="A34" s="1562" t="s">
        <v>1062</v>
      </c>
      <c r="B34" s="1579">
        <f t="shared" si="20"/>
        <v>276.29854502841971</v>
      </c>
      <c r="C34" s="1579">
        <f t="shared" si="20"/>
        <v>229.79023709833027</v>
      </c>
      <c r="D34" s="1579">
        <f t="shared" si="10"/>
        <v>229.79023709833027</v>
      </c>
      <c r="E34" s="1579">
        <f t="shared" si="21"/>
        <v>379.78759731655936</v>
      </c>
      <c r="F34" s="1579">
        <f t="shared" si="21"/>
        <v>211.32953905659235</v>
      </c>
      <c r="G34" s="3093">
        <v>2011</v>
      </c>
      <c r="H34" s="1565">
        <v>1</v>
      </c>
      <c r="I34" s="1565">
        <v>2.65</v>
      </c>
      <c r="J34" s="1565">
        <v>3.76</v>
      </c>
      <c r="K34" s="1565">
        <v>1.89</v>
      </c>
      <c r="L34" s="1580">
        <v>7.95</v>
      </c>
      <c r="N34" s="1582">
        <f t="shared" si="12"/>
        <v>2.6499999999999999E-2</v>
      </c>
      <c r="O34" s="1583">
        <f t="shared" si="12"/>
        <v>3.7599999999999995E-2</v>
      </c>
      <c r="P34" s="1583">
        <f t="shared" si="12"/>
        <v>1.89E-2</v>
      </c>
      <c r="Q34" s="1583">
        <f t="shared" si="12"/>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10"/>
        <v>221</v>
      </c>
      <c r="E35" s="1571">
        <v>373</v>
      </c>
      <c r="F35" s="1572">
        <v>196</v>
      </c>
      <c r="G35" s="3091">
        <v>2010</v>
      </c>
      <c r="H35" s="1584">
        <v>4</v>
      </c>
      <c r="I35" s="1584">
        <v>5.72</v>
      </c>
      <c r="J35" s="1584">
        <v>6.57</v>
      </c>
      <c r="K35" s="1584">
        <v>5.72</v>
      </c>
      <c r="L35" s="1585">
        <v>2.72</v>
      </c>
      <c r="N35" s="1574">
        <f t="shared" si="12"/>
        <v>5.7200000000000001E-2</v>
      </c>
      <c r="O35" s="1575">
        <f t="shared" si="12"/>
        <v>6.5700000000000008E-2</v>
      </c>
      <c r="P35" s="1575">
        <f t="shared" si="12"/>
        <v>5.7200000000000001E-2</v>
      </c>
      <c r="Q35" s="1575">
        <f t="shared" si="12"/>
        <v>2.7200000000000002E-2</v>
      </c>
      <c r="R35" s="1576"/>
      <c r="S35" s="1577"/>
      <c r="T35" s="1578"/>
      <c r="U35" s="1578"/>
      <c r="V35" s="1578"/>
      <c r="X35" s="1578"/>
      <c r="Y35" s="1578"/>
      <c r="Z35" s="1578"/>
    </row>
    <row r="36" spans="1:26">
      <c r="A36" s="1562" t="s">
        <v>1064</v>
      </c>
      <c r="B36" s="1579">
        <f t="shared" ref="B36:C38" si="22">B35/(1+N35)</f>
        <v>254.44570563753314</v>
      </c>
      <c r="C36" s="1579">
        <f t="shared" si="22"/>
        <v>207.37543398705074</v>
      </c>
      <c r="D36" s="1579">
        <f t="shared" si="10"/>
        <v>207.37543398705074</v>
      </c>
      <c r="E36" s="1579">
        <f t="shared" ref="E36:F38" si="23">E35/(1+P35)</f>
        <v>352.81876655315932</v>
      </c>
      <c r="F36" s="1579">
        <f t="shared" si="23"/>
        <v>190.809968847352</v>
      </c>
      <c r="G36" s="3092">
        <v>2010</v>
      </c>
      <c r="H36" s="1589">
        <v>3</v>
      </c>
      <c r="I36" s="1589">
        <v>4.7300000000000004</v>
      </c>
      <c r="J36" s="1589">
        <v>3.9</v>
      </c>
      <c r="K36" s="1589">
        <v>5.03</v>
      </c>
      <c r="L36" s="1590">
        <v>4.21</v>
      </c>
      <c r="N36" s="1574">
        <f t="shared" si="12"/>
        <v>4.7300000000000002E-2</v>
      </c>
      <c r="O36" s="1575">
        <f t="shared" si="12"/>
        <v>3.9E-2</v>
      </c>
      <c r="P36" s="1575">
        <f t="shared" si="12"/>
        <v>5.0300000000000004E-2</v>
      </c>
      <c r="Q36" s="1575">
        <f t="shared" si="12"/>
        <v>4.2099999999999999E-2</v>
      </c>
      <c r="R36" s="1576"/>
      <c r="S36" s="1574"/>
      <c r="T36" s="1575"/>
      <c r="U36" s="1575"/>
      <c r="V36" s="1575"/>
    </row>
    <row r="37" spans="1:26">
      <c r="A37" s="1562" t="s">
        <v>1065</v>
      </c>
      <c r="B37" s="1579">
        <f t="shared" si="22"/>
        <v>242.95398227588385</v>
      </c>
      <c r="C37" s="1579">
        <f t="shared" si="22"/>
        <v>199.59137053614126</v>
      </c>
      <c r="D37" s="1579">
        <f t="shared" si="10"/>
        <v>199.59137053614126</v>
      </c>
      <c r="E37" s="1579">
        <f t="shared" si="23"/>
        <v>335.92189522342125</v>
      </c>
      <c r="F37" s="1579">
        <f t="shared" si="23"/>
        <v>183.10139991109489</v>
      </c>
      <c r="G37" s="3092">
        <v>2010</v>
      </c>
      <c r="H37" s="1566">
        <v>2</v>
      </c>
      <c r="I37" s="1566">
        <v>4.6900000000000004</v>
      </c>
      <c r="J37" s="1566">
        <v>3.55</v>
      </c>
      <c r="K37" s="1566">
        <v>5.07</v>
      </c>
      <c r="L37" s="1581">
        <v>4.2300000000000004</v>
      </c>
      <c r="N37" s="1574">
        <f t="shared" si="12"/>
        <v>4.6900000000000004E-2</v>
      </c>
      <c r="O37" s="1575">
        <f t="shared" si="12"/>
        <v>3.5499999999999997E-2</v>
      </c>
      <c r="P37" s="1575">
        <f t="shared" si="12"/>
        <v>5.0700000000000002E-2</v>
      </c>
      <c r="Q37" s="1575">
        <f t="shared" si="12"/>
        <v>4.2300000000000004E-2</v>
      </c>
      <c r="R37" s="1576"/>
      <c r="S37" s="1574"/>
      <c r="T37" s="1575"/>
      <c r="U37" s="1575"/>
      <c r="V37" s="1575"/>
    </row>
    <row r="38" spans="1:26" ht="13.5" thickBot="1">
      <c r="A38" s="1562" t="s">
        <v>1066</v>
      </c>
      <c r="B38" s="1579">
        <f t="shared" si="22"/>
        <v>232.06990378821649</v>
      </c>
      <c r="C38" s="1579">
        <f t="shared" si="22"/>
        <v>192.74878854286936</v>
      </c>
      <c r="D38" s="1579">
        <f t="shared" si="10"/>
        <v>192.74878854286936</v>
      </c>
      <c r="E38" s="1579">
        <f t="shared" si="23"/>
        <v>319.71247284992984</v>
      </c>
      <c r="F38" s="1579">
        <f t="shared" si="23"/>
        <v>175.67053622862409</v>
      </c>
      <c r="G38" s="3093">
        <v>2010</v>
      </c>
      <c r="H38" s="1565">
        <v>1</v>
      </c>
      <c r="I38" s="1565">
        <v>5.4</v>
      </c>
      <c r="J38" s="1565">
        <v>3.2</v>
      </c>
      <c r="K38" s="1565">
        <v>6.16</v>
      </c>
      <c r="L38" s="1580">
        <v>4.51</v>
      </c>
      <c r="N38" s="1574">
        <f t="shared" si="12"/>
        <v>5.4000000000000006E-2</v>
      </c>
      <c r="O38" s="1575">
        <f t="shared" si="12"/>
        <v>3.2000000000000001E-2</v>
      </c>
      <c r="P38" s="1575">
        <f t="shared" si="12"/>
        <v>6.1600000000000002E-2</v>
      </c>
      <c r="Q38" s="1575">
        <f t="shared" si="12"/>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10"/>
        <v>187</v>
      </c>
      <c r="E39" s="1571">
        <v>301</v>
      </c>
      <c r="F39" s="1572">
        <v>168</v>
      </c>
      <c r="G39" s="3091">
        <v>2009</v>
      </c>
      <c r="H39" s="1584">
        <v>4</v>
      </c>
      <c r="I39" s="1584">
        <v>2.2999999999999998</v>
      </c>
      <c r="J39" s="1584">
        <v>1.04</v>
      </c>
      <c r="K39" s="1584">
        <v>2.84</v>
      </c>
      <c r="L39" s="1585">
        <v>0.67</v>
      </c>
      <c r="N39" s="1586">
        <f t="shared" si="12"/>
        <v>2.3E-2</v>
      </c>
      <c r="O39" s="1587">
        <f t="shared" si="12"/>
        <v>1.04E-2</v>
      </c>
      <c r="P39" s="1587">
        <f t="shared" si="12"/>
        <v>2.8399999999999998E-2</v>
      </c>
      <c r="Q39" s="1587">
        <f t="shared" si="12"/>
        <v>6.7000000000000002E-3</v>
      </c>
      <c r="R39" s="1576"/>
      <c r="S39" s="1577"/>
      <c r="T39" s="1578"/>
      <c r="U39" s="1578"/>
      <c r="V39" s="1578"/>
      <c r="X39" s="1578"/>
      <c r="Y39" s="1578"/>
      <c r="Z39" s="1578"/>
    </row>
    <row r="40" spans="1:26">
      <c r="A40" s="1562" t="s">
        <v>1068</v>
      </c>
      <c r="B40" s="1579">
        <f t="shared" ref="B40:C42" si="24">B39/(1+N39)</f>
        <v>215.05376344086022</v>
      </c>
      <c r="C40" s="1579">
        <f t="shared" si="24"/>
        <v>185.0752177355503</v>
      </c>
      <c r="D40" s="1579">
        <f t="shared" si="10"/>
        <v>185.0752177355503</v>
      </c>
      <c r="E40" s="1579">
        <f t="shared" ref="E40:F42" si="25">E39/(1+P39)</f>
        <v>292.68767016725008</v>
      </c>
      <c r="F40" s="1579">
        <f t="shared" si="25"/>
        <v>166.88189132810174</v>
      </c>
      <c r="G40" s="3092">
        <v>2009</v>
      </c>
      <c r="H40" s="1589">
        <v>3</v>
      </c>
      <c r="I40" s="1589">
        <v>2.1</v>
      </c>
      <c r="J40" s="1589">
        <v>1.86</v>
      </c>
      <c r="K40" s="1589">
        <v>2.29</v>
      </c>
      <c r="L40" s="1590">
        <v>0.85</v>
      </c>
      <c r="N40" s="1574">
        <f t="shared" si="12"/>
        <v>2.1000000000000001E-2</v>
      </c>
      <c r="O40" s="1591">
        <f t="shared" si="12"/>
        <v>1.8600000000000002E-2</v>
      </c>
      <c r="P40" s="1591">
        <f t="shared" si="12"/>
        <v>2.29E-2</v>
      </c>
      <c r="Q40" s="1591">
        <f t="shared" si="12"/>
        <v>8.5000000000000006E-3</v>
      </c>
      <c r="R40" s="1576"/>
      <c r="S40" s="1574"/>
      <c r="T40" s="1575"/>
      <c r="U40" s="1575"/>
      <c r="V40" s="1575"/>
    </row>
    <row r="41" spans="1:26">
      <c r="A41" s="1562" t="s">
        <v>1069</v>
      </c>
      <c r="B41" s="1579">
        <f t="shared" si="24"/>
        <v>210.630522469011</v>
      </c>
      <c r="C41" s="1579">
        <f t="shared" si="24"/>
        <v>181.69567812247232</v>
      </c>
      <c r="D41" s="1579">
        <f t="shared" si="10"/>
        <v>181.69567812247232</v>
      </c>
      <c r="E41" s="1579">
        <f t="shared" si="25"/>
        <v>286.13517466736738</v>
      </c>
      <c r="F41" s="1579">
        <f t="shared" si="25"/>
        <v>165.47535084591149</v>
      </c>
      <c r="G41" s="3092">
        <v>2009</v>
      </c>
      <c r="H41" s="1566">
        <v>2</v>
      </c>
      <c r="I41" s="1566">
        <v>0.86</v>
      </c>
      <c r="J41" s="1566">
        <v>-1.1299999999999999</v>
      </c>
      <c r="K41" s="1566">
        <v>1.79</v>
      </c>
      <c r="L41" s="1581">
        <v>-2.0699999999999998</v>
      </c>
      <c r="N41" s="1574">
        <f t="shared" si="12"/>
        <v>8.6E-3</v>
      </c>
      <c r="O41" s="1591">
        <f t="shared" si="12"/>
        <v>-1.1299999999999999E-2</v>
      </c>
      <c r="P41" s="1591">
        <f t="shared" si="12"/>
        <v>1.7899999999999999E-2</v>
      </c>
      <c r="Q41" s="1591">
        <f t="shared" si="12"/>
        <v>-2.07E-2</v>
      </c>
      <c r="R41" s="1576"/>
      <c r="S41" s="1574"/>
      <c r="T41" s="1575"/>
      <c r="U41" s="1575"/>
      <c r="V41" s="1575"/>
    </row>
    <row r="42" spans="1:26">
      <c r="A42" s="1562" t="s">
        <v>1070</v>
      </c>
      <c r="B42" s="1579">
        <f t="shared" si="24"/>
        <v>208.83454537875372</v>
      </c>
      <c r="C42" s="1579">
        <f t="shared" si="24"/>
        <v>183.77230517090351</v>
      </c>
      <c r="D42" s="1579">
        <f t="shared" si="10"/>
        <v>183.77230517090351</v>
      </c>
      <c r="E42" s="1579">
        <f t="shared" si="25"/>
        <v>281.10342338870947</v>
      </c>
      <c r="F42" s="1579">
        <f t="shared" si="25"/>
        <v>168.97309388942256</v>
      </c>
      <c r="G42" s="3093">
        <v>2009</v>
      </c>
      <c r="H42" s="1565">
        <v>1</v>
      </c>
      <c r="I42" s="1565">
        <v>-2.64</v>
      </c>
      <c r="J42" s="1565">
        <v>-2.5299999999999998</v>
      </c>
      <c r="K42" s="1565">
        <v>-3.02</v>
      </c>
      <c r="L42" s="1580">
        <v>1.52</v>
      </c>
      <c r="N42" s="1582">
        <f t="shared" si="12"/>
        <v>-2.64E-2</v>
      </c>
      <c r="O42" s="1583">
        <f t="shared" si="12"/>
        <v>-2.53E-2</v>
      </c>
      <c r="P42" s="1583">
        <f t="shared" si="12"/>
        <v>-3.0200000000000001E-2</v>
      </c>
      <c r="Q42" s="1583">
        <f t="shared" si="12"/>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10"/>
        <v>188</v>
      </c>
      <c r="E43" s="1613">
        <v>289</v>
      </c>
      <c r="F43" s="1614">
        <v>166</v>
      </c>
      <c r="G43" s="3091">
        <v>2008</v>
      </c>
      <c r="H43" s="1584">
        <v>4</v>
      </c>
      <c r="I43" s="1584">
        <v>1.73</v>
      </c>
      <c r="J43" s="1584">
        <v>0.03</v>
      </c>
      <c r="K43" s="1584">
        <v>2.59</v>
      </c>
      <c r="L43" s="1585">
        <v>-1.66</v>
      </c>
      <c r="N43" s="1574">
        <f t="shared" si="12"/>
        <v>1.7299999999999999E-2</v>
      </c>
      <c r="O43" s="1575">
        <f t="shared" si="12"/>
        <v>2.9999999999999997E-4</v>
      </c>
      <c r="P43" s="1575">
        <f t="shared" si="12"/>
        <v>2.5899999999999999E-2</v>
      </c>
      <c r="Q43" s="1575">
        <f t="shared" si="12"/>
        <v>-1.66E-2</v>
      </c>
      <c r="R43" s="1576"/>
      <c r="S43" s="1577"/>
      <c r="T43" s="1578"/>
      <c r="U43" s="1578"/>
      <c r="V43" s="1578"/>
      <c r="X43" s="1578"/>
      <c r="Y43" s="1578"/>
      <c r="Z43" s="1578"/>
    </row>
    <row r="44" spans="1:26">
      <c r="A44" s="1562" t="s">
        <v>1072</v>
      </c>
      <c r="B44" s="1579">
        <f t="shared" ref="B44:C46" si="26">B43/(1+N43)</f>
        <v>210.36075887152265</v>
      </c>
      <c r="C44" s="1579">
        <f t="shared" si="26"/>
        <v>187.94361691492554</v>
      </c>
      <c r="D44" s="1579">
        <f t="shared" si="10"/>
        <v>187.94361691492554</v>
      </c>
      <c r="E44" s="1579">
        <f t="shared" ref="E44:F46" si="27">E43/(1+P43)</f>
        <v>281.70386977288234</v>
      </c>
      <c r="F44" s="1579">
        <f t="shared" si="27"/>
        <v>168.80211511083994</v>
      </c>
      <c r="G44" s="3092">
        <v>2008</v>
      </c>
      <c r="H44" s="1589">
        <v>3</v>
      </c>
      <c r="I44" s="1589">
        <v>1.96</v>
      </c>
      <c r="J44" s="1589">
        <v>2.36</v>
      </c>
      <c r="K44" s="1589">
        <v>1.82</v>
      </c>
      <c r="L44" s="1590">
        <v>2.2200000000000002</v>
      </c>
      <c r="N44" s="1574">
        <f t="shared" si="12"/>
        <v>1.9599999999999999E-2</v>
      </c>
      <c r="O44" s="1575">
        <f t="shared" si="12"/>
        <v>2.3599999999999999E-2</v>
      </c>
      <c r="P44" s="1575">
        <f t="shared" si="12"/>
        <v>1.8200000000000001E-2</v>
      </c>
      <c r="Q44" s="1575">
        <f t="shared" si="12"/>
        <v>2.2200000000000001E-2</v>
      </c>
      <c r="R44" s="1576"/>
      <c r="S44" s="1574"/>
      <c r="T44" s="1575"/>
      <c r="U44" s="1575"/>
      <c r="V44" s="1575"/>
    </row>
    <row r="45" spans="1:26">
      <c r="A45" s="1562" t="s">
        <v>1073</v>
      </c>
      <c r="B45" s="1579">
        <f t="shared" si="26"/>
        <v>206.31694671589116</v>
      </c>
      <c r="C45" s="1579">
        <f t="shared" si="26"/>
        <v>183.61041121036101</v>
      </c>
      <c r="D45" s="1579">
        <f t="shared" si="10"/>
        <v>183.61041121036101</v>
      </c>
      <c r="E45" s="1579">
        <f t="shared" si="27"/>
        <v>276.66850301795557</v>
      </c>
      <c r="F45" s="1579">
        <f t="shared" si="27"/>
        <v>165.1360938278614</v>
      </c>
      <c r="G45" s="3092">
        <v>2008</v>
      </c>
      <c r="H45" s="1566">
        <v>2</v>
      </c>
      <c r="I45" s="1566">
        <v>4.93</v>
      </c>
      <c r="J45" s="1566">
        <v>7.38</v>
      </c>
      <c r="K45" s="1566">
        <v>3.98</v>
      </c>
      <c r="L45" s="1581">
        <v>6.86</v>
      </c>
      <c r="N45" s="1574">
        <f t="shared" si="12"/>
        <v>4.9299999999999997E-2</v>
      </c>
      <c r="O45" s="1575">
        <f t="shared" si="12"/>
        <v>7.3800000000000004E-2</v>
      </c>
      <c r="P45" s="1575">
        <f t="shared" si="12"/>
        <v>3.9800000000000002E-2</v>
      </c>
      <c r="Q45" s="1575">
        <f t="shared" si="12"/>
        <v>6.8600000000000008E-2</v>
      </c>
      <c r="R45" s="1576"/>
      <c r="S45" s="1574"/>
      <c r="T45" s="1575"/>
      <c r="U45" s="1575"/>
      <c r="V45" s="1575"/>
    </row>
    <row r="46" spans="1:26" s="1619" customFormat="1" ht="13.5" thickBot="1">
      <c r="A46" s="1562" t="s">
        <v>1074</v>
      </c>
      <c r="B46" s="1616">
        <f t="shared" si="26"/>
        <v>196.62341248059772</v>
      </c>
      <c r="C46" s="1616">
        <f t="shared" si="26"/>
        <v>170.99125648199012</v>
      </c>
      <c r="D46" s="1616">
        <f t="shared" si="10"/>
        <v>170.99125648199012</v>
      </c>
      <c r="E46" s="1616">
        <f t="shared" si="27"/>
        <v>266.07857570490052</v>
      </c>
      <c r="F46" s="1616">
        <f t="shared" si="27"/>
        <v>154.53499328828505</v>
      </c>
      <c r="G46" s="3093">
        <v>2008</v>
      </c>
      <c r="H46" s="1617">
        <v>1</v>
      </c>
      <c r="I46" s="1617">
        <v>4.1399999999999997</v>
      </c>
      <c r="J46" s="1617">
        <v>3.45</v>
      </c>
      <c r="K46" s="1617">
        <v>4.95</v>
      </c>
      <c r="L46" s="1618">
        <v>4.82</v>
      </c>
      <c r="N46" s="1620">
        <f t="shared" si="12"/>
        <v>4.1399999999999999E-2</v>
      </c>
      <c r="O46" s="1621">
        <f t="shared" si="12"/>
        <v>3.4500000000000003E-2</v>
      </c>
      <c r="P46" s="1621">
        <f t="shared" si="12"/>
        <v>4.9500000000000002E-2</v>
      </c>
      <c r="Q46" s="1621">
        <f t="shared" si="12"/>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10"/>
        <v>165</v>
      </c>
      <c r="E47" s="1571">
        <v>254</v>
      </c>
      <c r="F47" s="1572">
        <v>148</v>
      </c>
      <c r="G47" s="3091">
        <v>2007</v>
      </c>
      <c r="H47" s="1624">
        <v>4</v>
      </c>
      <c r="I47" s="1624">
        <v>5.51</v>
      </c>
      <c r="J47" s="1624">
        <v>4.8899999999999997</v>
      </c>
      <c r="K47" s="1624">
        <v>6.43</v>
      </c>
      <c r="L47" s="1625">
        <v>5.36</v>
      </c>
      <c r="N47" s="1626">
        <f t="shared" ref="N47:O50" si="28">B47/B48-1</f>
        <v>4.1339718365245526E-2</v>
      </c>
      <c r="O47" s="1627">
        <f t="shared" si="28"/>
        <v>4.0324492593776018E-2</v>
      </c>
      <c r="P47" s="1627">
        <f t="shared" ref="P47:Q50" si="29">E47/E48-1</f>
        <v>6.1625555347990968E-2</v>
      </c>
      <c r="Q47" s="1627">
        <f t="shared" si="29"/>
        <v>4.6757569250590603E-2</v>
      </c>
      <c r="R47" s="1576"/>
      <c r="S47" s="1577"/>
      <c r="T47" s="1578"/>
      <c r="U47" s="1578"/>
      <c r="V47" s="1578"/>
      <c r="X47" s="1578"/>
      <c r="Y47" s="1578"/>
      <c r="Z47" s="1578"/>
    </row>
    <row r="48" spans="1:26">
      <c r="A48" s="1562" t="s">
        <v>1076</v>
      </c>
      <c r="B48" s="1579">
        <f t="shared" ref="B48:C50" si="30">B49+(B$47-B$51)*I48/SUM(I$47:I$50)</f>
        <v>180.5366651097618</v>
      </c>
      <c r="C48" s="1579">
        <f t="shared" si="30"/>
        <v>158.60435967302453</v>
      </c>
      <c r="D48" s="1579">
        <f t="shared" si="10"/>
        <v>158.60435967302453</v>
      </c>
      <c r="E48" s="1579">
        <f t="shared" ref="E48:F50" si="31">E49+(E$47-E$51)*K48/SUM(K$47:K$50)</f>
        <v>239.25573260785075</v>
      </c>
      <c r="F48" s="1579">
        <f t="shared" si="31"/>
        <v>141.38899430740037</v>
      </c>
      <c r="G48" s="3092">
        <v>2007</v>
      </c>
      <c r="H48" s="1589">
        <v>3</v>
      </c>
      <c r="I48" s="1589">
        <v>8.65</v>
      </c>
      <c r="J48" s="1589">
        <v>8.06</v>
      </c>
      <c r="K48" s="1589">
        <v>9.94</v>
      </c>
      <c r="L48" s="1590">
        <v>5.8</v>
      </c>
      <c r="N48" s="1626">
        <f t="shared" si="28"/>
        <v>6.940217571740015E-2</v>
      </c>
      <c r="O48" s="1627">
        <f t="shared" si="28"/>
        <v>7.1197482471153428E-2</v>
      </c>
      <c r="P48" s="1627">
        <f t="shared" si="29"/>
        <v>0.10529679922579582</v>
      </c>
      <c r="Q48" s="1627">
        <f t="shared" si="29"/>
        <v>5.3292245059512133E-2</v>
      </c>
      <c r="R48" s="1576"/>
      <c r="S48" s="1574"/>
      <c r="T48" s="1575"/>
      <c r="U48" s="1575"/>
      <c r="V48" s="1575"/>
      <c r="X48" s="1628"/>
      <c r="Y48" s="1628"/>
      <c r="Z48" s="1628"/>
    </row>
    <row r="49" spans="1:26">
      <c r="A49" s="1562" t="s">
        <v>1077</v>
      </c>
      <c r="B49" s="1579">
        <f t="shared" si="30"/>
        <v>168.82017748715555</v>
      </c>
      <c r="C49" s="1579">
        <f t="shared" si="30"/>
        <v>148.06267029972753</v>
      </c>
      <c r="D49" s="1579">
        <f t="shared" si="10"/>
        <v>148.06267029972753</v>
      </c>
      <c r="E49" s="1579">
        <f t="shared" si="31"/>
        <v>216.46288379323747</v>
      </c>
      <c r="F49" s="1579">
        <f t="shared" si="31"/>
        <v>134.23529411764704</v>
      </c>
      <c r="G49" s="3092">
        <v>2007</v>
      </c>
      <c r="H49" s="1566">
        <v>2</v>
      </c>
      <c r="I49" s="1566">
        <v>3.67</v>
      </c>
      <c r="J49" s="1566">
        <v>2.3199999999999998</v>
      </c>
      <c r="K49" s="1566">
        <v>5.0199999999999996</v>
      </c>
      <c r="L49" s="1581">
        <v>6.71</v>
      </c>
      <c r="N49" s="1626">
        <f t="shared" si="28"/>
        <v>3.0339138143848032E-2</v>
      </c>
      <c r="O49" s="1627">
        <f t="shared" si="28"/>
        <v>2.0922341588790472E-2</v>
      </c>
      <c r="P49" s="1627">
        <f t="shared" si="29"/>
        <v>5.6164796592717003E-2</v>
      </c>
      <c r="Q49" s="1627">
        <f t="shared" si="29"/>
        <v>6.5704536723887319E-2</v>
      </c>
      <c r="R49" s="1576"/>
      <c r="S49" s="1574"/>
      <c r="T49" s="1575"/>
      <c r="U49" s="1575"/>
      <c r="V49" s="1575"/>
      <c r="X49" s="1628"/>
      <c r="Y49" s="1628"/>
      <c r="Z49" s="1628"/>
    </row>
    <row r="50" spans="1:26">
      <c r="A50" s="1562" t="s">
        <v>1078</v>
      </c>
      <c r="B50" s="1579">
        <f t="shared" si="30"/>
        <v>163.84913591779542</v>
      </c>
      <c r="C50" s="1579">
        <f t="shared" si="30"/>
        <v>145.0283378746594</v>
      </c>
      <c r="D50" s="1579">
        <f t="shared" si="10"/>
        <v>145.0283378746594</v>
      </c>
      <c r="E50" s="1579">
        <f t="shared" si="31"/>
        <v>204.95180722891567</v>
      </c>
      <c r="F50" s="1579">
        <f t="shared" si="31"/>
        <v>125.95920303605313</v>
      </c>
      <c r="G50" s="3093">
        <v>2007</v>
      </c>
      <c r="H50" s="1565">
        <v>1</v>
      </c>
      <c r="I50" s="1565">
        <v>3.58</v>
      </c>
      <c r="J50" s="1565">
        <v>3.08</v>
      </c>
      <c r="K50" s="1565">
        <v>4.34</v>
      </c>
      <c r="L50" s="1580">
        <v>3.21</v>
      </c>
      <c r="N50" s="1629">
        <f t="shared" si="28"/>
        <v>3.0497710174814063E-2</v>
      </c>
      <c r="O50" s="1630">
        <f t="shared" si="28"/>
        <v>2.8569772160704998E-2</v>
      </c>
      <c r="P50" s="1630">
        <f t="shared" si="29"/>
        <v>5.1034908866234296E-2</v>
      </c>
      <c r="Q50" s="1630">
        <f t="shared" si="29"/>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10"/>
        <v>141</v>
      </c>
      <c r="E51" s="1592">
        <v>195</v>
      </c>
      <c r="F51" s="1593">
        <v>122</v>
      </c>
      <c r="G51" s="3091">
        <v>2006</v>
      </c>
      <c r="H51" s="1584">
        <v>4</v>
      </c>
      <c r="I51" s="1584">
        <v>3.79</v>
      </c>
      <c r="J51" s="1584">
        <v>2.21</v>
      </c>
      <c r="K51" s="1584">
        <v>5.65</v>
      </c>
      <c r="L51" s="1585">
        <v>5.41</v>
      </c>
      <c r="N51" s="1626">
        <f t="shared" ref="N51:O54" si="32">I51/SUM(I$51:I$54)*(B$51/B$55-1)</f>
        <v>7.245466462748526E-2</v>
      </c>
      <c r="O51" s="1627">
        <f t="shared" si="32"/>
        <v>2.3237230038062766E-2</v>
      </c>
      <c r="P51" s="1627">
        <f t="shared" ref="P51:Q54" si="33">K51/SUM(K$51:K$54)*(E$51/E$55-1)</f>
        <v>0.16146893866323722</v>
      </c>
      <c r="Q51" s="1627">
        <f t="shared" si="33"/>
        <v>5.0755230321793784E-2</v>
      </c>
      <c r="R51" s="1576"/>
      <c r="S51" s="1577"/>
      <c r="T51" s="1578"/>
      <c r="U51" s="1578"/>
      <c r="V51" s="1578"/>
      <c r="X51" s="1628"/>
      <c r="Y51" s="1628"/>
      <c r="Z51" s="1628"/>
    </row>
    <row r="52" spans="1:26">
      <c r="A52" s="1562" t="s">
        <v>1080</v>
      </c>
      <c r="B52" s="1579">
        <f t="shared" ref="B52:C54" si="34">B53+(B$51-B$55)*I52/SUM(I$51:I$54)</f>
        <v>149.00125628140702</v>
      </c>
      <c r="C52" s="1579">
        <f t="shared" si="34"/>
        <v>137.95592286501378</v>
      </c>
      <c r="D52" s="1579">
        <f t="shared" si="10"/>
        <v>137.95592286501378</v>
      </c>
      <c r="E52" s="1579">
        <f t="shared" ref="E52:F54" si="35">E53+(E$51-E$55)*K52/SUM(K$51:K$54)</f>
        <v>169.97231450719823</v>
      </c>
      <c r="F52" s="1579">
        <f t="shared" si="35"/>
        <v>116.21390374331551</v>
      </c>
      <c r="G52" s="3092">
        <v>2006</v>
      </c>
      <c r="H52" s="1589">
        <v>3</v>
      </c>
      <c r="I52" s="1589">
        <v>0.92</v>
      </c>
      <c r="J52" s="1589">
        <v>1.08</v>
      </c>
      <c r="K52" s="1589">
        <v>0.73</v>
      </c>
      <c r="L52" s="1590">
        <v>1.08</v>
      </c>
      <c r="N52" s="1626">
        <f t="shared" si="32"/>
        <v>1.7587939698492462E-2</v>
      </c>
      <c r="O52" s="1627">
        <f t="shared" si="32"/>
        <v>1.1355750425840628E-2</v>
      </c>
      <c r="P52" s="1627">
        <f t="shared" si="33"/>
        <v>2.0862358446754544E-2</v>
      </c>
      <c r="Q52" s="1627">
        <f t="shared" si="33"/>
        <v>1.0132282578103011E-2</v>
      </c>
      <c r="R52" s="1576"/>
      <c r="S52" s="1574"/>
      <c r="T52" s="1575"/>
      <c r="U52" s="1575"/>
      <c r="V52" s="1575"/>
      <c r="X52" s="1628"/>
      <c r="Y52" s="1628"/>
      <c r="Z52" s="1628"/>
    </row>
    <row r="53" spans="1:26">
      <c r="A53" s="1562" t="s">
        <v>1081</v>
      </c>
      <c r="B53" s="1579">
        <f t="shared" si="34"/>
        <v>146.57412060301507</v>
      </c>
      <c r="C53" s="1579">
        <f t="shared" si="34"/>
        <v>136.46831955922866</v>
      </c>
      <c r="D53" s="1579">
        <f t="shared" si="10"/>
        <v>136.46831955922866</v>
      </c>
      <c r="E53" s="1579">
        <f t="shared" si="35"/>
        <v>166.73864894795128</v>
      </c>
      <c r="F53" s="1579">
        <f t="shared" si="35"/>
        <v>115.05882352941177</v>
      </c>
      <c r="G53" s="3092">
        <v>2006</v>
      </c>
      <c r="H53" s="1566">
        <v>2</v>
      </c>
      <c r="I53" s="1566">
        <v>0.96</v>
      </c>
      <c r="J53" s="1566">
        <v>0.25</v>
      </c>
      <c r="K53" s="1566">
        <v>1.9</v>
      </c>
      <c r="L53" s="1581">
        <v>0.95</v>
      </c>
      <c r="N53" s="1626">
        <f t="shared" si="32"/>
        <v>1.8352632728861701E-2</v>
      </c>
      <c r="O53" s="1627">
        <f t="shared" si="32"/>
        <v>2.6286459319075526E-3</v>
      </c>
      <c r="P53" s="1627">
        <f t="shared" si="33"/>
        <v>5.4299289107991269E-2</v>
      </c>
      <c r="Q53" s="1627">
        <f t="shared" si="33"/>
        <v>8.9126559714794995E-3</v>
      </c>
      <c r="R53" s="1576"/>
      <c r="S53" s="1574"/>
      <c r="T53" s="1575"/>
      <c r="U53" s="1575"/>
      <c r="V53" s="1575"/>
      <c r="X53" s="1628"/>
      <c r="Y53" s="1628"/>
      <c r="Z53" s="1628"/>
    </row>
    <row r="54" spans="1:26">
      <c r="A54" s="1562" t="s">
        <v>1082</v>
      </c>
      <c r="B54" s="1579">
        <f t="shared" si="34"/>
        <v>144.04145728643215</v>
      </c>
      <c r="C54" s="1579">
        <f t="shared" si="34"/>
        <v>136.12396694214877</v>
      </c>
      <c r="D54" s="1579">
        <f t="shared" si="10"/>
        <v>136.12396694214877</v>
      </c>
      <c r="E54" s="1579">
        <f t="shared" si="35"/>
        <v>158.32225913621264</v>
      </c>
      <c r="F54" s="1579">
        <f t="shared" si="35"/>
        <v>114.04278074866311</v>
      </c>
      <c r="G54" s="3093">
        <v>2006</v>
      </c>
      <c r="H54" s="1565">
        <v>1</v>
      </c>
      <c r="I54" s="1565">
        <v>2.29</v>
      </c>
      <c r="J54" s="1565">
        <v>3.72</v>
      </c>
      <c r="K54" s="1565">
        <v>0.75</v>
      </c>
      <c r="L54" s="1580">
        <v>0.04</v>
      </c>
      <c r="N54" s="1629">
        <f t="shared" si="32"/>
        <v>4.3778675988638847E-2</v>
      </c>
      <c r="O54" s="1630">
        <f t="shared" si="32"/>
        <v>3.9114251466784385E-2</v>
      </c>
      <c r="P54" s="1630">
        <f t="shared" si="33"/>
        <v>2.1433929911049188E-2</v>
      </c>
      <c r="Q54" s="1630">
        <f t="shared" si="33"/>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10"/>
        <v>131</v>
      </c>
      <c r="E55" s="1592">
        <v>155</v>
      </c>
      <c r="F55" s="1593">
        <v>114</v>
      </c>
      <c r="G55" s="3091">
        <v>2005</v>
      </c>
      <c r="H55" s="1584">
        <v>4</v>
      </c>
      <c r="I55" s="1584">
        <v>3.29</v>
      </c>
      <c r="J55" s="1584">
        <v>1.44</v>
      </c>
      <c r="K55" s="1584">
        <v>0.66</v>
      </c>
      <c r="L55" s="1585">
        <v>7.78</v>
      </c>
      <c r="N55" s="1626">
        <f t="shared" ref="N55:O58" si="36">I55/SUM(I$55:I$58)*(B$55/B$59-1)</f>
        <v>9.9404603216919935E-2</v>
      </c>
      <c r="O55" s="1627">
        <f t="shared" si="36"/>
        <v>4.7636550760861554E-2</v>
      </c>
      <c r="P55" s="1627">
        <f t="shared" ref="P55:Q58" si="37">K55/SUM(K$55:K$58)*(E$55/E$59-1)</f>
        <v>8.3756345177664976E-2</v>
      </c>
      <c r="Q55" s="1627">
        <f t="shared" si="37"/>
        <v>5.2148766661559584E-2</v>
      </c>
      <c r="R55" s="1576"/>
      <c r="S55" s="1577"/>
      <c r="T55" s="1578"/>
      <c r="U55" s="1578"/>
      <c r="V55" s="1578"/>
      <c r="X55" s="1628"/>
      <c r="Y55" s="1628"/>
      <c r="Z55" s="1628"/>
    </row>
    <row r="56" spans="1:26">
      <c r="A56" s="1562" t="s">
        <v>1084</v>
      </c>
      <c r="B56" s="1579">
        <f t="shared" ref="B56:C58" si="38">B57+(B$55-B$59)*I56/SUM(I$55:I$58)</f>
        <v>125.9720430107527</v>
      </c>
      <c r="C56" s="1579">
        <f t="shared" si="38"/>
        <v>125.1883408071749</v>
      </c>
      <c r="D56" s="1579">
        <f t="shared" si="10"/>
        <v>125.1883408071749</v>
      </c>
      <c r="E56" s="1579">
        <f t="shared" ref="E56:F58" si="39">E57+(E$55-E$59)*K56/SUM(K$55:K$58)</f>
        <v>144.61421319796952</v>
      </c>
      <c r="F56" s="1579">
        <f t="shared" si="39"/>
        <v>108.42008196721311</v>
      </c>
      <c r="G56" s="3092">
        <v>2005</v>
      </c>
      <c r="H56" s="1589">
        <v>3</v>
      </c>
      <c r="I56" s="1589">
        <v>0.46</v>
      </c>
      <c r="J56" s="1589">
        <v>0.32</v>
      </c>
      <c r="K56" s="1589">
        <v>0.42</v>
      </c>
      <c r="L56" s="1590">
        <v>0.64</v>
      </c>
      <c r="N56" s="1626">
        <f t="shared" si="36"/>
        <v>1.3898515951301874E-2</v>
      </c>
      <c r="O56" s="1627">
        <f t="shared" si="36"/>
        <v>1.0585900169080346E-2</v>
      </c>
      <c r="P56" s="1627">
        <f t="shared" si="37"/>
        <v>5.3299492385786795E-2</v>
      </c>
      <c r="Q56" s="1627">
        <f t="shared" si="37"/>
        <v>4.2898728359123568E-3</v>
      </c>
      <c r="R56" s="1576"/>
      <c r="S56" s="1574"/>
      <c r="T56" s="1575"/>
      <c r="U56" s="1575"/>
      <c r="V56" s="1575"/>
      <c r="X56" s="1628"/>
      <c r="Y56" s="1628"/>
      <c r="Z56" s="1628"/>
    </row>
    <row r="57" spans="1:26">
      <c r="A57" s="1562" t="s">
        <v>1085</v>
      </c>
      <c r="B57" s="1579">
        <f t="shared" si="38"/>
        <v>124.29032258064517</v>
      </c>
      <c r="C57" s="1579">
        <f t="shared" si="38"/>
        <v>123.8968609865471</v>
      </c>
      <c r="D57" s="1579">
        <f t="shared" si="10"/>
        <v>123.8968609865471</v>
      </c>
      <c r="E57" s="1579">
        <f t="shared" si="39"/>
        <v>138.00507614213197</v>
      </c>
      <c r="F57" s="1579">
        <f t="shared" si="39"/>
        <v>107.96106557377048</v>
      </c>
      <c r="G57" s="3092">
        <v>2005</v>
      </c>
      <c r="H57" s="1566">
        <v>2</v>
      </c>
      <c r="I57" s="1566">
        <v>0.47</v>
      </c>
      <c r="J57" s="1566">
        <v>0.1</v>
      </c>
      <c r="K57" s="1566">
        <v>0.52</v>
      </c>
      <c r="L57" s="1581">
        <v>0.79</v>
      </c>
      <c r="N57" s="1626">
        <f t="shared" si="36"/>
        <v>1.420065760241713E-2</v>
      </c>
      <c r="O57" s="1627">
        <f t="shared" si="36"/>
        <v>3.3080938028376083E-3</v>
      </c>
      <c r="P57" s="1627">
        <f t="shared" si="37"/>
        <v>6.598984771573603E-2</v>
      </c>
      <c r="Q57" s="1627">
        <f t="shared" si="37"/>
        <v>5.2953117818293153E-3</v>
      </c>
      <c r="R57" s="1576"/>
      <c r="S57" s="1574"/>
      <c r="T57" s="1575"/>
      <c r="U57" s="1575"/>
      <c r="V57" s="1575"/>
      <c r="X57" s="1628"/>
      <c r="Y57" s="1628"/>
      <c r="Z57" s="1628"/>
    </row>
    <row r="58" spans="1:26">
      <c r="A58" s="1562" t="s">
        <v>1086</v>
      </c>
      <c r="B58" s="1579">
        <f t="shared" si="38"/>
        <v>122.57204301075269</v>
      </c>
      <c r="C58" s="1579">
        <f t="shared" si="38"/>
        <v>123.4932735426009</v>
      </c>
      <c r="D58" s="1579">
        <f t="shared" si="10"/>
        <v>123.4932735426009</v>
      </c>
      <c r="E58" s="1579">
        <f t="shared" si="39"/>
        <v>129.82233502538071</v>
      </c>
      <c r="F58" s="1579">
        <f t="shared" si="39"/>
        <v>107.39446721311475</v>
      </c>
      <c r="G58" s="3093">
        <v>2005</v>
      </c>
      <c r="H58" s="1565">
        <v>1</v>
      </c>
      <c r="I58" s="1565">
        <v>0.43</v>
      </c>
      <c r="J58" s="1565">
        <v>0.37</v>
      </c>
      <c r="K58" s="1565">
        <v>0.37</v>
      </c>
      <c r="L58" s="1580">
        <v>0.55000000000000004</v>
      </c>
      <c r="N58" s="1629">
        <f t="shared" si="36"/>
        <v>1.2992090997956099E-2</v>
      </c>
      <c r="O58" s="1630">
        <f t="shared" si="36"/>
        <v>1.2239947070499151E-2</v>
      </c>
      <c r="P58" s="1630">
        <f t="shared" si="37"/>
        <v>4.6954314720812178E-2</v>
      </c>
      <c r="Q58" s="1630">
        <f t="shared" si="37"/>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10"/>
        <v>122</v>
      </c>
      <c r="E59" s="1613">
        <v>124</v>
      </c>
      <c r="F59" s="1614">
        <v>107</v>
      </c>
      <c r="G59" s="3091">
        <v>2004</v>
      </c>
      <c r="H59" s="1584">
        <v>4</v>
      </c>
      <c r="I59" s="1584">
        <v>0.33</v>
      </c>
      <c r="J59" s="1584">
        <v>0.5</v>
      </c>
      <c r="K59" s="1584">
        <v>0.5</v>
      </c>
      <c r="L59" s="1585">
        <v>0</v>
      </c>
      <c r="N59" s="1626">
        <f t="shared" ref="N59:O62" si="40">I59/SUM(I$59:I$62)*(B$59/B$63-1)</f>
        <v>1.3391770148526898E-2</v>
      </c>
      <c r="O59" s="1627">
        <f t="shared" si="40"/>
        <v>1.063264221158958E-2</v>
      </c>
      <c r="P59" s="1627">
        <f t="shared" ref="P59:Q62" si="41">K59/SUM(K$59:K$62)*(E$59/E$63-1)</f>
        <v>2.2244466688911134E-2</v>
      </c>
      <c r="Q59" s="1627">
        <f t="shared" si="41"/>
        <v>0</v>
      </c>
      <c r="R59" s="1576"/>
      <c r="S59" s="1577"/>
      <c r="T59" s="1578"/>
      <c r="U59" s="1578"/>
      <c r="V59" s="1578"/>
      <c r="X59" s="1628"/>
      <c r="Y59" s="1628"/>
      <c r="Z59" s="1628"/>
    </row>
    <row r="60" spans="1:26">
      <c r="A60" s="1562" t="s">
        <v>1088</v>
      </c>
      <c r="B60" s="1579">
        <f t="shared" ref="B60:C62" si="42">B61+(B$59-B$63)*I60/SUM(I$59:I$62)</f>
        <v>119.51351351351352</v>
      </c>
      <c r="C60" s="1579">
        <f t="shared" si="42"/>
        <v>120.7878787878788</v>
      </c>
      <c r="D60" s="1579">
        <f t="shared" si="10"/>
        <v>120.7878787878788</v>
      </c>
      <c r="E60" s="1579">
        <f t="shared" ref="E60:F62" si="43">E61+(E$59-E$63)*K60/SUM(K$59:K$62)</f>
        <v>121.5975975975976</v>
      </c>
      <c r="F60" s="1579">
        <f t="shared" si="43"/>
        <v>107</v>
      </c>
      <c r="G60" s="3092">
        <v>2004</v>
      </c>
      <c r="H60" s="1589">
        <v>3</v>
      </c>
      <c r="I60" s="1589">
        <v>0.56000000000000005</v>
      </c>
      <c r="J60" s="1589">
        <v>0.8</v>
      </c>
      <c r="K60" s="1589">
        <v>0.83</v>
      </c>
      <c r="L60" s="1590">
        <v>0.06</v>
      </c>
      <c r="N60" s="1626">
        <f t="shared" si="40"/>
        <v>2.2725428130833527E-2</v>
      </c>
      <c r="O60" s="1627">
        <f t="shared" si="40"/>
        <v>1.7012227538543329E-2</v>
      </c>
      <c r="P60" s="1627">
        <f t="shared" si="41"/>
        <v>3.6925814703592477E-2</v>
      </c>
      <c r="Q60" s="1627">
        <f t="shared" si="41"/>
        <v>2.8846153846153744E-2</v>
      </c>
      <c r="R60" s="1576"/>
      <c r="S60" s="1574"/>
      <c r="T60" s="1575"/>
      <c r="U60" s="1575"/>
      <c r="V60" s="1575"/>
      <c r="X60" s="1628"/>
      <c r="Y60" s="1628"/>
      <c r="Z60" s="1628"/>
    </row>
    <row r="61" spans="1:26">
      <c r="A61" s="1562" t="s">
        <v>1089</v>
      </c>
      <c r="B61" s="1579">
        <f t="shared" si="42"/>
        <v>116.99099099099099</v>
      </c>
      <c r="C61" s="1579">
        <f t="shared" si="42"/>
        <v>118.84848484848486</v>
      </c>
      <c r="D61" s="1579">
        <f t="shared" si="10"/>
        <v>118.84848484848486</v>
      </c>
      <c r="E61" s="1579">
        <f t="shared" si="43"/>
        <v>117.60960960960961</v>
      </c>
      <c r="F61" s="1579">
        <f t="shared" si="43"/>
        <v>104</v>
      </c>
      <c r="G61" s="3092">
        <v>2004</v>
      </c>
      <c r="H61" s="1566">
        <v>2</v>
      </c>
      <c r="I61" s="1566">
        <v>1</v>
      </c>
      <c r="J61" s="1566">
        <v>1.5</v>
      </c>
      <c r="K61" s="1566">
        <v>1.5</v>
      </c>
      <c r="L61" s="1581">
        <v>0</v>
      </c>
      <c r="N61" s="1626">
        <f t="shared" si="40"/>
        <v>4.0581121662202721E-2</v>
      </c>
      <c r="O61" s="1627">
        <f t="shared" si="40"/>
        <v>3.1897926634768738E-2</v>
      </c>
      <c r="P61" s="1627">
        <f t="shared" si="41"/>
        <v>6.6733400066733395E-2</v>
      </c>
      <c r="Q61" s="1627">
        <f t="shared" si="41"/>
        <v>0</v>
      </c>
      <c r="R61" s="1576"/>
      <c r="S61" s="1574"/>
      <c r="T61" s="1575"/>
      <c r="U61" s="1575"/>
      <c r="V61" s="1575"/>
      <c r="X61" s="1628"/>
      <c r="Y61" s="1628"/>
      <c r="Z61" s="1628"/>
    </row>
    <row r="62" spans="1:26" s="1619" customFormat="1" ht="13.5" thickBot="1">
      <c r="A62" s="1562" t="s">
        <v>1090</v>
      </c>
      <c r="B62" s="1616">
        <f t="shared" si="42"/>
        <v>112.48648648648648</v>
      </c>
      <c r="C62" s="1616">
        <f t="shared" si="42"/>
        <v>115.21212121212122</v>
      </c>
      <c r="D62" s="1616">
        <f t="shared" si="10"/>
        <v>115.21212121212122</v>
      </c>
      <c r="E62" s="1616">
        <f t="shared" si="43"/>
        <v>110.4024024024024</v>
      </c>
      <c r="F62" s="1616">
        <f t="shared" si="43"/>
        <v>104</v>
      </c>
      <c r="G62" s="3093">
        <v>2004</v>
      </c>
      <c r="H62" s="1617">
        <v>1</v>
      </c>
      <c r="I62" s="1617">
        <v>0.33</v>
      </c>
      <c r="J62" s="1617">
        <v>0.5</v>
      </c>
      <c r="K62" s="1617">
        <v>0.5</v>
      </c>
      <c r="L62" s="1618">
        <v>0</v>
      </c>
      <c r="N62" s="1631">
        <f t="shared" si="40"/>
        <v>1.3391770148526898E-2</v>
      </c>
      <c r="O62" s="1632">
        <f t="shared" si="40"/>
        <v>1.063264221158958E-2</v>
      </c>
      <c r="P62" s="1632">
        <f t="shared" si="41"/>
        <v>2.2244466688911134E-2</v>
      </c>
      <c r="Q62" s="1632">
        <f t="shared" si="41"/>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10"/>
        <v>114</v>
      </c>
      <c r="E63" s="1634">
        <v>108</v>
      </c>
      <c r="F63" s="1635">
        <v>104</v>
      </c>
      <c r="G63" s="3091">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44">B65+(B$63-B$67)/4</f>
        <v>109.75</v>
      </c>
      <c r="C64" s="1638">
        <f t="shared" si="44"/>
        <v>112.25</v>
      </c>
      <c r="D64" s="1638">
        <f t="shared" si="10"/>
        <v>112.25</v>
      </c>
      <c r="E64" s="1638">
        <f t="shared" ref="E64:F66" si="45">E65+(E$63-E$67)/4</f>
        <v>107.25</v>
      </c>
      <c r="F64" s="1638">
        <f t="shared" si="45"/>
        <v>103.5</v>
      </c>
      <c r="G64" s="3092">
        <v>2003</v>
      </c>
      <c r="H64" s="1589">
        <v>3</v>
      </c>
      <c r="I64" s="1636"/>
      <c r="J64" s="1636"/>
      <c r="K64" s="1636"/>
      <c r="L64" s="1636"/>
      <c r="X64" s="1628"/>
      <c r="Y64" s="1628"/>
      <c r="Z64" s="1628"/>
    </row>
    <row r="65" spans="1:26">
      <c r="A65" s="1562" t="s">
        <v>1093</v>
      </c>
      <c r="B65" s="1638">
        <f t="shared" si="44"/>
        <v>108.5</v>
      </c>
      <c r="C65" s="1638">
        <f t="shared" si="44"/>
        <v>110.5</v>
      </c>
      <c r="D65" s="1638">
        <f t="shared" si="10"/>
        <v>110.5</v>
      </c>
      <c r="E65" s="1638">
        <f t="shared" si="45"/>
        <v>106.5</v>
      </c>
      <c r="F65" s="1638">
        <f t="shared" si="45"/>
        <v>103</v>
      </c>
      <c r="G65" s="3092">
        <v>2003</v>
      </c>
      <c r="H65" s="1566">
        <v>2</v>
      </c>
      <c r="I65" s="1636"/>
      <c r="J65" s="1636"/>
      <c r="K65" s="1636"/>
      <c r="L65" s="1636"/>
      <c r="X65" s="1628"/>
      <c r="Y65" s="1628"/>
      <c r="Z65" s="1628"/>
    </row>
    <row r="66" spans="1:26" ht="13.5" thickBot="1">
      <c r="A66" s="1562" t="s">
        <v>1094</v>
      </c>
      <c r="B66" s="1638">
        <f t="shared" si="44"/>
        <v>107.25</v>
      </c>
      <c r="C66" s="1638">
        <f t="shared" si="44"/>
        <v>108.75</v>
      </c>
      <c r="D66" s="1638">
        <f t="shared" si="10"/>
        <v>108.75</v>
      </c>
      <c r="E66" s="1638">
        <f t="shared" si="45"/>
        <v>105.75</v>
      </c>
      <c r="F66" s="1638">
        <f t="shared" si="45"/>
        <v>102.5</v>
      </c>
      <c r="G66" s="3093">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10"/>
        <v>107</v>
      </c>
      <c r="E67" s="1640">
        <v>105</v>
      </c>
      <c r="F67" s="1641">
        <v>102</v>
      </c>
      <c r="G67" s="3091">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46">B69+(B$67-B$71)/4</f>
        <v>105</v>
      </c>
      <c r="C68" s="1638">
        <f t="shared" si="46"/>
        <v>106</v>
      </c>
      <c r="D68" s="1638">
        <f t="shared" si="10"/>
        <v>106</v>
      </c>
      <c r="E68" s="1638">
        <f t="shared" ref="E68:F70" si="47">E69+(E$67-E$71)/4</f>
        <v>104.5</v>
      </c>
      <c r="F68" s="1638">
        <f t="shared" si="47"/>
        <v>101.5</v>
      </c>
      <c r="G68" s="3092">
        <v>2002</v>
      </c>
      <c r="H68" s="1589">
        <v>3</v>
      </c>
      <c r="I68" s="1636"/>
      <c r="J68" s="1636"/>
      <c r="K68" s="1636"/>
      <c r="L68" s="1636"/>
      <c r="X68" s="1628"/>
      <c r="Y68" s="1628"/>
      <c r="Z68" s="1628"/>
    </row>
    <row r="69" spans="1:26">
      <c r="A69" s="1562" t="s">
        <v>1097</v>
      </c>
      <c r="B69" s="1638">
        <f t="shared" si="46"/>
        <v>104</v>
      </c>
      <c r="C69" s="1638">
        <f t="shared" si="46"/>
        <v>105</v>
      </c>
      <c r="D69" s="1638">
        <f t="shared" si="10"/>
        <v>105</v>
      </c>
      <c r="E69" s="1638">
        <f t="shared" si="47"/>
        <v>104</v>
      </c>
      <c r="F69" s="1638">
        <f t="shared" si="47"/>
        <v>101</v>
      </c>
      <c r="G69" s="3092">
        <v>2002</v>
      </c>
      <c r="H69" s="1566">
        <v>2</v>
      </c>
      <c r="I69" s="1636"/>
      <c r="J69" s="1636"/>
      <c r="K69" s="1636"/>
      <c r="L69" s="1636"/>
      <c r="X69" s="1628"/>
      <c r="Y69" s="1628"/>
      <c r="Z69" s="1628"/>
    </row>
    <row r="70" spans="1:26" s="1600" customFormat="1" ht="13.5" thickBot="1">
      <c r="A70" s="1596" t="s">
        <v>1098</v>
      </c>
      <c r="B70" s="1642">
        <f t="shared" si="46"/>
        <v>103</v>
      </c>
      <c r="C70" s="1642">
        <f t="shared" si="46"/>
        <v>104</v>
      </c>
      <c r="D70" s="1642">
        <f t="shared" si="10"/>
        <v>104</v>
      </c>
      <c r="E70" s="1642">
        <f t="shared" si="47"/>
        <v>103.5</v>
      </c>
      <c r="F70" s="1642">
        <f t="shared" si="47"/>
        <v>100.5</v>
      </c>
      <c r="G70" s="3093">
        <v>2002</v>
      </c>
      <c r="H70" s="1643">
        <v>1</v>
      </c>
      <c r="I70" s="1644"/>
      <c r="J70" s="1644"/>
      <c r="K70" s="1644"/>
      <c r="L70" s="1644"/>
      <c r="N70" s="1645"/>
      <c r="S70" s="1645"/>
      <c r="X70" s="1646"/>
      <c r="Y70" s="1646"/>
      <c r="Z70" s="1646"/>
    </row>
    <row r="71" spans="1:26" ht="13.5" thickBot="1">
      <c r="B71" s="1647">
        <v>102</v>
      </c>
      <c r="C71" s="1648">
        <v>103</v>
      </c>
      <c r="D71" s="1648">
        <f t="shared" si="10"/>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43256</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0:O31"/>
  <sheetViews>
    <sheetView topLeftCell="A20" workbookViewId="0">
      <selection activeCell="L30" sqref="L30"/>
    </sheetView>
  </sheetViews>
  <sheetFormatPr defaultRowHeight="13.5"/>
  <sheetData>
    <row r="10" spans="12:15">
      <c r="L10">
        <v>13</v>
      </c>
      <c r="M10" s="1908" t="s">
        <v>2835</v>
      </c>
    </row>
    <row r="13" spans="12:15">
      <c r="O13" s="1908" t="s">
        <v>2836</v>
      </c>
    </row>
    <row r="31" spans="12:13">
      <c r="L31">
        <v>9</v>
      </c>
      <c r="M31" s="1908" t="s">
        <v>2835</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7"/>
      <c r="C2" s="2747"/>
      <c r="D2" s="2747"/>
      <c r="E2" s="2747"/>
    </row>
    <row r="3" spans="1:5" ht="13.5" customHeight="1">
      <c r="A3" s="1929"/>
      <c r="B3" s="1929"/>
      <c r="C3" s="1929"/>
      <c r="D3" s="1929"/>
      <c r="E3" s="1929"/>
    </row>
    <row r="4" spans="1:5" ht="19.5" thickBot="1">
      <c r="A4" s="2748" t="str">
        <f>IF(项目基本情况!D5="房地产市场价值","估价结果一览表（市场价值不需本页表格)","估价结果一览表")</f>
        <v>估价结果一览表</v>
      </c>
      <c r="B4" s="2748"/>
      <c r="C4" s="2748"/>
      <c r="D4" s="2748"/>
      <c r="E4" s="2748"/>
    </row>
    <row r="5" spans="1:5" ht="14.25" customHeight="1" thickTop="1">
      <c r="A5" s="1926"/>
      <c r="B5" s="1930" t="s">
        <v>742</v>
      </c>
      <c r="C5" s="2749" t="s">
        <v>783</v>
      </c>
      <c r="D5" s="2750"/>
      <c r="E5" s="1926"/>
    </row>
    <row r="6" spans="1:5" ht="28.5">
      <c r="A6" s="1926"/>
      <c r="B6" s="1931" t="str">
        <f>项目基本情况!I1</f>
        <v>北京市海淀区德胜门西大街15号1号楼房地产</v>
      </c>
      <c r="C6" s="2751">
        <f>项目基本情况!C12</f>
        <v>178.24</v>
      </c>
      <c r="D6" s="2751"/>
      <c r="E6" s="1926"/>
    </row>
    <row r="7" spans="1:5" ht="14.25">
      <c r="A7" s="1926"/>
      <c r="B7" s="2745" t="s">
        <v>784</v>
      </c>
      <c r="C7" s="1932" t="str">
        <f>IF('数据-取费表'!B3="万元","总价（万元）","总价（元）")</f>
        <v>总价（万元）</v>
      </c>
      <c r="D7" s="1933">
        <f ca="1">IF('数据-取费表'!E3="否",结果表!I102,'结果表 (1修多)'!I103)</f>
        <v>1696</v>
      </c>
      <c r="E7" s="1926"/>
    </row>
    <row r="8" spans="1:5" ht="14.25">
      <c r="A8" s="1926"/>
      <c r="B8" s="2745"/>
      <c r="C8" s="1934" t="s">
        <v>1175</v>
      </c>
      <c r="D8" s="1935" t="str">
        <f ca="1">IF('数据-取费表'!B3="万元",NUMBERSTRING(INT(D7*10000),2)&amp;"元整",NUMBERSTRING(INT(D7),2)&amp;"元整")</f>
        <v>壹仟陆佰玖拾陆万元整</v>
      </c>
      <c r="E8" s="1926"/>
    </row>
    <row r="9" spans="1:5" ht="14.25">
      <c r="A9" s="1926"/>
      <c r="B9" s="2745"/>
      <c r="C9" s="1936" t="s">
        <v>1273</v>
      </c>
      <c r="D9" s="1933">
        <f ca="1">IF('数据-取费表'!E3="否",结果表!I103,'结果表 (1修多)'!I104)</f>
        <v>95154</v>
      </c>
      <c r="E9" s="1926"/>
    </row>
    <row r="10" spans="1:5" ht="14.25">
      <c r="A10" s="1926"/>
      <c r="B10" s="2752"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2"/>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2" t="str">
        <f>IF('数据-取费表'!E3="否",结果表!F110,'结果表 (1修多)'!F111)</f>
        <v>3.房地产抵押价值</v>
      </c>
      <c r="C15" s="1927" t="str">
        <f>C7</f>
        <v>总价（万元）</v>
      </c>
      <c r="D15" s="1933">
        <f ca="1">IF('数据-取费表'!E3="否",结果表!I110,'结果表 (1修多)'!I111)</f>
        <v>1696</v>
      </c>
      <c r="E15" s="1926"/>
    </row>
    <row r="16" spans="1:5" ht="14.25">
      <c r="A16" s="1926"/>
      <c r="B16" s="2752"/>
      <c r="C16" s="1934" t="s">
        <v>1175</v>
      </c>
      <c r="D16" s="1933" t="str">
        <f ca="1">IF('数据-取费表'!B3="万元",NUMBERSTRING(INT(D15*10000),2)&amp;"元整",NUMBERSTRING(INT(D15),2)&amp;"元整")</f>
        <v>壹仟陆佰玖拾陆万元整</v>
      </c>
      <c r="E16" s="1926"/>
    </row>
    <row r="17" spans="1:5" ht="14.25">
      <c r="A17" s="1926"/>
      <c r="B17" s="2752"/>
      <c r="C17" s="1936" t="s">
        <v>1273</v>
      </c>
      <c r="D17" s="1933">
        <f ca="1">IF('数据-取费表'!E3="否",结果表!I111,'结果表 (1修多)'!I112)</f>
        <v>95154</v>
      </c>
      <c r="E17" s="1926"/>
    </row>
    <row r="18" spans="1:5" ht="14.25">
      <c r="A18" s="1926"/>
      <c r="B18" s="2752" t="str">
        <f>IF('数据-取费表'!E3="否",结果表!F112,'结果表 (1修多)'!F113)</f>
        <v>——</v>
      </c>
      <c r="C18" s="1927" t="str">
        <f>C7</f>
        <v>总价（万元）</v>
      </c>
      <c r="D18" s="1933" t="str">
        <f>IF('数据-取费表'!E3="否",结果表!I112,'结果表 (1修多)'!I113)</f>
        <v>——</v>
      </c>
      <c r="E18" s="1926"/>
    </row>
    <row r="19" spans="1:5" ht="14.25">
      <c r="A19" s="1926"/>
      <c r="B19" s="2752"/>
      <c r="C19" s="1934" t="s">
        <v>1175</v>
      </c>
      <c r="D19" s="1933" t="e">
        <f>IF('数据-取费表'!B3="万元",NUMBERSTRING(INT(D18*10000),2)&amp;"元整",NUMBERSTRING(INT(D18),2)&amp;"元整")</f>
        <v>#VALUE!</v>
      </c>
      <c r="E19" s="1926"/>
    </row>
    <row r="20" spans="1:5" ht="14.25">
      <c r="A20" s="1926"/>
      <c r="B20" s="2752"/>
      <c r="C20" s="1936" t="s">
        <v>1273</v>
      </c>
      <c r="D20" s="1933" t="str">
        <f>IF('数据-取费表'!E3="否",结果表!I113,'结果表 (1修多)'!I114)</f>
        <v>——</v>
      </c>
      <c r="E20" s="1926"/>
    </row>
    <row r="21" spans="1:5" ht="14.25">
      <c r="A21" s="1926"/>
      <c r="B21" s="2745" t="str">
        <f>IF('数据-取费表'!E3="否",结果表!F114,'结果表 (1修多)'!F115)</f>
        <v>——</v>
      </c>
      <c r="C21" s="1932" t="str">
        <f>C7</f>
        <v>总价（万元）</v>
      </c>
      <c r="D21" s="1933" t="str">
        <f>IF('数据-取费表'!E3="否",结果表!I114,'结果表 (1修多)'!I115)</f>
        <v>——</v>
      </c>
      <c r="E21" s="1926"/>
    </row>
    <row r="22" spans="1:5" ht="14.25">
      <c r="A22" s="1926"/>
      <c r="B22" s="2745"/>
      <c r="C22" s="1934" t="s">
        <v>1175</v>
      </c>
      <c r="D22" s="1935" t="e">
        <f>IF('数据-取费表'!B3="万元",NUMBERSTRING(INT(D21*10000),2)&amp;"元整",NUMBERSTRING(INT(D21),2)&amp;"元整")</f>
        <v>#VALUE!</v>
      </c>
      <c r="E22" s="1926"/>
    </row>
    <row r="23" spans="1:5" ht="15" thickBot="1">
      <c r="A23" s="1926"/>
      <c r="B23" s="2746"/>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1274</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1696</v>
      </c>
      <c r="E28" s="1926"/>
    </row>
    <row r="29" spans="1:5" ht="14.25">
      <c r="A29" s="1926"/>
      <c r="B29" s="2754"/>
      <c r="C29" s="1945" t="s">
        <v>1175</v>
      </c>
      <c r="D29" s="1946" t="str">
        <f ca="1">IF('数据-取费表'!B3="万元",NUMBERSTRING(INT(D28*10000),2)&amp;"元整",NUMBERSTRING(INT(D28),2)&amp;"元整")</f>
        <v>壹仟陆佰玖拾陆万元整</v>
      </c>
      <c r="E29" s="1926"/>
    </row>
    <row r="30" spans="1:5" ht="14.25">
      <c r="A30" s="1926"/>
      <c r="B30" s="2755"/>
      <c r="C30" s="1936" t="s">
        <v>1178</v>
      </c>
      <c r="D30" s="1947">
        <f ca="1">IF('数据-取费表'!E3="否",结果表!I103,'结果表 (1修多)'!I104)</f>
        <v>95154</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1696</v>
      </c>
      <c r="E36" s="1926"/>
    </row>
    <row r="37" spans="1:5" ht="14.25">
      <c r="A37" s="1926"/>
      <c r="B37" s="2756"/>
      <c r="C37" s="1945" t="s">
        <v>1175</v>
      </c>
      <c r="D37" s="1950" t="str">
        <f ca="1">IF('数据-取费表'!B3="万元",NUMBERSTRING(INT(D36*10000),2)&amp;"元整",NUMBERSTRING(INT(D36),2)&amp;"元整")</f>
        <v>壹仟陆佰玖拾陆万元整</v>
      </c>
      <c r="E37" s="1926"/>
    </row>
    <row r="38" spans="1:5" ht="14.25">
      <c r="A38" s="1926"/>
      <c r="B38" s="2756"/>
      <c r="C38" s="1936" t="s">
        <v>1179</v>
      </c>
      <c r="D38" s="1947">
        <f ca="1">IF('数据-取费表'!E3="否",结果表!D113,'结果表 (1修多)'!D116)</f>
        <v>95154</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1275</v>
      </c>
      <c r="B2" s="2775" t="s">
        <v>1276</v>
      </c>
      <c r="C2" s="2775" t="s">
        <v>1277</v>
      </c>
      <c r="D2" s="2775" t="str">
        <f>IF('数据-取费表'!E3="否",结果表!D119,'结果表 (1修多)'!D122)</f>
        <v>出让国有建设用地使用权价值</v>
      </c>
      <c r="E2" s="2775"/>
      <c r="F2" s="2775" t="s">
        <v>1278</v>
      </c>
      <c r="G2" s="2775"/>
      <c r="H2" s="2775" t="s">
        <v>1279</v>
      </c>
      <c r="I2" s="2775"/>
    </row>
    <row r="3" spans="1:9" ht="15">
      <c r="A3" s="2770"/>
      <c r="B3" s="2770"/>
      <c r="C3" s="2770"/>
      <c r="D3" s="1048" t="s">
        <v>1280</v>
      </c>
      <c r="E3" s="1048" t="s">
        <v>1281</v>
      </c>
      <c r="F3" s="1048" t="s">
        <v>1280</v>
      </c>
      <c r="G3" s="1048" t="s">
        <v>1282</v>
      </c>
      <c r="H3" s="1048" t="s">
        <v>1280</v>
      </c>
      <c r="I3" s="1048" t="s">
        <v>1282</v>
      </c>
    </row>
    <row r="4" spans="1:9" ht="46.5" customHeight="1">
      <c r="A4" s="1048" t="str">
        <f>项目基本情况!I1</f>
        <v>北京市海淀区德胜门西大街15号1号楼房地产</v>
      </c>
      <c r="B4" s="1048">
        <f>结果表!B121</f>
        <v>178.24</v>
      </c>
      <c r="C4" s="1048">
        <f>结果表!C121</f>
        <v>0</v>
      </c>
      <c r="D4" s="1048">
        <f ca="1">IF('数据-取费表'!E3="否",结果表!D121,'结果表 (1修多)'!D124)</f>
        <v>1593</v>
      </c>
      <c r="E4" s="1048">
        <f ca="1">IF('数据-取费表'!E3="否",结果表!E121,'结果表 (1修多)'!E124)</f>
        <v>89350</v>
      </c>
      <c r="F4" s="1048">
        <f ca="1">IF('数据-取费表'!E3="否",结果表!F121,'结果表 (1修多)'!F124)</f>
        <v>103</v>
      </c>
      <c r="G4" s="1048">
        <f ca="1">IF('数据-取费表'!E3="否",结果表!G121,'结果表 (1修多)'!G124)</f>
        <v>5804</v>
      </c>
      <c r="H4" s="1048">
        <f ca="1">IF('数据-取费表'!E3="否",结果表!H121,'结果表 (1修多)'!H124)</f>
        <v>1696</v>
      </c>
      <c r="I4" s="1048">
        <f ca="1">IF('数据-取费表'!E3="否",结果表!I121,'结果表 (1修多)'!I124)</f>
        <v>95154</v>
      </c>
    </row>
    <row r="5" spans="1:9" ht="15">
      <c r="A5" s="2770" t="s">
        <v>1283</v>
      </c>
      <c r="B5" s="2770"/>
      <c r="C5" s="2770"/>
      <c r="D5" s="2768" t="str">
        <f ca="1">IF('数据-取费表'!E3="否",结果表!D122,'结果表 (1修多)'!D125)</f>
        <v>壹仟伍佰玖拾叁万元整</v>
      </c>
      <c r="E5" s="2768"/>
      <c r="F5" s="2768" t="str">
        <f ca="1">IF('数据-取费表'!E3="否",结果表!F122,'结果表 (1修多)'!F125)</f>
        <v>壹佰零叁万元整</v>
      </c>
      <c r="G5" s="2768"/>
      <c r="H5" s="2768" t="str">
        <f ca="1">IF('数据-取费表'!E3="否",结果表!H122,'结果表 (1修多)'!H125)</f>
        <v>壹仟陆佰玖拾陆万元整</v>
      </c>
      <c r="I5" s="2768"/>
    </row>
    <row r="6" spans="1:9" ht="15.75">
      <c r="A6" s="2769" t="str">
        <f>IF('数据-取费表'!E3="否",结果表!A123,'结果表 (1修多)'!A126)</f>
        <v>估价师所知悉的法定优先受偿款</v>
      </c>
      <c r="B6" s="2769"/>
      <c r="C6" s="2769"/>
      <c r="D6" s="2769">
        <f>IF('数据-取费表'!E3="否",结果表!D123,'结果表 (1修多)'!D126)</f>
        <v>0</v>
      </c>
      <c r="E6" s="2769"/>
      <c r="F6" s="2769"/>
      <c r="G6" s="2769"/>
      <c r="H6" s="2769"/>
      <c r="I6" s="2769"/>
    </row>
    <row r="7" spans="1:9" ht="15">
      <c r="A7" s="2770" t="s">
        <v>1283</v>
      </c>
      <c r="B7" s="2770"/>
      <c r="C7" s="2770"/>
      <c r="D7" s="2771">
        <f>IF('数据-取费表'!E3="否",结果表!D124,'结果表 (1修多)'!D127)</f>
        <v>0</v>
      </c>
      <c r="E7" s="2772"/>
      <c r="F7" s="2772"/>
      <c r="G7" s="2772"/>
      <c r="H7" s="2772"/>
      <c r="I7" s="2773"/>
    </row>
    <row r="8" spans="1:9" ht="15.75">
      <c r="A8" s="2769" t="str">
        <f>IF('数据-取费表'!E3="否",结果表!A125,'结果表 (1修多)'!A128)</f>
        <v>房地产抵押价值</v>
      </c>
      <c r="B8" s="2769"/>
      <c r="C8" s="2769"/>
      <c r="D8" s="2769">
        <f ca="1">IF('数据-取费表'!E3="否",结果表!D125,'结果表 (1修多)'!D128)</f>
        <v>1696</v>
      </c>
      <c r="E8" s="2769"/>
      <c r="F8" s="2769"/>
      <c r="G8" s="2769"/>
      <c r="H8" s="2769"/>
      <c r="I8" s="2769"/>
    </row>
    <row r="9" spans="1:9" ht="15">
      <c r="A9" s="2770" t="s">
        <v>1283</v>
      </c>
      <c r="B9" s="2770"/>
      <c r="C9" s="2770"/>
      <c r="D9" s="2768">
        <f ca="1">IF('数据-取费表'!E3="否",结果表!D126,'结果表 (1修多)'!D129)</f>
        <v>95154</v>
      </c>
      <c r="E9" s="2768"/>
      <c r="F9" s="2768"/>
      <c r="G9" s="2768"/>
      <c r="H9" s="2768"/>
      <c r="I9" s="2768"/>
    </row>
    <row r="10" spans="1:9" ht="15.75">
      <c r="A10" s="2769" t="str">
        <f>IF('数据-取费表'!E3="否",结果表!A127,'结果表 (1修多)'!A130)</f>
        <v/>
      </c>
      <c r="B10" s="2769"/>
      <c r="C10" s="2769"/>
      <c r="D10" s="2769" t="str">
        <f>IF('数据-取费表'!E3="否",结果表!D127,'结果表 (1修多)'!D129)</f>
        <v>——</v>
      </c>
      <c r="E10" s="2769"/>
      <c r="F10" s="2769"/>
      <c r="G10" s="2769"/>
      <c r="H10" s="2769"/>
      <c r="I10" s="2769"/>
    </row>
    <row r="11" spans="1:9" ht="15">
      <c r="A11" s="2770" t="s">
        <v>1283</v>
      </c>
      <c r="B11" s="2770"/>
      <c r="C11" s="2770"/>
      <c r="D11" s="2768" t="str">
        <f>IF('数据-取费表'!E3="否",结果表!D128,'结果表 (1修多)'!D131)</f>
        <v>——</v>
      </c>
      <c r="E11" s="2768"/>
      <c r="F11" s="2768"/>
      <c r="G11" s="2768"/>
      <c r="H11" s="2768"/>
      <c r="I11" s="2768"/>
    </row>
    <row r="12" spans="1:9" ht="15.75">
      <c r="A12" s="2769" t="str">
        <f>IF('数据-取费表'!E3="否",结果表!A129,'结果表 (1修多)'!A132)</f>
        <v/>
      </c>
      <c r="B12" s="2769"/>
      <c r="C12" s="2769"/>
      <c r="D12" s="2769" t="str">
        <f>IF('数据-取费表'!E3="否",结果表!D129,'结果表 (1修多)'!D132)</f>
        <v>——</v>
      </c>
      <c r="E12" s="2769"/>
      <c r="F12" s="2769"/>
      <c r="G12" s="2769"/>
      <c r="H12" s="2769"/>
      <c r="I12" s="2769"/>
    </row>
    <row r="13" spans="1:9" ht="15.75" thickBot="1">
      <c r="A13" s="2776" t="s">
        <v>1283</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3" t="s">
        <v>1297</v>
      </c>
      <c r="B1" s="2783"/>
      <c r="C1" s="2783"/>
      <c r="D1" s="2783"/>
    </row>
    <row r="2" spans="1:4" ht="18">
      <c r="A2" s="2782" t="s">
        <v>1285</v>
      </c>
      <c r="B2" s="2782"/>
      <c r="C2" s="2782"/>
      <c r="D2" s="2782"/>
    </row>
    <row r="3" spans="1:4" ht="18.75">
      <c r="A3" s="1955" t="s">
        <v>1286</v>
      </c>
      <c r="B3" s="1955" t="s">
        <v>1287</v>
      </c>
      <c r="C3" s="1955" t="s">
        <v>1288</v>
      </c>
      <c r="D3" s="1955" t="s">
        <v>1289</v>
      </c>
    </row>
    <row r="4" spans="1:4" ht="56.25" customHeight="1">
      <c r="A4" s="1956" t="str">
        <f>项目基本情况!B3</f>
        <v>刘梅</v>
      </c>
      <c r="B4" s="1957">
        <f ca="1">项目基本情况!C3</f>
        <v>1120140022</v>
      </c>
      <c r="C4" s="1958"/>
      <c r="D4" s="1959" t="s">
        <v>1298</v>
      </c>
    </row>
    <row r="5" spans="1:4" ht="56.25" customHeight="1">
      <c r="A5" s="1956" t="str">
        <f>项目基本情况!D3</f>
        <v>吴薇</v>
      </c>
      <c r="B5" s="1957">
        <f ca="1">项目基本情况!E3</f>
        <v>1419970001</v>
      </c>
      <c r="C5" s="1960"/>
      <c r="D5" s="1959" t="s">
        <v>1298</v>
      </c>
    </row>
    <row r="6" spans="1:4" ht="12" customHeight="1">
      <c r="A6" s="1956"/>
      <c r="B6" s="1957"/>
      <c r="C6" s="1961"/>
      <c r="D6" s="1959"/>
    </row>
    <row r="7" spans="1:4" ht="18">
      <c r="A7" s="2782" t="s">
        <v>1290</v>
      </c>
      <c r="B7" s="2782"/>
      <c r="C7" s="2782"/>
      <c r="D7" s="2782"/>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79" t="s">
        <v>1299</v>
      </c>
      <c r="B12" s="2781"/>
      <c r="C12" s="2781"/>
      <c r="D12" s="2781"/>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1"/>
      <c r="C13" s="2781"/>
      <c r="D13" s="2781"/>
    </row>
    <row r="14" spans="1:4" ht="30" customHeight="1">
      <c r="A14" s="2779" t="str">
        <f>IF(项目基本情况!D4="抵押","3.抵押双方在办理抵押登记手续时，应使用本公司出具的正式《房地产评估报告》，特提醒报告使用者注意。","——")</f>
        <v>——</v>
      </c>
      <c r="B14" s="2781"/>
      <c r="C14" s="2781"/>
      <c r="D14" s="2781"/>
    </row>
    <row r="15" spans="1:4" ht="15.75" customHeight="1">
      <c r="A15" s="2779" t="str">
        <f>IF(项目基本情况!D4="抵押","4.本次评估估价师所知悉的法定优先受偿款情况说明如下：","——")</f>
        <v>——</v>
      </c>
      <c r="B15" s="2781"/>
      <c r="C15" s="2781"/>
      <c r="D15" s="2781"/>
    </row>
    <row r="16" spans="1:4" ht="75" customHeight="1">
      <c r="A16" s="2779" t="str">
        <f>IF(项目基本情况!D4="抵押",CONCATENATE(项目基本情况!J13,项目基本情况!J14,项目基本情况!J15),"——")</f>
        <v>——</v>
      </c>
      <c r="B16" s="2779"/>
      <c r="C16" s="2779"/>
      <c r="D16" s="2779"/>
    </row>
    <row r="17" spans="1:4" ht="63.75" customHeight="1">
      <c r="A17" s="2780" t="s">
        <v>1300</v>
      </c>
      <c r="B17" s="2780"/>
      <c r="C17" s="2780"/>
      <c r="D17" s="2780"/>
    </row>
    <row r="18" spans="1:4" ht="15.75" customHeight="1">
      <c r="A18" s="2779" t="str">
        <f>IF(项目基本情况!D4="抵押",结果表!K106,"——")</f>
        <v>——</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0" t="s">
        <v>1293</v>
      </c>
      <c r="B20" s="2780"/>
      <c r="C20" s="2780"/>
      <c r="D20" s="2780"/>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89" t="s">
        <v>1379</v>
      </c>
      <c r="B15" s="2784" t="s">
        <v>1380</v>
      </c>
      <c r="C15" s="2785"/>
    </row>
    <row r="16" spans="1:7" ht="14.25">
      <c r="A16" s="2790"/>
      <c r="B16" s="2784" t="s">
        <v>1381</v>
      </c>
      <c r="C16" s="2785"/>
    </row>
    <row r="17" spans="1:3" ht="14.25">
      <c r="A17" s="2790"/>
      <c r="B17" s="2784" t="s">
        <v>1382</v>
      </c>
      <c r="C17" s="2785"/>
    </row>
    <row r="18" spans="1:3" ht="14.25">
      <c r="A18" s="2791"/>
      <c r="B18" s="2786" t="s">
        <v>1383</v>
      </c>
      <c r="C18" s="2785"/>
    </row>
    <row r="19" spans="1:3" ht="14.25">
      <c r="A19" s="1979" t="s">
        <v>1384</v>
      </c>
      <c r="B19" s="1980"/>
      <c r="C19" s="1981"/>
    </row>
    <row r="20" spans="1:3" ht="14.25">
      <c r="A20" s="2787" t="s">
        <v>1385</v>
      </c>
      <c r="B20" s="2786" t="s">
        <v>1386</v>
      </c>
      <c r="C20" s="2785"/>
    </row>
    <row r="21" spans="1:3" ht="14.25">
      <c r="A21" s="2787"/>
      <c r="B21" s="2786" t="s">
        <v>1387</v>
      </c>
      <c r="C21" s="2785"/>
    </row>
    <row r="22" spans="1:3" ht="14.25">
      <c r="A22" s="2787"/>
      <c r="B22" s="2786" t="s">
        <v>1388</v>
      </c>
      <c r="C22" s="2785"/>
    </row>
    <row r="23" spans="1:3" ht="14.25">
      <c r="A23" s="2787"/>
      <c r="B23" s="2788" t="s">
        <v>1389</v>
      </c>
      <c r="C23" s="1982" t="s">
        <v>1390</v>
      </c>
    </row>
    <row r="24" spans="1:3" ht="14.25">
      <c r="A24" s="2787"/>
      <c r="B24" s="2788"/>
      <c r="C24" s="1982" t="s">
        <v>1391</v>
      </c>
    </row>
    <row r="25" spans="1:3" ht="14.25">
      <c r="A25" s="2787"/>
      <c r="B25" s="2788"/>
      <c r="C25" s="1982" t="s">
        <v>1392</v>
      </c>
    </row>
    <row r="26" spans="1:3" ht="14.25">
      <c r="A26" s="2787"/>
      <c r="B26" s="2788"/>
      <c r="C26" s="1982" t="s">
        <v>1393</v>
      </c>
    </row>
    <row r="27" spans="1:3" ht="14.25">
      <c r="A27" s="2787"/>
      <c r="B27" s="2788"/>
      <c r="C27" s="1982" t="s">
        <v>1394</v>
      </c>
    </row>
    <row r="28" spans="1:3" ht="14.25">
      <c r="A28" s="2787"/>
      <c r="B28" s="2788"/>
      <c r="C28" s="1982" t="s">
        <v>1395</v>
      </c>
    </row>
    <row r="29" spans="1:3" ht="14.25">
      <c r="A29" s="2787"/>
      <c r="B29" s="2788"/>
      <c r="C29" s="1982" t="s">
        <v>1396</v>
      </c>
    </row>
    <row r="30" spans="1:3" ht="14.25">
      <c r="A30" s="2787"/>
      <c r="B30" s="2788"/>
      <c r="C30" s="1982" t="s">
        <v>1397</v>
      </c>
    </row>
    <row r="31" spans="1:3" ht="14.25">
      <c r="A31" s="2787"/>
      <c r="B31" s="2788"/>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2805</v>
      </c>
      <c r="B12" s="1030">
        <v>1120110054</v>
      </c>
      <c r="C12" s="1810">
        <v>43937</v>
      </c>
      <c r="D12" s="1811" t="str">
        <f t="shared" si="0"/>
        <v>白景生（注册号：1120110054）</v>
      </c>
      <c r="E12" s="1809" t="s">
        <v>2805</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2" t="s">
        <v>768</v>
      </c>
      <c r="B25" s="2792"/>
      <c r="C25" s="2792"/>
      <c r="D25" s="2792"/>
      <c r="E25" s="2792"/>
      <c r="F25" s="2792"/>
      <c r="G25" s="2792"/>
      <c r="H25" s="2792"/>
    </row>
    <row r="26" spans="1:8" s="1033" customFormat="1" ht="24" customHeight="1">
      <c r="A26" s="2793" t="s">
        <v>769</v>
      </c>
      <c r="B26" s="2793"/>
      <c r="C26" s="2793"/>
      <c r="D26" s="1061"/>
      <c r="E26" s="1061"/>
      <c r="F26" s="2793" t="s">
        <v>770</v>
      </c>
      <c r="G26" s="2793"/>
      <c r="H26" s="279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房地产作为抵押担保物，向浦发银行办理贷款手续。浦发银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4"/>
      <c r="B54" s="9" t="s">
        <v>1535</v>
      </c>
      <c r="C54" s="9" t="s">
        <v>1536</v>
      </c>
    </row>
    <row r="55" spans="1:4">
      <c r="A55" s="2794"/>
      <c r="B55" s="9" t="s">
        <v>1537</v>
      </c>
      <c r="C55" s="9" t="s">
        <v>1538</v>
      </c>
    </row>
    <row r="56" spans="1:4">
      <c r="A56" s="2794"/>
      <c r="B56" s="9" t="s">
        <v>1539</v>
      </c>
      <c r="C56" s="9" t="s">
        <v>1540</v>
      </c>
    </row>
    <row r="57" spans="1:4">
      <c r="A57" s="2794"/>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2018-06-11T02:45:02Z</dcterms:modified>
</cp:coreProperties>
</file>