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r:id="rId27"/>
    <sheet name="比较法-小高层" sheetId="79"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27" hidden="1">'比较法-小高层'!$A$1:$L$49</definedName>
    <definedName name="_xlnm._FilterDatabase" localSheetId="26" hidden="1">'比较法-洋房'!$A$1:$L$49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'土地比较法-住宅'!$A$1:$L$48</definedName>
    <definedName name="_xlnm._FilterDatabase" localSheetId="10" hidden="1">项目基本情况!$A$42:$N$42</definedName>
    <definedName name="_xlnm.Print_Area" localSheetId="28">'比较法-高层'!$A$1:$K$54</definedName>
    <definedName name="_xlnm.Print_Area" localSheetId="27">'比较法-小高层'!$A$1:$K$54</definedName>
    <definedName name="_xlnm.Print_Area" localSheetId="26">'比较法-洋房'!$A$1:$K$54</definedName>
    <definedName name="_xlnm.Print_Area" localSheetId="18">成本法!$A$1:$G$52</definedName>
    <definedName name="_xlnm.Print_Area" localSheetId="21">假设开发法!$A$1:$K$32</definedName>
    <definedName name="_xlnm.Print_Area" localSheetId="17">结果表!$A$1:$I$141</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'数据-基础表'!$C$1:$AS$18</definedName>
    <definedName name="_xlnm.Print_Area" localSheetId="14">'数据-取费表'!$A$1:$T$54</definedName>
    <definedName name="_xlnm.Print_Area" localSheetId="20">'土地比较法-住宅'!$A$1:$K$53</definedName>
    <definedName name="_xlnm.Print_Area" localSheetId="10">项目基本情况!$A$1:$I$21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'土地比较法-住宅'!$B$106:$M$106</definedName>
    <definedName name="套综工程地质条件">'土地比较法-住宅'!$B$125:$M$125</definedName>
    <definedName name="套综交易情况">'土地比较法-住宅'!$A$73:$M$73</definedName>
    <definedName name="套综临街宽度及深度">'土地比较法-住宅'!$B$121:$M$121</definedName>
    <definedName name="套综土地级别">'土地比较法-住宅'!$B$108:$M$108</definedName>
    <definedName name="套综用途">'土地比较法-住宅'!$B$75:$M$75</definedName>
    <definedName name="套综宗地内开发程度">'土地比较法-住宅'!$B$123:$M$123</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'比较法-小高层'!$B$88:$M$88</definedName>
    <definedName name="住宅朝向" localSheetId="26">'比较法-洋房'!$B$88:$M$88</definedName>
    <definedName name="住宅朝向">'比较法-高层'!$B$88:$M$88</definedName>
    <definedName name="住宅房型" localSheetId="27">'比较法-小高层'!$B$118:$M$118</definedName>
    <definedName name="住宅房型" localSheetId="26">'比较法-洋房'!$B$118:$M$118</definedName>
    <definedName name="住宅房型">'比较法-高层'!$B$118:$M$118</definedName>
    <definedName name="住宅公共部分装修" localSheetId="27">'比较法-小高层'!$B$109:$M$109</definedName>
    <definedName name="住宅公共部分装修" localSheetId="26">'比较法-洋房'!$B$109:$M$109</definedName>
    <definedName name="住宅公共部分装修">'比较法-高层'!$B$109:$M$109</definedName>
    <definedName name="住宅基础设施水平" localSheetId="27">'比较法-小高层'!$B$116:$M$116</definedName>
    <definedName name="住宅基础设施水平" localSheetId="26">'比较法-洋房'!$B$116:$M$116</definedName>
    <definedName name="住宅基础设施水平">'比较法-高层'!$B$116:$M$116</definedName>
    <definedName name="住宅建筑结构" localSheetId="27">'比较法-小高层'!$B$105:$M$105</definedName>
    <definedName name="住宅建筑结构" localSheetId="26">'比较法-洋房'!$B$105:$M$105</definedName>
    <definedName name="住宅建筑结构">'比较法-高层'!$B$105:$M$105</definedName>
    <definedName name="住宅建筑类型" localSheetId="27">'比较法-小高层'!$B$100:$M$100</definedName>
    <definedName name="住宅建筑类型" localSheetId="26">'比较法-洋房'!$B$100:$M$100</definedName>
    <definedName name="住宅建筑类型">'比较法-高层'!$B$100:$M$100</definedName>
    <definedName name="住宅建筑品质" localSheetId="27">'比较法-小高层'!$B$107:$M$107</definedName>
    <definedName name="住宅建筑品质" localSheetId="26">'比较法-洋房'!$B$107:$M$107</definedName>
    <definedName name="住宅建筑品质">'比较法-高层'!$B$107:$M$107</definedName>
    <definedName name="住宅交易情况" localSheetId="27">'比较法-小高层'!$A$61:$M$61</definedName>
    <definedName name="住宅交易情况" localSheetId="26">'比较法-洋房'!$A$61:$M$61</definedName>
    <definedName name="住宅交易情况">'比较法-高层'!$A$61:$M$61</definedName>
    <definedName name="住宅楼层" localSheetId="27">'比较法-小高层'!$B$86:$M$86</definedName>
    <definedName name="住宅楼层" localSheetId="26">'比较法-洋房'!$B$86:$M$86</definedName>
    <definedName name="住宅楼层">'比较法-高层'!$B$86:$M$86</definedName>
    <definedName name="住宅内部装修" localSheetId="27">'比较法-小高层'!$B$122:$M$122</definedName>
    <definedName name="住宅内部装修" localSheetId="26">'比较法-洋房'!$B$122:$M$122</definedName>
    <definedName name="住宅内部装修">'比较法-高层'!$B$122:$M$122</definedName>
    <definedName name="住宅物业管理" localSheetId="27">'比较法-小高层'!$B$114:$M$114</definedName>
    <definedName name="住宅物业管理" localSheetId="26">'比较法-洋房'!$B$114:$M$114</definedName>
    <definedName name="住宅物业管理">'比较法-高层'!$B$114:$M$114</definedName>
    <definedName name="住宅用途" localSheetId="27">'比较法-小高层'!$B$63:$M$63</definedName>
    <definedName name="住宅用途" localSheetId="26">'比较法-洋房'!$B$63:$M$63</definedName>
    <definedName name="住宅用途">'比较法-高层'!$B$63:$M$63</definedName>
    <definedName name="住宅主力户型面积" localSheetId="27">'比较法-小高层'!$B$120:$M$120</definedName>
    <definedName name="住宅主力户型面积" localSheetId="26">'比较法-洋房'!$B$120:$M$120</definedName>
    <definedName name="住宅主力户型面积">'比较法-高层'!$B$120:$M$120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9" i="6" l="1"/>
  <c r="E71" i="39"/>
  <c r="F71" i="39"/>
  <c r="G71" i="39"/>
  <c r="H71" i="39"/>
  <c r="I71" i="39"/>
  <c r="J71" i="39"/>
  <c r="K71" i="39"/>
  <c r="L71" i="39"/>
  <c r="M71" i="39"/>
  <c r="N71" i="39"/>
  <c r="O71" i="39"/>
  <c r="D71" i="39"/>
  <c r="BB16" i="3"/>
  <c r="BC16" i="3"/>
  <c r="BD16" i="3"/>
  <c r="BE16" i="3"/>
  <c r="BF16" i="3"/>
  <c r="BG16" i="3"/>
  <c r="BH16" i="3"/>
  <c r="BI16" i="3"/>
  <c r="BJ16" i="3"/>
  <c r="BK16" i="3"/>
  <c r="BA16" i="3"/>
  <c r="BB18" i="3"/>
  <c r="BA18" i="3"/>
  <c r="BB17" i="3"/>
  <c r="BC17" i="3"/>
  <c r="BD17" i="3"/>
  <c r="BE17" i="3"/>
  <c r="BF17" i="3"/>
  <c r="BG17" i="3"/>
  <c r="BH17" i="3"/>
  <c r="BI17" i="3"/>
  <c r="BJ17" i="3"/>
  <c r="BK17" i="3"/>
  <c r="BA17" i="3"/>
  <c r="BA5" i="3"/>
  <c r="BB5" i="3"/>
  <c r="E8" i="6"/>
  <c r="F27" i="6"/>
  <c r="E19" i="6"/>
  <c r="E27" i="6"/>
  <c r="I18" i="3"/>
  <c r="AY3" i="3"/>
  <c r="C38" i="39"/>
  <c r="F38" i="39"/>
  <c r="AA38" i="39"/>
  <c r="D124" i="39"/>
  <c r="F41" i="39"/>
  <c r="AA41" i="39"/>
  <c r="D107" i="39"/>
  <c r="F32" i="39"/>
  <c r="AA3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38" i="39"/>
  <c r="AB38" i="39"/>
  <c r="H41" i="39"/>
  <c r="AB41" i="39"/>
  <c r="E107" i="39"/>
  <c r="F107" i="39"/>
  <c r="G107" i="39"/>
  <c r="H32" i="39"/>
  <c r="AB32" i="39"/>
  <c r="H7" i="39"/>
  <c r="AB7" i="39"/>
  <c r="J38" i="39"/>
  <c r="AC38" i="39"/>
  <c r="J41" i="39"/>
  <c r="AC41" i="39"/>
  <c r="J32" i="39"/>
  <c r="AC32" i="39"/>
  <c r="J7" i="39"/>
  <c r="AC7" i="39"/>
  <c r="AZ3" i="3"/>
  <c r="I5" i="3"/>
  <c r="I4" i="6"/>
  <c r="C11" i="39"/>
  <c r="F21" i="39"/>
  <c r="AA21" i="39"/>
  <c r="F11" i="39"/>
  <c r="AA11" i="39"/>
  <c r="H21" i="39"/>
  <c r="AB21" i="39"/>
  <c r="H11" i="39"/>
  <c r="AB11" i="39"/>
  <c r="J21" i="39"/>
  <c r="AC21" i="39"/>
  <c r="J11" i="39"/>
  <c r="AC11" i="39"/>
  <c r="C11" i="80"/>
  <c r="AC17" i="3"/>
  <c r="G17" i="3"/>
  <c r="BT17" i="3"/>
  <c r="BT18" i="3"/>
  <c r="BT16" i="3"/>
  <c r="BT5" i="3"/>
  <c r="BR16" i="3"/>
  <c r="BR17" i="3"/>
  <c r="BR5" i="3"/>
  <c r="G28" i="6"/>
  <c r="BQ16" i="3"/>
  <c r="BQ17" i="3"/>
  <c r="BQ5" i="3"/>
  <c r="BS16" i="3"/>
  <c r="BS17" i="3"/>
  <c r="BS5" i="3"/>
  <c r="F28" i="6"/>
  <c r="E28" i="6"/>
  <c r="AR18" i="3"/>
  <c r="AC18" i="3"/>
  <c r="H18" i="3"/>
  <c r="G18" i="3"/>
  <c r="G5" i="3"/>
  <c r="B3" i="3"/>
  <c r="C33" i="80"/>
  <c r="I47" i="80"/>
  <c r="C33" i="21"/>
  <c r="C11" i="21"/>
  <c r="I47" i="21"/>
  <c r="F42" i="80"/>
  <c r="AA42" i="80"/>
  <c r="F33" i="80"/>
  <c r="AA33" i="80"/>
  <c r="F11" i="80"/>
  <c r="AA11" i="80"/>
  <c r="F17" i="80"/>
  <c r="AA17" i="80"/>
  <c r="C7" i="80"/>
  <c r="C58" i="80"/>
  <c r="D58" i="80"/>
  <c r="E58" i="80"/>
  <c r="F58" i="80"/>
  <c r="G58" i="80"/>
  <c r="H58" i="80"/>
  <c r="I58" i="80"/>
  <c r="J58" i="80"/>
  <c r="K58" i="80"/>
  <c r="L58" i="80"/>
  <c r="M58" i="80"/>
  <c r="N58" i="80"/>
  <c r="O58" i="80"/>
  <c r="F7" i="80"/>
  <c r="AA7" i="80"/>
  <c r="R48" i="80"/>
  <c r="H42" i="80"/>
  <c r="AB42" i="80"/>
  <c r="H33" i="80"/>
  <c r="AB33" i="80"/>
  <c r="H11" i="80"/>
  <c r="AB11" i="80"/>
  <c r="H17" i="80"/>
  <c r="AB17" i="80"/>
  <c r="H7" i="80"/>
  <c r="AB7" i="80"/>
  <c r="T48" i="80"/>
  <c r="J42" i="80"/>
  <c r="AC42" i="80"/>
  <c r="V47" i="80"/>
  <c r="J33" i="80"/>
  <c r="AC33" i="80"/>
  <c r="J11" i="80"/>
  <c r="AC11" i="80"/>
  <c r="J17" i="80"/>
  <c r="AC17" i="80"/>
  <c r="J7" i="80"/>
  <c r="AC7" i="80"/>
  <c r="V48" i="80"/>
  <c r="R49" i="80"/>
  <c r="C48" i="80"/>
  <c r="D6" i="12"/>
  <c r="BM16" i="3"/>
  <c r="BM17" i="3"/>
  <c r="BM5" i="3"/>
  <c r="BO16" i="3"/>
  <c r="BO17" i="3"/>
  <c r="BO5" i="3"/>
  <c r="F29" i="6"/>
  <c r="BN16" i="3"/>
  <c r="BN17" i="3"/>
  <c r="BN5" i="3"/>
  <c r="BP16" i="3"/>
  <c r="BP17" i="3"/>
  <c r="BP5" i="3"/>
  <c r="G29" i="6"/>
  <c r="E29" i="6"/>
  <c r="E30" i="6"/>
  <c r="E31" i="6"/>
  <c r="F21" i="6"/>
  <c r="BB13" i="3"/>
  <c r="BB14" i="3"/>
  <c r="BB15"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E5" i="6"/>
  <c r="D9" i="68"/>
  <c r="C9" i="68"/>
  <c r="BA13" i="3"/>
  <c r="BM13" i="3"/>
  <c r="BN13" i="3"/>
  <c r="BO13" i="3"/>
  <c r="BP13" i="3"/>
  <c r="BQ13" i="3"/>
  <c r="BR13" i="3"/>
  <c r="BS13" i="3"/>
  <c r="BT13" i="3"/>
  <c r="BL13" i="3"/>
  <c r="AZ13" i="3"/>
  <c r="BA14" i="3"/>
  <c r="BM14" i="3"/>
  <c r="BN14" i="3"/>
  <c r="BO14" i="3"/>
  <c r="BP14" i="3"/>
  <c r="BQ14" i="3"/>
  <c r="BR14" i="3"/>
  <c r="BS14" i="3"/>
  <c r="BT14" i="3"/>
  <c r="BL14" i="3"/>
  <c r="AZ14" i="3"/>
  <c r="BA15" i="3"/>
  <c r="BM15" i="3"/>
  <c r="BN15" i="3"/>
  <c r="BO15" i="3"/>
  <c r="BP15" i="3"/>
  <c r="BQ15" i="3"/>
  <c r="BR15" i="3"/>
  <c r="BS15" i="3"/>
  <c r="BT15" i="3"/>
  <c r="BL15" i="3"/>
  <c r="AZ15" i="3"/>
  <c r="BL16" i="3"/>
  <c r="AZ16" i="3"/>
  <c r="BL17" i="3"/>
  <c r="AZ17" i="3"/>
  <c r="BC18" i="3"/>
  <c r="BD18" i="3"/>
  <c r="BE18" i="3"/>
  <c r="BF18" i="3"/>
  <c r="BG18" i="3"/>
  <c r="BH18" i="3"/>
  <c r="BI18" i="3"/>
  <c r="BJ18" i="3"/>
  <c r="BK18" i="3"/>
  <c r="BM18" i="3"/>
  <c r="BN18" i="3"/>
  <c r="BO18" i="3"/>
  <c r="BP18" i="3"/>
  <c r="BQ18" i="3"/>
  <c r="BR18" i="3"/>
  <c r="BS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M23" i="3"/>
  <c r="BN23" i="3"/>
  <c r="BO23" i="3"/>
  <c r="BP23" i="3"/>
  <c r="BQ23" i="3"/>
  <c r="BR23" i="3"/>
  <c r="BS23" i="3"/>
  <c r="BT23" i="3"/>
  <c r="BL23" i="3"/>
  <c r="BC23" i="3"/>
  <c r="BD23" i="3"/>
  <c r="BE23" i="3"/>
  <c r="BF23" i="3"/>
  <c r="BG23" i="3"/>
  <c r="BH23" i="3"/>
  <c r="BI23" i="3"/>
  <c r="BJ23" i="3"/>
  <c r="BK23" i="3"/>
  <c r="BA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E3" i="6"/>
  <c r="E6" i="6"/>
  <c r="D10" i="68"/>
  <c r="C10" i="68"/>
  <c r="B29" i="1"/>
  <c r="C8" i="68"/>
  <c r="C1" i="73"/>
  <c r="J1" i="73"/>
  <c r="D5" i="73"/>
  <c r="G1" i="73"/>
  <c r="B40" i="1"/>
  <c r="F22" i="68"/>
  <c r="C24" i="68"/>
  <c r="B23" i="1"/>
  <c r="C26" i="68"/>
  <c r="D22" i="68"/>
  <c r="D19" i="68"/>
  <c r="D37" i="68"/>
  <c r="C44" i="68"/>
  <c r="D41" i="68"/>
  <c r="A6" i="1"/>
  <c r="K6" i="1"/>
  <c r="M6" i="1"/>
  <c r="O6" i="1"/>
  <c r="P6" i="1"/>
  <c r="E20" i="6"/>
  <c r="A7" i="1"/>
  <c r="K7" i="1"/>
  <c r="M7" i="1"/>
  <c r="O7" i="1"/>
  <c r="P7" i="1"/>
  <c r="E21" i="6"/>
  <c r="A8"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42" i="1"/>
  <c r="C13" i="12"/>
  <c r="D14" i="12"/>
  <c r="C15" i="12"/>
  <c r="D17" i="12"/>
  <c r="C17" i="12"/>
  <c r="D19" i="12"/>
  <c r="C19" i="12"/>
  <c r="D20" i="12"/>
  <c r="C20" i="12"/>
  <c r="C18" i="12"/>
  <c r="C7" i="12"/>
  <c r="F11" i="21"/>
  <c r="AA11" i="21"/>
  <c r="F17" i="21"/>
  <c r="AA17" i="21"/>
  <c r="F33" i="21"/>
  <c r="AA33" i="21"/>
  <c r="F42" i="21"/>
  <c r="AA42" i="21"/>
  <c r="C7" i="21"/>
  <c r="C58" i="21"/>
  <c r="D58" i="21"/>
  <c r="E58" i="21"/>
  <c r="F58" i="21"/>
  <c r="G58" i="21"/>
  <c r="H58" i="21"/>
  <c r="I58" i="21"/>
  <c r="J58" i="21"/>
  <c r="K58" i="21"/>
  <c r="L58" i="21"/>
  <c r="M58" i="21"/>
  <c r="N58" i="21"/>
  <c r="O58" i="21"/>
  <c r="F7" i="21"/>
  <c r="AA7" i="21"/>
  <c r="R48" i="21"/>
  <c r="H11" i="21"/>
  <c r="AB11" i="21"/>
  <c r="H17" i="21"/>
  <c r="AB17" i="21"/>
  <c r="H33" i="21"/>
  <c r="AB33" i="21"/>
  <c r="H42" i="21"/>
  <c r="AB42" i="21"/>
  <c r="H7" i="21"/>
  <c r="AB7" i="21"/>
  <c r="T48" i="21"/>
  <c r="J11" i="21"/>
  <c r="AC11" i="21"/>
  <c r="V47" i="21"/>
  <c r="J42" i="21"/>
  <c r="AC42" i="21"/>
  <c r="J33" i="21"/>
  <c r="AC33" i="21"/>
  <c r="J17" i="21"/>
  <c r="AC17" i="21"/>
  <c r="J7" i="21"/>
  <c r="AC7" i="21"/>
  <c r="V48" i="21"/>
  <c r="R49" i="21"/>
  <c r="C48" i="21"/>
  <c r="C6" i="12"/>
  <c r="C8" i="12"/>
  <c r="D7" i="12"/>
  <c r="C11" i="79"/>
  <c r="F11" i="79"/>
  <c r="AA11" i="79"/>
  <c r="C7" i="79"/>
  <c r="C58" i="79"/>
  <c r="D58" i="79"/>
  <c r="E58" i="79"/>
  <c r="F58" i="79"/>
  <c r="G58" i="79"/>
  <c r="H58" i="79"/>
  <c r="I58" i="79"/>
  <c r="J58" i="79"/>
  <c r="K58" i="79"/>
  <c r="L58" i="79"/>
  <c r="M58" i="79"/>
  <c r="N58" i="79"/>
  <c r="O58" i="79"/>
  <c r="F7" i="79"/>
  <c r="AA7" i="79"/>
  <c r="R48" i="79"/>
  <c r="H11" i="79"/>
  <c r="AB11" i="79"/>
  <c r="H7" i="79"/>
  <c r="AB7" i="79"/>
  <c r="T48" i="79"/>
  <c r="J11" i="79"/>
  <c r="AC11" i="79"/>
  <c r="J7" i="79"/>
  <c r="AC7" i="79"/>
  <c r="V48" i="79"/>
  <c r="R49" i="79"/>
  <c r="C48" i="79"/>
  <c r="D8" i="12"/>
  <c r="E7" i="12"/>
  <c r="C49" i="80"/>
  <c r="C4" i="12"/>
  <c r="F25" i="12"/>
  <c r="B24" i="1"/>
  <c r="C24" i="12"/>
  <c r="C26" i="12"/>
  <c r="D25" i="12"/>
  <c r="G47" i="21"/>
  <c r="E47" i="21"/>
  <c r="I47" i="79"/>
  <c r="G47" i="79"/>
  <c r="E47" i="79"/>
  <c r="G47" i="80"/>
  <c r="E47" i="80"/>
  <c r="D101" i="80"/>
  <c r="E101" i="80"/>
  <c r="F32" i="80"/>
  <c r="AA32" i="80"/>
  <c r="K17" i="80"/>
  <c r="D79" i="80"/>
  <c r="E79" i="80"/>
  <c r="R47" i="80"/>
  <c r="H32" i="80"/>
  <c r="AB32" i="80"/>
  <c r="T47" i="80"/>
  <c r="J32" i="80"/>
  <c r="AC32" i="80"/>
  <c r="D101" i="79"/>
  <c r="E101" i="79"/>
  <c r="F32" i="79"/>
  <c r="AA32" i="79"/>
  <c r="K17" i="79"/>
  <c r="D79" i="79"/>
  <c r="E79" i="79"/>
  <c r="F17" i="79"/>
  <c r="AA17" i="79"/>
  <c r="R47" i="79"/>
  <c r="H32" i="79"/>
  <c r="AB32" i="79"/>
  <c r="H17" i="79"/>
  <c r="AB17" i="79"/>
  <c r="T47" i="79"/>
  <c r="J32" i="79"/>
  <c r="AC32" i="79"/>
  <c r="J17" i="79"/>
  <c r="AC17" i="79"/>
  <c r="V47" i="79"/>
  <c r="J140" i="80"/>
  <c r="C145" i="80"/>
  <c r="K139" i="80"/>
  <c r="K145" i="80"/>
  <c r="K144" i="80"/>
  <c r="K143" i="80"/>
  <c r="J142" i="80"/>
  <c r="K141" i="80"/>
  <c r="B130" i="80"/>
  <c r="B128" i="80"/>
  <c r="B126"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D104" i="80"/>
  <c r="E104" i="80"/>
  <c r="F104" i="80"/>
  <c r="G104" i="80"/>
  <c r="H104" i="80"/>
  <c r="I104" i="80"/>
  <c r="J104" i="80"/>
  <c r="K104" i="80"/>
  <c r="L104" i="80"/>
  <c r="M104" i="80"/>
  <c r="D103" i="80"/>
  <c r="E103" i="80"/>
  <c r="F103" i="80"/>
  <c r="G103" i="80"/>
  <c r="H103" i="80"/>
  <c r="I103" i="80"/>
  <c r="J103" i="80"/>
  <c r="K103" i="80"/>
  <c r="L103" i="80"/>
  <c r="M103" i="80"/>
  <c r="M102" i="80"/>
  <c r="L102" i="80"/>
  <c r="K102" i="80"/>
  <c r="J102" i="80"/>
  <c r="I102" i="80"/>
  <c r="H102" i="80"/>
  <c r="G102" i="80"/>
  <c r="F102" i="80"/>
  <c r="E102" i="80"/>
  <c r="D102" i="80"/>
  <c r="C102"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K23" i="80"/>
  <c r="D85" i="80"/>
  <c r="E85" i="80"/>
  <c r="F85" i="80"/>
  <c r="G85" i="80"/>
  <c r="K21" i="80"/>
  <c r="D83" i="80"/>
  <c r="E83" i="80"/>
  <c r="F83" i="80"/>
  <c r="G83" i="80"/>
  <c r="K19" i="80"/>
  <c r="D81" i="80"/>
  <c r="E81" i="80"/>
  <c r="F81" i="80"/>
  <c r="G81" i="80"/>
  <c r="F79" i="80"/>
  <c r="G79" i="80"/>
  <c r="K15"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I54" i="80"/>
  <c r="J54" i="80"/>
  <c r="G54" i="80"/>
  <c r="H54" i="80"/>
  <c r="E54" i="80"/>
  <c r="F54" i="80"/>
  <c r="J8" i="80"/>
  <c r="AC8" i="80"/>
  <c r="J9" i="80"/>
  <c r="AC9" i="80"/>
  <c r="J10" i="80"/>
  <c r="AC10" i="80"/>
  <c r="J12" i="80"/>
  <c r="AC12" i="80"/>
  <c r="J13" i="80"/>
  <c r="AC13" i="80"/>
  <c r="J14" i="80"/>
  <c r="AC14" i="80"/>
  <c r="J15" i="80"/>
  <c r="AC15" i="80"/>
  <c r="J19" i="80"/>
  <c r="AC19" i="80"/>
  <c r="J21" i="80"/>
  <c r="AC21" i="80"/>
  <c r="J23" i="80"/>
  <c r="AC23" i="80"/>
  <c r="J25" i="80"/>
  <c r="AC25" i="80"/>
  <c r="J26" i="80"/>
  <c r="AC26" i="80"/>
  <c r="J27" i="80"/>
  <c r="AC27" i="80"/>
  <c r="J28" i="80"/>
  <c r="AC28" i="80"/>
  <c r="J29" i="80"/>
  <c r="AC29" i="80"/>
  <c r="J30" i="80"/>
  <c r="AC30" i="80"/>
  <c r="J31" i="80"/>
  <c r="AC31" i="80"/>
  <c r="J34" i="80"/>
  <c r="AC34" i="80"/>
  <c r="J35" i="80"/>
  <c r="AC35" i="80"/>
  <c r="J36" i="80"/>
  <c r="AC36" i="80"/>
  <c r="J37" i="80"/>
  <c r="AC37" i="80"/>
  <c r="J38" i="80"/>
  <c r="AC38" i="80"/>
  <c r="J39" i="80"/>
  <c r="AC39" i="80"/>
  <c r="J40" i="80"/>
  <c r="AC40" i="80"/>
  <c r="J41" i="80"/>
  <c r="AC41" i="80"/>
  <c r="J43" i="80"/>
  <c r="AC43" i="80"/>
  <c r="J44" i="80"/>
  <c r="AC44" i="80"/>
  <c r="J45" i="80"/>
  <c r="AC45" i="80"/>
  <c r="J46" i="80"/>
  <c r="AC46" i="80"/>
  <c r="I48" i="80"/>
  <c r="F8" i="80"/>
  <c r="AA8" i="80"/>
  <c r="F9" i="80"/>
  <c r="AA9" i="80"/>
  <c r="F10" i="80"/>
  <c r="AA10" i="80"/>
  <c r="F12" i="80"/>
  <c r="AA12" i="80"/>
  <c r="F13" i="80"/>
  <c r="AA13" i="80"/>
  <c r="F14" i="80"/>
  <c r="AA14" i="80"/>
  <c r="F15" i="80"/>
  <c r="AA15" i="80"/>
  <c r="F19" i="80"/>
  <c r="AA19" i="80"/>
  <c r="F21" i="80"/>
  <c r="AA21" i="80"/>
  <c r="F23" i="80"/>
  <c r="AA23" i="80"/>
  <c r="F25" i="80"/>
  <c r="AA25" i="80"/>
  <c r="F26" i="80"/>
  <c r="AA26" i="80"/>
  <c r="F27" i="80"/>
  <c r="AA27" i="80"/>
  <c r="F28" i="80"/>
  <c r="AA28" i="80"/>
  <c r="F29" i="80"/>
  <c r="AA29" i="80"/>
  <c r="F30" i="80"/>
  <c r="AA30" i="80"/>
  <c r="F31" i="80"/>
  <c r="AA31" i="80"/>
  <c r="F34" i="80"/>
  <c r="AA34" i="80"/>
  <c r="F35" i="80"/>
  <c r="AA35" i="80"/>
  <c r="F36" i="80"/>
  <c r="AA36" i="80"/>
  <c r="F37" i="80"/>
  <c r="AA37" i="80"/>
  <c r="F38" i="80"/>
  <c r="AA38" i="80"/>
  <c r="F39" i="80"/>
  <c r="AA39" i="80"/>
  <c r="F40" i="80"/>
  <c r="AA40" i="80"/>
  <c r="F41" i="80"/>
  <c r="AA41" i="80"/>
  <c r="F43" i="80"/>
  <c r="AA43" i="80"/>
  <c r="F44" i="80"/>
  <c r="AA44" i="80"/>
  <c r="F45" i="80"/>
  <c r="AA45" i="80"/>
  <c r="F46" i="80"/>
  <c r="AA46" i="80"/>
  <c r="E48" i="80"/>
  <c r="I53" i="80"/>
  <c r="J53" i="80"/>
  <c r="H8" i="80"/>
  <c r="AB8" i="80"/>
  <c r="H9" i="80"/>
  <c r="AB9" i="80"/>
  <c r="H10" i="80"/>
  <c r="AB10" i="80"/>
  <c r="H12" i="80"/>
  <c r="AB12" i="80"/>
  <c r="H13" i="80"/>
  <c r="AB13" i="80"/>
  <c r="H14" i="80"/>
  <c r="AB14" i="80"/>
  <c r="H15" i="80"/>
  <c r="AB15" i="80"/>
  <c r="H19" i="80"/>
  <c r="AB19" i="80"/>
  <c r="H21" i="80"/>
  <c r="AB21" i="80"/>
  <c r="H23" i="80"/>
  <c r="AB23" i="80"/>
  <c r="H25" i="80"/>
  <c r="AB25" i="80"/>
  <c r="H26" i="80"/>
  <c r="AB26" i="80"/>
  <c r="H27" i="80"/>
  <c r="AB27" i="80"/>
  <c r="H28" i="80"/>
  <c r="AB28" i="80"/>
  <c r="H29" i="80"/>
  <c r="AB29" i="80"/>
  <c r="H30" i="80"/>
  <c r="AB30" i="80"/>
  <c r="H31" i="80"/>
  <c r="AB31" i="80"/>
  <c r="H34" i="80"/>
  <c r="AB34" i="80"/>
  <c r="H35" i="80"/>
  <c r="AB35" i="80"/>
  <c r="H36" i="80"/>
  <c r="AB36" i="80"/>
  <c r="H37" i="80"/>
  <c r="AB37" i="80"/>
  <c r="H38" i="80"/>
  <c r="AB38" i="80"/>
  <c r="H39" i="80"/>
  <c r="AB39" i="80"/>
  <c r="H40" i="80"/>
  <c r="AB40" i="80"/>
  <c r="H41" i="80"/>
  <c r="AB41" i="80"/>
  <c r="H43" i="80"/>
  <c r="AB43" i="80"/>
  <c r="H44" i="80"/>
  <c r="AB44" i="80"/>
  <c r="H45" i="80"/>
  <c r="AB45" i="80"/>
  <c r="H46" i="80"/>
  <c r="AB46" i="80"/>
  <c r="G48" i="80"/>
  <c r="G53" i="80"/>
  <c r="H53" i="80"/>
  <c r="E53" i="80"/>
  <c r="F53" i="80"/>
  <c r="I52" i="80"/>
  <c r="J52" i="80"/>
  <c r="G52" i="80"/>
  <c r="H52" i="80"/>
  <c r="E52" i="80"/>
  <c r="F52" i="80"/>
  <c r="P49" i="80"/>
  <c r="P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3" i="80"/>
  <c r="D2" i="80"/>
  <c r="B2" i="80"/>
  <c r="B3"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I104" i="79"/>
  <c r="J104" i="79"/>
  <c r="K104" i="79"/>
  <c r="L104" i="79"/>
  <c r="M104" i="79"/>
  <c r="D103" i="79"/>
  <c r="E103" i="79"/>
  <c r="F103" i="79"/>
  <c r="G103" i="79"/>
  <c r="H103" i="79"/>
  <c r="I103" i="79"/>
  <c r="J103" i="79"/>
  <c r="K103" i="79"/>
  <c r="L103" i="79"/>
  <c r="M103" i="79"/>
  <c r="M102" i="79"/>
  <c r="L102" i="79"/>
  <c r="K102" i="79"/>
  <c r="J102" i="79"/>
  <c r="I102" i="79"/>
  <c r="H102" i="79"/>
  <c r="G102" i="79"/>
  <c r="F102" i="79"/>
  <c r="E102" i="79"/>
  <c r="D102" i="79"/>
  <c r="C102"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K23" i="79"/>
  <c r="D85" i="79"/>
  <c r="E85" i="79"/>
  <c r="F85" i="79"/>
  <c r="G85" i="79"/>
  <c r="K21" i="79"/>
  <c r="D83" i="79"/>
  <c r="E83" i="79"/>
  <c r="F83" i="79"/>
  <c r="G83" i="79"/>
  <c r="K19" i="79"/>
  <c r="D81" i="79"/>
  <c r="E81" i="79"/>
  <c r="F81" i="79"/>
  <c r="G81" i="79"/>
  <c r="F79" i="79"/>
  <c r="G79" i="79"/>
  <c r="K15"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J8" i="79"/>
  <c r="AC8" i="79"/>
  <c r="J9" i="79"/>
  <c r="AC9" i="79"/>
  <c r="J10" i="79"/>
  <c r="AC10" i="79"/>
  <c r="J12" i="79"/>
  <c r="AC12" i="79"/>
  <c r="J13" i="79"/>
  <c r="AC13" i="79"/>
  <c r="J14" i="79"/>
  <c r="AC14" i="79"/>
  <c r="J15" i="79"/>
  <c r="AC15" i="79"/>
  <c r="J19" i="79"/>
  <c r="AC19" i="79"/>
  <c r="J21" i="79"/>
  <c r="AC21" i="79"/>
  <c r="J23" i="79"/>
  <c r="AC23" i="79"/>
  <c r="J25" i="79"/>
  <c r="AC25" i="79"/>
  <c r="J26" i="79"/>
  <c r="AC26" i="79"/>
  <c r="J27" i="79"/>
  <c r="AC27" i="79"/>
  <c r="J28" i="79"/>
  <c r="AC28" i="79"/>
  <c r="J29" i="79"/>
  <c r="AC29" i="79"/>
  <c r="J30" i="79"/>
  <c r="AC30" i="79"/>
  <c r="J31" i="79"/>
  <c r="AC31"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I48" i="79"/>
  <c r="F8" i="79"/>
  <c r="AA8" i="79"/>
  <c r="F9" i="79"/>
  <c r="AA9" i="79"/>
  <c r="F10" i="79"/>
  <c r="AA10" i="79"/>
  <c r="F12" i="79"/>
  <c r="AA12" i="79"/>
  <c r="F13" i="79"/>
  <c r="AA13" i="79"/>
  <c r="F14" i="79"/>
  <c r="AA14" i="79"/>
  <c r="F15" i="79"/>
  <c r="AA15" i="79"/>
  <c r="F19" i="79"/>
  <c r="AA19" i="79"/>
  <c r="F21" i="79"/>
  <c r="AA21" i="79"/>
  <c r="F23" i="79"/>
  <c r="AA23" i="79"/>
  <c r="F25" i="79"/>
  <c r="AA25" i="79"/>
  <c r="F26" i="79"/>
  <c r="AA26" i="79"/>
  <c r="F27" i="79"/>
  <c r="AA27" i="79"/>
  <c r="F28" i="79"/>
  <c r="AA28" i="79"/>
  <c r="F29" i="79"/>
  <c r="AA29" i="79"/>
  <c r="F30" i="79"/>
  <c r="AA30" i="79"/>
  <c r="F31" i="79"/>
  <c r="AA31"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H8" i="79"/>
  <c r="AB8" i="79"/>
  <c r="H9" i="79"/>
  <c r="AB9" i="79"/>
  <c r="H10" i="79"/>
  <c r="AB10" i="79"/>
  <c r="H12" i="79"/>
  <c r="AB12" i="79"/>
  <c r="H13" i="79"/>
  <c r="AB13" i="79"/>
  <c r="H14" i="79"/>
  <c r="AB14" i="79"/>
  <c r="H15" i="79"/>
  <c r="AB15" i="79"/>
  <c r="H19" i="79"/>
  <c r="AB19" i="79"/>
  <c r="H21" i="79"/>
  <c r="AB21" i="79"/>
  <c r="H23" i="79"/>
  <c r="AB23" i="79"/>
  <c r="H25" i="79"/>
  <c r="AB25" i="79"/>
  <c r="H26" i="79"/>
  <c r="AB26" i="79"/>
  <c r="H27" i="79"/>
  <c r="AB27" i="79"/>
  <c r="H28" i="79"/>
  <c r="AB28" i="79"/>
  <c r="H29" i="79"/>
  <c r="AB29" i="79"/>
  <c r="H30" i="79"/>
  <c r="AB30" i="79"/>
  <c r="H31" i="79"/>
  <c r="AB31"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C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B3" i="79"/>
  <c r="E103" i="21"/>
  <c r="F103" i="21"/>
  <c r="G103" i="21"/>
  <c r="H103" i="21"/>
  <c r="I103" i="21"/>
  <c r="J103" i="21"/>
  <c r="K103" i="21"/>
  <c r="L103" i="21"/>
  <c r="M103" i="21"/>
  <c r="D103" i="21"/>
  <c r="D104" i="21"/>
  <c r="E104" i="21"/>
  <c r="F104" i="21"/>
  <c r="G104" i="21"/>
  <c r="H104" i="21"/>
  <c r="I104" i="21"/>
  <c r="J104" i="21"/>
  <c r="K104" i="21"/>
  <c r="L104" i="21"/>
  <c r="M104" i="21"/>
  <c r="BC5" i="3"/>
  <c r="BC10" i="3"/>
  <c r="K21" i="21"/>
  <c r="K19" i="21"/>
  <c r="K23" i="21"/>
  <c r="K17" i="21"/>
  <c r="K15" i="21"/>
  <c r="K11" i="39"/>
  <c r="D118" i="39"/>
  <c r="E118" i="39"/>
  <c r="F118" i="39"/>
  <c r="G118" i="39"/>
  <c r="H118" i="39"/>
  <c r="I118" i="39"/>
  <c r="J118" i="39"/>
  <c r="K118" i="39"/>
  <c r="L118" i="39"/>
  <c r="M118" i="39"/>
  <c r="D117" i="39"/>
  <c r="E117" i="39"/>
  <c r="F117" i="39"/>
  <c r="G117" i="39"/>
  <c r="H117" i="39"/>
  <c r="I117" i="39"/>
  <c r="J117" i="39"/>
  <c r="K117" i="39"/>
  <c r="L117" i="39"/>
  <c r="M117" i="39"/>
  <c r="I46" i="39"/>
  <c r="G46" i="39"/>
  <c r="E46" i="39"/>
  <c r="I38" i="39"/>
  <c r="G38" i="39"/>
  <c r="E38" i="39"/>
  <c r="I5" i="39"/>
  <c r="G5" i="39"/>
  <c r="E5" i="39"/>
  <c r="I7" i="39"/>
  <c r="G7" i="39"/>
  <c r="E7" i="39"/>
  <c r="A21" i="62"/>
  <c r="A20" i="62"/>
  <c r="A22" i="51"/>
  <c r="A21" i="51"/>
  <c r="A20" i="51"/>
  <c r="A14" i="62"/>
  <c r="A13" i="62"/>
  <c r="A2" i="53"/>
  <c r="A19" i="62"/>
  <c r="A12" i="62"/>
  <c r="A120" i="9"/>
  <c r="H2" i="52"/>
  <c r="A1" i="52"/>
  <c r="A3" i="53"/>
  <c r="L5" i="71"/>
  <c r="Q5" i="71"/>
  <c r="K5" i="71"/>
  <c r="P5" i="71"/>
  <c r="J5" i="71"/>
  <c r="O5" i="71"/>
  <c r="I5" i="71"/>
  <c r="N5" i="71"/>
  <c r="D5" i="43"/>
  <c r="A15" i="51"/>
  <c r="E11" i="76"/>
  <c r="E8" i="76"/>
  <c r="B13" i="76"/>
  <c r="B12" i="76"/>
  <c r="E9" i="76"/>
  <c r="B11" i="76"/>
  <c r="E10" i="76"/>
  <c r="E13" i="76"/>
  <c r="B9" i="76"/>
  <c r="E7" i="76"/>
  <c r="B10" i="76"/>
  <c r="B7" i="76"/>
  <c r="B8" i="76"/>
  <c r="E12" i="76"/>
  <c r="C76" i="9"/>
  <c r="I107" i="40"/>
  <c r="K6" i="4"/>
  <c r="B22" i="31"/>
  <c r="N56" i="9"/>
  <c r="M56" i="9"/>
  <c r="K56" i="9"/>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L1" i="73"/>
  <c r="F7" i="73"/>
  <c r="B74" i="72"/>
  <c r="D7" i="73"/>
  <c r="D4" i="73"/>
  <c r="F4" i="73"/>
  <c r="F6" i="73"/>
  <c r="F3" i="73"/>
  <c r="D3" i="73"/>
  <c r="F5" i="73"/>
  <c r="E20" i="43"/>
  <c r="I1" i="73"/>
  <c r="B39" i="1"/>
  <c r="D6"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P47" i="71"/>
  <c r="F47" i="71"/>
  <c r="V47" i="71"/>
  <c r="E47" i="71"/>
  <c r="C47" i="71"/>
  <c r="B47" i="71"/>
  <c r="S47" i="71"/>
  <c r="F46" i="71"/>
  <c r="F45" i="71"/>
  <c r="Q45" i="71"/>
  <c r="B46" i="71"/>
  <c r="D44" i="71"/>
  <c r="Q43" i="71"/>
  <c r="P43" i="71"/>
  <c r="O43" i="71"/>
  <c r="N43" i="71"/>
  <c r="Q42" i="71"/>
  <c r="P42" i="71"/>
  <c r="O42" i="71"/>
  <c r="N42" i="71"/>
  <c r="Q41" i="71"/>
  <c r="P41" i="71"/>
  <c r="O41" i="71"/>
  <c r="N41" i="71"/>
  <c r="E41" i="71"/>
  <c r="Q40" i="71"/>
  <c r="F41" i="71"/>
  <c r="F42" i="71"/>
  <c r="F43" i="71"/>
  <c r="V43" i="71"/>
  <c r="P40" i="71"/>
  <c r="O40" i="71"/>
  <c r="C41" i="71"/>
  <c r="N40" i="71"/>
  <c r="B41" i="71"/>
  <c r="B42" i="71"/>
  <c r="D40" i="71"/>
  <c r="Q39" i="71"/>
  <c r="P39" i="71"/>
  <c r="O39" i="71"/>
  <c r="N39" i="71"/>
  <c r="Q38" i="71"/>
  <c r="P38" i="71"/>
  <c r="O38" i="71"/>
  <c r="N38" i="71"/>
  <c r="Q37" i="71"/>
  <c r="P37" i="71"/>
  <c r="O37" i="71"/>
  <c r="N37" i="71"/>
  <c r="E37" i="71"/>
  <c r="Q36" i="71"/>
  <c r="F37" i="71"/>
  <c r="F38" i="71"/>
  <c r="F39" i="71"/>
  <c r="V39" i="71"/>
  <c r="P36" i="71"/>
  <c r="O36" i="71"/>
  <c r="C37" i="71"/>
  <c r="N36" i="71"/>
  <c r="B37" i="71"/>
  <c r="B38" i="71"/>
  <c r="D36" i="71"/>
  <c r="Q35" i="71"/>
  <c r="P35" i="71"/>
  <c r="O35" i="71"/>
  <c r="N35" i="71"/>
  <c r="Q34" i="71"/>
  <c r="P34" i="71"/>
  <c r="O34" i="71"/>
  <c r="N34" i="71"/>
  <c r="Q33" i="71"/>
  <c r="P33" i="71"/>
  <c r="O33" i="71"/>
  <c r="N33" i="71"/>
  <c r="E33" i="71"/>
  <c r="Q32" i="71"/>
  <c r="F33" i="71"/>
  <c r="F34" i="71"/>
  <c r="F35" i="71"/>
  <c r="V35" i="71"/>
  <c r="P32"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B22" i="71"/>
  <c r="B23" i="71"/>
  <c r="S23" i="71"/>
  <c r="D20" i="71"/>
  <c r="Q19" i="71"/>
  <c r="P19" i="71"/>
  <c r="O19" i="71"/>
  <c r="N19" i="71"/>
  <c r="AB18" i="71"/>
  <c r="Q18" i="71"/>
  <c r="P18" i="71"/>
  <c r="AA18" i="71"/>
  <c r="O18" i="71"/>
  <c r="Y18" i="71"/>
  <c r="Z18" i="71"/>
  <c r="N18" i="71"/>
  <c r="X18" i="71"/>
  <c r="Q17" i="71"/>
  <c r="AB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P13" i="71"/>
  <c r="AA13" i="71"/>
  <c r="O13" i="71"/>
  <c r="N13" i="71"/>
  <c r="X13" i="71"/>
  <c r="Q12" i="71"/>
  <c r="AB12" i="71"/>
  <c r="P12" i="71"/>
  <c r="O12" i="71"/>
  <c r="N12" i="71"/>
  <c r="D12" i="71"/>
  <c r="Q11" i="71"/>
  <c r="P11" i="71"/>
  <c r="AA11" i="71"/>
  <c r="O11" i="71"/>
  <c r="N11" i="71"/>
  <c r="X11" i="71"/>
  <c r="Q10" i="71"/>
  <c r="P10" i="71"/>
  <c r="AA10" i="71"/>
  <c r="O10" i="71"/>
  <c r="N10" i="71"/>
  <c r="X10" i="71"/>
  <c r="Q9" i="71"/>
  <c r="P9" i="71"/>
  <c r="AA9" i="71"/>
  <c r="O9" i="71"/>
  <c r="N9" i="71"/>
  <c r="X9" i="71"/>
  <c r="Q8" i="71"/>
  <c r="AB8" i="71"/>
  <c r="P8" i="71"/>
  <c r="O8" i="71"/>
  <c r="N8" i="71"/>
  <c r="D8" i="71"/>
  <c r="O7" i="71"/>
  <c r="N7" i="71"/>
  <c r="C13" i="71"/>
  <c r="Y12" i="71"/>
  <c r="Z12" i="71"/>
  <c r="B9" i="71"/>
  <c r="B10" i="71"/>
  <c r="B11" i="71"/>
  <c r="S11" i="71"/>
  <c r="X8" i="71"/>
  <c r="E9" i="71"/>
  <c r="E10" i="71"/>
  <c r="E11" i="71"/>
  <c r="U11" i="71"/>
  <c r="AA8" i="71"/>
  <c r="F9" i="71"/>
  <c r="F10" i="71"/>
  <c r="F11" i="71"/>
  <c r="V11" i="71"/>
  <c r="Y9" i="71"/>
  <c r="Z9" i="71"/>
  <c r="AB9" i="71"/>
  <c r="Y10" i="71"/>
  <c r="Z10" i="71"/>
  <c r="AB10" i="71"/>
  <c r="Y11" i="71"/>
  <c r="Z11" i="71"/>
  <c r="AB11" i="71"/>
  <c r="B13" i="71"/>
  <c r="B14" i="71"/>
  <c r="B15" i="71"/>
  <c r="S15" i="71"/>
  <c r="X12" i="71"/>
  <c r="E13" i="71"/>
  <c r="E14" i="71"/>
  <c r="E15" i="71"/>
  <c r="U15" i="71"/>
  <c r="AA12" i="71"/>
  <c r="F13" i="71"/>
  <c r="F14" i="71"/>
  <c r="F15" i="71"/>
  <c r="V15" i="71"/>
  <c r="Y13" i="71"/>
  <c r="Z13" i="71"/>
  <c r="AB13" i="71"/>
  <c r="Y14" i="71"/>
  <c r="Z14" i="71"/>
  <c r="AB14" i="71"/>
  <c r="Y15" i="71"/>
  <c r="Z15" i="71"/>
  <c r="AB15" i="71"/>
  <c r="B17" i="71"/>
  <c r="B18" i="71"/>
  <c r="B19" i="71"/>
  <c r="S19" i="71"/>
  <c r="X16" i="71"/>
  <c r="E17" i="71"/>
  <c r="E18" i="71"/>
  <c r="E19" i="71"/>
  <c r="U19" i="71"/>
  <c r="AA16" i="71"/>
  <c r="F17" i="71"/>
  <c r="F18" i="71"/>
  <c r="F19" i="71"/>
  <c r="V19" i="71"/>
  <c r="E22" i="71"/>
  <c r="E23" i="71"/>
  <c r="U23" i="71"/>
  <c r="B26" i="71"/>
  <c r="B27" i="71"/>
  <c r="S27" i="71"/>
  <c r="E26" i="71"/>
  <c r="E27" i="71"/>
  <c r="U27" i="71"/>
  <c r="B30" i="71"/>
  <c r="B31" i="71"/>
  <c r="S31" i="71"/>
  <c r="B35" i="71"/>
  <c r="S35" i="71"/>
  <c r="B39" i="71"/>
  <c r="S39" i="71"/>
  <c r="B43" i="71"/>
  <c r="S43" i="71"/>
  <c r="N47" i="71"/>
  <c r="C9" i="71"/>
  <c r="Y8" i="71"/>
  <c r="Z8" i="71"/>
  <c r="C17" i="71"/>
  <c r="Y16" i="71"/>
  <c r="Z16" i="71"/>
  <c r="C7" i="71"/>
  <c r="Y3" i="71"/>
  <c r="Z3" i="71"/>
  <c r="Y4" i="71"/>
  <c r="Z4" i="71"/>
  <c r="Y5" i="71"/>
  <c r="Z5" i="71"/>
  <c r="Y6" i="71"/>
  <c r="Z6" i="71"/>
  <c r="Y7" i="71"/>
  <c r="Z7" i="71"/>
  <c r="B7" i="71"/>
  <c r="B6" i="71"/>
  <c r="B5"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AO13" i="1"/>
  <c r="AO10" i="1"/>
  <c r="AO11" i="1"/>
  <c r="AO12" i="1"/>
  <c r="AO9" i="1"/>
  <c r="B9" i="70"/>
  <c r="B10" i="70"/>
  <c r="B12" i="70"/>
  <c r="B11" i="70"/>
  <c r="B13"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A9" i="1"/>
  <c r="A10" i="1"/>
  <c r="A11" i="1"/>
  <c r="A12" i="1"/>
  <c r="A13" i="1"/>
  <c r="B13" i="1"/>
  <c r="E13" i="1"/>
  <c r="B11" i="1"/>
  <c r="E11" i="1"/>
  <c r="B12" i="1"/>
  <c r="E12" i="1"/>
  <c r="B10" i="1"/>
  <c r="E10" i="1"/>
  <c r="B8" i="1"/>
  <c r="E8"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AX109" i="3"/>
  <c r="AW109" i="3"/>
  <c r="AV109" i="3"/>
  <c r="AC109" i="3"/>
  <c r="H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G98" i="3"/>
  <c r="AX97" i="3"/>
  <c r="AW97" i="3"/>
  <c r="AV97" i="3"/>
  <c r="AC97" i="3"/>
  <c r="H97" i="3"/>
  <c r="G97" i="3"/>
  <c r="AX96" i="3"/>
  <c r="AW96" i="3"/>
  <c r="AV96" i="3"/>
  <c r="AC96" i="3"/>
  <c r="H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AX89" i="3"/>
  <c r="AW89" i="3"/>
  <c r="AV89" i="3"/>
  <c r="AC89" i="3"/>
  <c r="H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AX80" i="3"/>
  <c r="AW80" i="3"/>
  <c r="AV80" i="3"/>
  <c r="AC80" i="3"/>
  <c r="H80" i="3"/>
  <c r="G80" i="3"/>
  <c r="AX79" i="3"/>
  <c r="AW79" i="3"/>
  <c r="AV79" i="3"/>
  <c r="AC79" i="3"/>
  <c r="H79" i="3"/>
  <c r="G79" i="3"/>
  <c r="AX78" i="3"/>
  <c r="AW78" i="3"/>
  <c r="AV78" i="3"/>
  <c r="AC78" i="3"/>
  <c r="H78" i="3"/>
  <c r="AX77" i="3"/>
  <c r="AW77" i="3"/>
  <c r="AV77" i="3"/>
  <c r="AC77" i="3"/>
  <c r="H77" i="3"/>
  <c r="AX76" i="3"/>
  <c r="AW76" i="3"/>
  <c r="AV76" i="3"/>
  <c r="AC76" i="3"/>
  <c r="H76" i="3"/>
  <c r="G76" i="3"/>
  <c r="AX75" i="3"/>
  <c r="AW75" i="3"/>
  <c r="AV75" i="3"/>
  <c r="AC75" i="3"/>
  <c r="H75" i="3"/>
  <c r="G75" i="3"/>
  <c r="AX74" i="3"/>
  <c r="AW74" i="3"/>
  <c r="AV74" i="3"/>
  <c r="AC74" i="3"/>
  <c r="H74" i="3"/>
  <c r="G74" i="3"/>
  <c r="AX73" i="3"/>
  <c r="AW73" i="3"/>
  <c r="AV73" i="3"/>
  <c r="AC73" i="3"/>
  <c r="H73" i="3"/>
  <c r="AX72" i="3"/>
  <c r="AW72" i="3"/>
  <c r="AV72" i="3"/>
  <c r="AC72" i="3"/>
  <c r="H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AX64" i="3"/>
  <c r="AW64" i="3"/>
  <c r="AV64" i="3"/>
  <c r="AC64" i="3"/>
  <c r="H64" i="3"/>
  <c r="G64" i="3"/>
  <c r="AX63" i="3"/>
  <c r="AW63" i="3"/>
  <c r="AV63" i="3"/>
  <c r="AC63" i="3"/>
  <c r="H63" i="3"/>
  <c r="G63" i="3"/>
  <c r="AX62" i="3"/>
  <c r="AW62" i="3"/>
  <c r="AV62" i="3"/>
  <c r="AC62" i="3"/>
  <c r="H62" i="3"/>
  <c r="AX61" i="3"/>
  <c r="AW61" i="3"/>
  <c r="AV61" i="3"/>
  <c r="AC61" i="3"/>
  <c r="H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AX34" i="3"/>
  <c r="AW34" i="3"/>
  <c r="AV34" i="3"/>
  <c r="AC34" i="3"/>
  <c r="H34" i="3"/>
  <c r="AX33" i="3"/>
  <c r="AW33" i="3"/>
  <c r="AV33" i="3"/>
  <c r="AC33" i="3"/>
  <c r="H33" i="3"/>
  <c r="AX32" i="3"/>
  <c r="AW32" i="3"/>
  <c r="AV32" i="3"/>
  <c r="AC32" i="3"/>
  <c r="H32" i="3"/>
  <c r="AX31" i="3"/>
  <c r="AW31" i="3"/>
  <c r="AV31" i="3"/>
  <c r="AC31" i="3"/>
  <c r="H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AX24" i="3"/>
  <c r="AW24" i="3"/>
  <c r="AV24" i="3"/>
  <c r="AC24" i="3"/>
  <c r="H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AX299" i="3"/>
  <c r="AW299" i="3"/>
  <c r="AV299" i="3"/>
  <c r="AC299" i="3"/>
  <c r="H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AX288" i="3"/>
  <c r="AW288" i="3"/>
  <c r="AV288" i="3"/>
  <c r="AC288" i="3"/>
  <c r="H288" i="3"/>
  <c r="AX287" i="3"/>
  <c r="AW287" i="3"/>
  <c r="AV287" i="3"/>
  <c r="AC287" i="3"/>
  <c r="H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AX266" i="3"/>
  <c r="AW266" i="3"/>
  <c r="AV266" i="3"/>
  <c r="AC266" i="3"/>
  <c r="H266" i="3"/>
  <c r="G266" i="3"/>
  <c r="AX265" i="3"/>
  <c r="AW265" i="3"/>
  <c r="AV265" i="3"/>
  <c r="AC265" i="3"/>
  <c r="H265" i="3"/>
  <c r="G265" i="3"/>
  <c r="AX264" i="3"/>
  <c r="AW264" i="3"/>
  <c r="AV264" i="3"/>
  <c r="AC264" i="3"/>
  <c r="H264" i="3"/>
  <c r="AX263" i="3"/>
  <c r="AW263" i="3"/>
  <c r="AV263" i="3"/>
  <c r="AC263" i="3"/>
  <c r="H263" i="3"/>
  <c r="AX262" i="3"/>
  <c r="AW262" i="3"/>
  <c r="AV262" i="3"/>
  <c r="AC262" i="3"/>
  <c r="H262" i="3"/>
  <c r="G262" i="3"/>
  <c r="AX261" i="3"/>
  <c r="AW261" i="3"/>
  <c r="AV261" i="3"/>
  <c r="AC261" i="3"/>
  <c r="H261" i="3"/>
  <c r="G261" i="3"/>
  <c r="AX260" i="3"/>
  <c r="AW260" i="3"/>
  <c r="AV260" i="3"/>
  <c r="AC260" i="3"/>
  <c r="H260" i="3"/>
  <c r="AX259" i="3"/>
  <c r="AW259" i="3"/>
  <c r="AV259" i="3"/>
  <c r="AC259" i="3"/>
  <c r="H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AX246" i="3"/>
  <c r="AW246" i="3"/>
  <c r="AV246" i="3"/>
  <c r="AC246" i="3"/>
  <c r="H246" i="3"/>
  <c r="G246" i="3"/>
  <c r="AX245" i="3"/>
  <c r="AW245" i="3"/>
  <c r="AV245" i="3"/>
  <c r="AC245" i="3"/>
  <c r="H245" i="3"/>
  <c r="G245" i="3"/>
  <c r="AX244" i="3"/>
  <c r="AW244" i="3"/>
  <c r="AV244" i="3"/>
  <c r="AC244" i="3"/>
  <c r="H244" i="3"/>
  <c r="AX243" i="3"/>
  <c r="AW243" i="3"/>
  <c r="AV243" i="3"/>
  <c r="AC243" i="3"/>
  <c r="H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AX230" i="3"/>
  <c r="AW230" i="3"/>
  <c r="AV230" i="3"/>
  <c r="AC230" i="3"/>
  <c r="H230" i="3"/>
  <c r="G230" i="3"/>
  <c r="AX229" i="3"/>
  <c r="AW229" i="3"/>
  <c r="AV229" i="3"/>
  <c r="AC229" i="3"/>
  <c r="H229" i="3"/>
  <c r="G229" i="3"/>
  <c r="AX228" i="3"/>
  <c r="AW228" i="3"/>
  <c r="AV228" i="3"/>
  <c r="AC228" i="3"/>
  <c r="H228" i="3"/>
  <c r="AX227" i="3"/>
  <c r="AW227" i="3"/>
  <c r="AV227" i="3"/>
  <c r="AC227" i="3"/>
  <c r="H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AX215" i="3"/>
  <c r="AW215" i="3"/>
  <c r="AV215" i="3"/>
  <c r="AC215" i="3"/>
  <c r="H215" i="3"/>
  <c r="AX214" i="3"/>
  <c r="AW214" i="3"/>
  <c r="AV214" i="3"/>
  <c r="AC214" i="3"/>
  <c r="H214" i="3"/>
  <c r="AX213" i="3"/>
  <c r="AW213" i="3"/>
  <c r="AV213" i="3"/>
  <c r="AC213" i="3"/>
  <c r="H213" i="3"/>
  <c r="G213" i="3"/>
  <c r="AX212" i="3"/>
  <c r="AW212" i="3"/>
  <c r="AV212" i="3"/>
  <c r="AC212" i="3"/>
  <c r="H212" i="3"/>
  <c r="G212" i="3"/>
  <c r="AX211" i="3"/>
  <c r="AW211" i="3"/>
  <c r="AV211" i="3"/>
  <c r="AC211" i="3"/>
  <c r="H211" i="3"/>
  <c r="G211" i="3"/>
  <c r="AX210" i="3"/>
  <c r="AW210" i="3"/>
  <c r="AV210" i="3"/>
  <c r="AC210" i="3"/>
  <c r="H210" i="3"/>
  <c r="AX209" i="3"/>
  <c r="AW209" i="3"/>
  <c r="AV209" i="3"/>
  <c r="AC209" i="3"/>
  <c r="H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G469" i="3"/>
  <c r="AX468" i="3"/>
  <c r="AW468" i="3"/>
  <c r="AV468" i="3"/>
  <c r="AC468" i="3"/>
  <c r="H468" i="3"/>
  <c r="AX467" i="3"/>
  <c r="AW467" i="3"/>
  <c r="AV467" i="3"/>
  <c r="AC467" i="3"/>
  <c r="H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AX422" i="3"/>
  <c r="AW422" i="3"/>
  <c r="AV422" i="3"/>
  <c r="AC422" i="3"/>
  <c r="H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G415" i="3"/>
  <c r="AX414" i="3"/>
  <c r="AW414" i="3"/>
  <c r="AV414" i="3"/>
  <c r="AC414" i="3"/>
  <c r="H414" i="3"/>
  <c r="G414" i="3"/>
  <c r="AX413" i="3"/>
  <c r="AW413" i="3"/>
  <c r="AV413" i="3"/>
  <c r="AC413" i="3"/>
  <c r="H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AX406" i="3"/>
  <c r="AW406" i="3"/>
  <c r="AV406" i="3"/>
  <c r="AC406" i="3"/>
  <c r="H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43" i="1"/>
  <c r="D78" i="9"/>
  <c r="F23" i="15"/>
  <c r="D24" i="15"/>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D10" i="3"/>
  <c r="BB10" i="3"/>
  <c r="H13" i="3"/>
  <c r="AC13" i="3"/>
  <c r="H14" i="3"/>
  <c r="AC14" i="3"/>
  <c r="G14" i="3"/>
  <c r="H15" i="3"/>
  <c r="AC15" i="3"/>
  <c r="H16" i="3"/>
  <c r="AC16" i="3"/>
  <c r="H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G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G542" i="3"/>
  <c r="H543" i="3"/>
  <c r="AC543" i="3"/>
  <c r="H544" i="3"/>
  <c r="AC544" i="3"/>
  <c r="H545" i="3"/>
  <c r="AC545" i="3"/>
  <c r="H546" i="3"/>
  <c r="AC546" i="3"/>
  <c r="H547" i="3"/>
  <c r="AC547" i="3"/>
  <c r="H548" i="3"/>
  <c r="AC548" i="3"/>
  <c r="H549" i="3"/>
  <c r="AC549" i="3"/>
  <c r="H550" i="3"/>
  <c r="AC550" i="3"/>
  <c r="H551" i="3"/>
  <c r="AC551" i="3"/>
  <c r="G551" i="3"/>
  <c r="H552" i="3"/>
  <c r="AC552" i="3"/>
  <c r="G552" i="3"/>
  <c r="H553" i="3"/>
  <c r="AC553" i="3"/>
  <c r="H554" i="3"/>
  <c r="AC554" i="3"/>
  <c r="H555" i="3"/>
  <c r="AC555" i="3"/>
  <c r="H556" i="3"/>
  <c r="AC556" i="3"/>
  <c r="G556" i="3"/>
  <c r="H557" i="3"/>
  <c r="H558" i="3"/>
  <c r="AC558" i="3"/>
  <c r="H559" i="3"/>
  <c r="AC559" i="3"/>
  <c r="H560" i="3"/>
  <c r="AC560" i="3"/>
  <c r="H561" i="3"/>
  <c r="AC561" i="3"/>
  <c r="H562" i="3"/>
  <c r="AC562" i="3"/>
  <c r="G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D77" i="21"/>
  <c r="E77" i="21"/>
  <c r="B130" i="21"/>
  <c r="B128" i="21"/>
  <c r="J45" i="21"/>
  <c r="W45" i="21"/>
  <c r="B126" i="21"/>
  <c r="B98" i="21"/>
  <c r="H31" i="21"/>
  <c r="B96" i="21"/>
  <c r="F30" i="21"/>
  <c r="S30" i="21"/>
  <c r="B94" i="21"/>
  <c r="J29" i="21"/>
  <c r="AC29" i="21"/>
  <c r="B92" i="21"/>
  <c r="H28" i="21"/>
  <c r="AB28"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BB12" i="3"/>
  <c r="F7" i="12"/>
  <c r="G7" i="12"/>
  <c r="K5" i="3"/>
  <c r="G3" i="4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U34" i="40"/>
  <c r="S38" i="40"/>
  <c r="S39" i="40"/>
  <c r="W39"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S19" i="39"/>
  <c r="C15" i="39"/>
  <c r="H32" i="33"/>
  <c r="AB32" i="33"/>
  <c r="U11" i="21"/>
  <c r="W11" i="21"/>
  <c r="H37" i="40"/>
  <c r="U37" i="40"/>
  <c r="H36" i="40"/>
  <c r="AB36" i="40"/>
  <c r="F35" i="40"/>
  <c r="AA35" i="40"/>
  <c r="H23" i="40"/>
  <c r="AB23" i="40"/>
  <c r="H17" i="40"/>
  <c r="U17" i="40"/>
  <c r="J15" i="40"/>
  <c r="W15" i="40"/>
  <c r="J11" i="40"/>
  <c r="W11" i="40"/>
  <c r="AB8" i="39"/>
  <c r="AC12" i="33"/>
  <c r="AB12" i="33"/>
  <c r="AC12" i="34"/>
  <c r="AA12" i="34"/>
  <c r="AB12" i="35"/>
  <c r="AB12" i="36"/>
  <c r="W32" i="40"/>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F28" i="21"/>
  <c r="AA28" i="21"/>
  <c r="H30" i="21"/>
  <c r="U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5"/>
  <c r="J10" i="36"/>
  <c r="AC10" i="36"/>
  <c r="AB26" i="33"/>
  <c r="W31" i="34"/>
  <c r="AC13" i="36"/>
  <c r="W13" i="36"/>
  <c r="S11" i="36"/>
  <c r="W11" i="36"/>
  <c r="AB46" i="34"/>
  <c r="AA14" i="34"/>
  <c r="AB45" i="33"/>
  <c r="U31" i="33"/>
  <c r="U13" i="33"/>
  <c r="F15" i="21"/>
  <c r="S15"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W27" i="39"/>
  <c r="AB34"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J5" i="3"/>
  <c r="BH5" i="3"/>
  <c r="BF5" i="3"/>
  <c r="BD5" i="3"/>
  <c r="AC5" i="3"/>
  <c r="G548" i="3"/>
  <c r="G538" i="3"/>
  <c r="G520" i="3"/>
  <c r="G502" i="3"/>
  <c r="BK5" i="3"/>
  <c r="BI5" i="3"/>
  <c r="BG5" i="3"/>
  <c r="BE5" i="3"/>
  <c r="G509" i="3"/>
  <c r="U36" i="40"/>
  <c r="N4" i="43"/>
  <c r="F36" i="43"/>
  <c r="F81" i="43"/>
  <c r="H83" i="43"/>
  <c r="H113" i="43"/>
  <c r="F48" i="43"/>
  <c r="H52" i="43"/>
  <c r="N7" i="43"/>
  <c r="F70" i="43"/>
  <c r="H73" i="43"/>
  <c r="M6" i="43"/>
  <c r="M11" i="43"/>
  <c r="E17" i="43"/>
  <c r="F39" i="43"/>
  <c r="I17" i="43"/>
  <c r="F35" i="43"/>
  <c r="J17" i="43"/>
  <c r="F6" i="1"/>
  <c r="U17" i="39"/>
  <c r="S14" i="35"/>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G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J23" i="39"/>
  <c r="AC23" i="39"/>
  <c r="C40" i="11"/>
  <c r="H75" i="43"/>
  <c r="H74" i="43"/>
  <c r="H50" i="43"/>
  <c r="H49" i="43"/>
  <c r="H48" i="43"/>
  <c r="I20" i="43"/>
  <c r="F23" i="39"/>
  <c r="AA23" i="39"/>
  <c r="F97" i="39"/>
  <c r="H27" i="36"/>
  <c r="U27" i="36"/>
  <c r="F27" i="36"/>
  <c r="AA27" i="36"/>
  <c r="H33" i="34"/>
  <c r="U33" i="34"/>
  <c r="AA39" i="34"/>
  <c r="F32" i="37"/>
  <c r="AA32" i="37"/>
  <c r="G96" i="37"/>
  <c r="H96" i="37"/>
  <c r="I96" i="37"/>
  <c r="J96" i="37"/>
  <c r="K96" i="37"/>
  <c r="L96" i="37"/>
  <c r="M96" i="37"/>
  <c r="F20" i="36"/>
  <c r="AA20" i="36"/>
  <c r="J33" i="34"/>
  <c r="AC33" i="34"/>
  <c r="H23" i="39"/>
  <c r="U23" i="39"/>
  <c r="G97" i="39"/>
  <c r="D48" i="9"/>
  <c r="M52" i="9"/>
  <c r="H86" i="43"/>
  <c r="H82" i="43"/>
  <c r="H87" i="43"/>
  <c r="F3" i="35"/>
  <c r="D93" i="9"/>
  <c r="J51" i="15"/>
  <c r="AE9" i="1"/>
  <c r="U12" i="37"/>
  <c r="W14" i="37"/>
  <c r="U43" i="33"/>
  <c r="AA41" i="34"/>
  <c r="S44" i="34"/>
  <c r="W29" i="33"/>
  <c r="S45" i="33"/>
  <c r="AC30" i="34"/>
  <c r="W11" i="35"/>
  <c r="AA14" i="37"/>
  <c r="AB11" i="36"/>
  <c r="U30" i="33"/>
  <c r="AC13" i="34"/>
  <c r="AA47" i="34"/>
  <c r="W28" i="37"/>
  <c r="AA29" i="35"/>
  <c r="S41" i="33"/>
  <c r="AB23" i="34"/>
  <c r="U33" i="35"/>
  <c r="AA32" i="36"/>
  <c r="S32" i="36"/>
  <c r="AC31" i="40"/>
  <c r="W31" i="40"/>
  <c r="F12" i="33"/>
  <c r="F44" i="39"/>
  <c r="J38" i="40"/>
  <c r="AC38" i="40"/>
  <c r="F40" i="40"/>
  <c r="G574" i="3"/>
  <c r="G558" i="3"/>
  <c r="AP8" i="1"/>
  <c r="A15" i="62"/>
  <c r="B61" i="72"/>
  <c r="G400" i="3"/>
  <c r="G406" i="3"/>
  <c r="G407" i="3"/>
  <c r="G413" i="3"/>
  <c r="G416" i="3"/>
  <c r="G422" i="3"/>
  <c r="G423" i="3"/>
  <c r="G445" i="3"/>
  <c r="G453" i="3"/>
  <c r="G456" i="3"/>
  <c r="G457" i="3"/>
  <c r="G467" i="3"/>
  <c r="G468" i="3"/>
  <c r="G471" i="3"/>
  <c r="G472" i="3"/>
  <c r="G473" i="3"/>
  <c r="G323" i="3"/>
  <c r="G345" i="3"/>
  <c r="G374" i="3"/>
  <c r="G382" i="3"/>
  <c r="G387" i="3"/>
  <c r="G209" i="3"/>
  <c r="G210" i="3"/>
  <c r="G214" i="3"/>
  <c r="G215" i="3"/>
  <c r="G216" i="3"/>
  <c r="G221" i="3"/>
  <c r="G227" i="3"/>
  <c r="G228" i="3"/>
  <c r="G231" i="3"/>
  <c r="G243" i="3"/>
  <c r="G244" i="3"/>
  <c r="G247" i="3"/>
  <c r="G259" i="3"/>
  <c r="G260" i="3"/>
  <c r="G263" i="3"/>
  <c r="G264" i="3"/>
  <c r="G267" i="3"/>
  <c r="G278" i="3"/>
  <c r="G287" i="3"/>
  <c r="G288" i="3"/>
  <c r="G289" i="3"/>
  <c r="G294" i="3"/>
  <c r="G299" i="3"/>
  <c r="G300" i="3"/>
  <c r="G118" i="3"/>
  <c r="G128" i="3"/>
  <c r="G134" i="3"/>
  <c r="G140" i="3"/>
  <c r="G148" i="3"/>
  <c r="G156" i="3"/>
  <c r="G164" i="3"/>
  <c r="G172" i="3"/>
  <c r="G180" i="3"/>
  <c r="G188" i="3"/>
  <c r="G196" i="3"/>
  <c r="D1" i="66"/>
  <c r="E10" i="66"/>
  <c r="G200" i="3"/>
  <c r="G24" i="3"/>
  <c r="G25" i="3"/>
  <c r="G31" i="3"/>
  <c r="G32" i="3"/>
  <c r="G33" i="3"/>
  <c r="G34" i="3"/>
  <c r="G35" i="3"/>
  <c r="G45" i="3"/>
  <c r="G46" i="3"/>
  <c r="G49" i="3"/>
  <c r="G61" i="3"/>
  <c r="G62" i="3"/>
  <c r="G65" i="3"/>
  <c r="G72" i="3"/>
  <c r="G73" i="3"/>
  <c r="G77" i="3"/>
  <c r="G78" i="3"/>
  <c r="G81" i="3"/>
  <c r="G89" i="3"/>
  <c r="G90" i="3"/>
  <c r="G96" i="3"/>
  <c r="G99" i="3"/>
  <c r="G109" i="3"/>
  <c r="G110" i="3"/>
  <c r="H100" i="43"/>
  <c r="C30" i="66"/>
  <c r="E26" i="66"/>
  <c r="F8" i="1"/>
  <c r="G8" i="1"/>
  <c r="H113" i="21"/>
  <c r="H37" i="21"/>
  <c r="U37" i="21"/>
  <c r="F81" i="21"/>
  <c r="G81" i="21"/>
  <c r="H19" i="21"/>
  <c r="H15" i="39"/>
  <c r="U15" i="39"/>
  <c r="F89" i="39"/>
  <c r="G89" i="39"/>
  <c r="F15" i="39"/>
  <c r="AA15" i="39"/>
  <c r="J15" i="39"/>
  <c r="W15" i="39"/>
  <c r="W23" i="39"/>
  <c r="U40" i="39"/>
  <c r="AC12" i="39"/>
  <c r="W12" i="39"/>
  <c r="U43" i="21"/>
  <c r="U35" i="21"/>
  <c r="W44" i="21"/>
  <c r="AA12" i="21"/>
  <c r="J13" i="21"/>
  <c r="AC13" i="21"/>
  <c r="U26" i="21"/>
  <c r="AB30" i="21"/>
  <c r="J28" i="21"/>
  <c r="S13" i="1"/>
  <c r="R13" i="1"/>
  <c r="S11" i="1"/>
  <c r="R11" i="1"/>
  <c r="S9" i="1"/>
  <c r="R9" i="1"/>
  <c r="S12" i="1"/>
  <c r="R12" i="1"/>
  <c r="S10" i="1"/>
  <c r="R10" i="1"/>
  <c r="E12" i="6"/>
  <c r="E15" i="6"/>
  <c r="E60" i="40"/>
  <c r="E13" i="6"/>
  <c r="E58" i="40"/>
  <c r="E63" i="39"/>
  <c r="F22" i="43"/>
  <c r="C101" i="43"/>
  <c r="C104" i="43"/>
  <c r="B113" i="43"/>
  <c r="B115" i="43"/>
  <c r="C115" i="43"/>
  <c r="K101" i="43"/>
  <c r="K103" i="43"/>
  <c r="F101" i="43"/>
  <c r="F104" i="43"/>
  <c r="N101" i="43"/>
  <c r="N102" i="43"/>
  <c r="E22" i="43"/>
  <c r="G101" i="43"/>
  <c r="G105" i="43"/>
  <c r="J101" i="43"/>
  <c r="J104" i="43"/>
  <c r="N104" i="46"/>
  <c r="J51" i="67"/>
  <c r="AC34" i="33"/>
  <c r="AA34" i="33"/>
  <c r="D117" i="43"/>
  <c r="E117" i="43"/>
  <c r="F117" i="43"/>
  <c r="G117" i="43"/>
  <c r="H117" i="43"/>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G95" i="39"/>
  <c r="W19" i="39"/>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C18" i="9"/>
  <c r="D18" i="9"/>
  <c r="F34" i="67"/>
  <c r="F62" i="67"/>
  <c r="M20" i="67"/>
  <c r="F34" i="15"/>
  <c r="F62" i="15"/>
  <c r="G13" i="3"/>
  <c r="E10" i="6"/>
  <c r="E11" i="6"/>
  <c r="E65" i="39"/>
  <c r="G30" i="6"/>
  <c r="G31" i="6"/>
  <c r="J56" i="9"/>
  <c r="J57" i="9"/>
  <c r="A24" i="51"/>
  <c r="B18" i="72"/>
  <c r="U29" i="34"/>
  <c r="E14" i="6"/>
  <c r="E64" i="39"/>
  <c r="D9" i="11"/>
  <c r="C9" i="11"/>
  <c r="J105" i="43"/>
  <c r="H22" i="43"/>
  <c r="L101" i="43"/>
  <c r="L109" i="43"/>
  <c r="H101" i="43"/>
  <c r="D101" i="43"/>
  <c r="D109" i="43"/>
  <c r="M101" i="43"/>
  <c r="M109" i="43"/>
  <c r="I101" i="43"/>
  <c r="I109" i="43"/>
  <c r="E101" i="43"/>
  <c r="G22" i="43"/>
  <c r="E32" i="6"/>
  <c r="L19" i="6"/>
  <c r="G1" i="68"/>
  <c r="K1" i="12"/>
  <c r="F30" i="6"/>
  <c r="E69" i="3"/>
  <c r="N105" i="43"/>
  <c r="J102" i="43"/>
  <c r="F102"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F105" i="43"/>
  <c r="E61" i="39"/>
  <c r="E56" i="40"/>
  <c r="E278" i="3"/>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K1" i="73"/>
  <c r="G41" i="69"/>
  <c r="G22" i="69"/>
  <c r="G41" i="68"/>
  <c r="G22" i="68"/>
  <c r="G27" i="12"/>
  <c r="G26" i="12"/>
  <c r="G41" i="11"/>
  <c r="G22" i="11"/>
  <c r="G25" i="12"/>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7" i="40"/>
  <c r="M47" i="9"/>
  <c r="T35" i="4"/>
  <c r="A19" i="51"/>
  <c r="B14" i="72"/>
  <c r="C46" i="36"/>
  <c r="D46" i="36"/>
  <c r="E46" i="36"/>
  <c r="C59" i="34"/>
  <c r="D59" i="34"/>
  <c r="C52" i="37"/>
  <c r="D52" i="37"/>
  <c r="C63" i="40"/>
  <c r="P24" i="43"/>
  <c r="B66" i="40"/>
  <c r="A4" i="51"/>
  <c r="B6" i="72"/>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K15" i="1"/>
  <c r="E62" i="39"/>
  <c r="E56" i="39"/>
  <c r="E51" i="40"/>
  <c r="B6" i="1"/>
  <c r="E6"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c r="B20" i="49"/>
  <c r="B8" i="49"/>
  <c r="E18" i="49"/>
  <c r="E4" i="49"/>
  <c r="E11" i="49"/>
  <c r="M28" i="67"/>
  <c r="F6" i="67"/>
  <c r="L47" i="67"/>
  <c r="M23" i="15"/>
  <c r="F13" i="15"/>
  <c r="M26" i="15"/>
  <c r="M29" i="15"/>
  <c r="F16" i="67"/>
  <c r="M8" i="15"/>
  <c r="F26" i="15"/>
  <c r="J15" i="15"/>
  <c r="F8" i="67"/>
  <c r="F37" i="67"/>
  <c r="F9" i="15"/>
  <c r="F43" i="67"/>
  <c r="M9" i="67"/>
  <c r="C76" i="15"/>
  <c r="M29" i="67"/>
  <c r="M24" i="67"/>
  <c r="M28" i="15"/>
  <c r="F7" i="67"/>
  <c r="F38" i="67"/>
  <c r="C76" i="67"/>
  <c r="F40" i="67"/>
  <c r="M9" i="15"/>
  <c r="M26" i="67"/>
  <c r="F36" i="15"/>
  <c r="M8" i="67"/>
  <c r="F9" i="67"/>
  <c r="M22" i="15"/>
  <c r="F42" i="15"/>
  <c r="F26" i="67"/>
  <c r="M24" i="15"/>
  <c r="F36" i="67"/>
  <c r="M23" i="67"/>
  <c r="F43" i="15"/>
  <c r="M22" i="67"/>
  <c r="F40" i="15"/>
  <c r="F8" i="15"/>
  <c r="M6" i="15"/>
  <c r="L47" i="15"/>
  <c r="F37" i="15"/>
  <c r="F6" i="15"/>
  <c r="F13" i="67"/>
  <c r="F38" i="15"/>
  <c r="J15" i="67"/>
  <c r="M6" i="67"/>
  <c r="F42" i="67"/>
  <c r="F7" i="15"/>
  <c r="F16" i="15"/>
  <c r="L48" i="15"/>
  <c r="L48" i="67"/>
  <c r="S12" i="33"/>
  <c r="AA12" i="33"/>
  <c r="AA29" i="21"/>
  <c r="C7" i="43"/>
  <c r="B30" i="9"/>
  <c r="AA40" i="40"/>
  <c r="S40" i="40"/>
  <c r="AA44" i="39"/>
  <c r="S44" i="39"/>
  <c r="AB19" i="21"/>
  <c r="U19" i="21"/>
  <c r="S15" i="39"/>
  <c r="F109" i="43"/>
  <c r="J109" i="43"/>
  <c r="J106" i="43"/>
  <c r="F103" i="43"/>
  <c r="I116" i="43"/>
  <c r="J116" i="43"/>
  <c r="K116" i="43"/>
  <c r="L116" i="43"/>
  <c r="M116" i="43"/>
  <c r="B118" i="43"/>
  <c r="C118" i="43"/>
  <c r="G118" i="43"/>
  <c r="H118" i="43"/>
  <c r="D116" i="43"/>
  <c r="E116" i="43"/>
  <c r="F116" i="43"/>
  <c r="G116" i="43"/>
  <c r="H116" i="43"/>
  <c r="F106" i="43"/>
  <c r="F107" i="43"/>
  <c r="J107" i="43"/>
  <c r="W17" i="21"/>
  <c r="W28" i="21"/>
  <c r="AC28" i="21"/>
  <c r="J103" i="43"/>
  <c r="I115" i="43"/>
  <c r="J115" i="43"/>
  <c r="K115" i="43"/>
  <c r="L115" i="43"/>
  <c r="M115" i="43"/>
  <c r="L20" i="6"/>
  <c r="C109" i="43"/>
  <c r="N107" i="43"/>
  <c r="K105" i="43"/>
  <c r="G107" i="43"/>
  <c r="K20" i="6"/>
  <c r="S7" i="1"/>
  <c r="C103" i="43"/>
  <c r="F31" i="6"/>
  <c r="D9" i="69"/>
  <c r="C9" i="69"/>
  <c r="N109" i="43"/>
  <c r="G106" i="43"/>
  <c r="G104" i="43"/>
  <c r="K102" i="43"/>
  <c r="C107" i="43"/>
  <c r="G102" i="43"/>
  <c r="E563" i="3"/>
  <c r="D22" i="43"/>
  <c r="E66" i="39"/>
  <c r="N104" i="43"/>
  <c r="C102" i="43"/>
  <c r="K106" i="43"/>
  <c r="G103" i="43"/>
  <c r="K104" i="43"/>
  <c r="K107" i="43"/>
  <c r="C105" i="43"/>
  <c r="N106" i="43"/>
  <c r="N103" i="43"/>
  <c r="C106" i="43"/>
  <c r="E395" i="3"/>
  <c r="E415" i="3"/>
  <c r="E114" i="3"/>
  <c r="E565" i="3"/>
  <c r="E528" i="3"/>
  <c r="E304" i="3"/>
  <c r="E261" i="3"/>
  <c r="E237" i="3"/>
  <c r="E343" i="3"/>
  <c r="E553" i="3"/>
  <c r="E501" i="3"/>
  <c r="E526" i="3"/>
  <c r="E530" i="3"/>
  <c r="E366" i="3"/>
  <c r="E319" i="3"/>
  <c r="E217" i="3"/>
  <c r="E175" i="3"/>
  <c r="E125" i="3"/>
  <c r="E53" i="3"/>
  <c r="E16" i="6"/>
  <c r="E59" i="40"/>
  <c r="E302" i="3"/>
  <c r="E328" i="3"/>
  <c r="E535" i="3"/>
  <c r="AJ6" i="3"/>
  <c r="E503" i="3"/>
  <c r="E508" i="3"/>
  <c r="E550" i="3"/>
  <c r="N6" i="3"/>
  <c r="E17" i="3"/>
  <c r="E426" i="3"/>
  <c r="E445" i="3"/>
  <c r="E322" i="3"/>
  <c r="E361" i="3"/>
  <c r="E305" i="3"/>
  <c r="E260" i="3"/>
  <c r="E282" i="3"/>
  <c r="E213" i="3"/>
  <c r="E153" i="3"/>
  <c r="E172" i="3"/>
  <c r="E268" i="3"/>
  <c r="E183" i="3"/>
  <c r="E4" i="4"/>
  <c r="K4" i="4"/>
  <c r="B46" i="48"/>
  <c r="C28" i="67"/>
  <c r="C48" i="69"/>
  <c r="C30" i="68"/>
  <c r="C28" i="15"/>
  <c r="C30" i="69"/>
  <c r="C48" i="68"/>
  <c r="C77" i="9"/>
  <c r="C74" i="9"/>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62"/>
  <c r="C10" i="15"/>
  <c r="L27" i="6"/>
  <c r="M20" i="6"/>
  <c r="I20" i="6"/>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6" i="15"/>
  <c r="C10" i="67"/>
  <c r="AP7" i="1"/>
  <c r="C36" i="69"/>
  <c r="H16" i="1"/>
  <c r="AB45" i="21"/>
  <c r="W33" i="21"/>
  <c r="S33" i="21"/>
  <c r="W32" i="21"/>
  <c r="AC32" i="21"/>
  <c r="AB9" i="21"/>
  <c r="U9" i="21"/>
  <c r="AA32" i="21"/>
  <c r="S32" i="21"/>
  <c r="W9" i="21"/>
  <c r="AC9" i="21"/>
  <c r="AB32" i="21"/>
  <c r="U32" i="21"/>
  <c r="AA10" i="21"/>
  <c r="S10" i="21"/>
  <c r="C16" i="15"/>
  <c r="F31" i="15"/>
  <c r="M17" i="67"/>
  <c r="F59" i="15"/>
  <c r="C16" i="67"/>
  <c r="M17" i="15"/>
  <c r="C17" i="15"/>
  <c r="F31" i="67"/>
  <c r="F59" i="67"/>
  <c r="B4" i="72"/>
  <c r="B71" i="72"/>
  <c r="D30" i="9"/>
  <c r="C30" i="9"/>
  <c r="C25" i="9"/>
  <c r="M21" i="6"/>
  <c r="I21" i="6"/>
  <c r="S21" i="6"/>
  <c r="S8" i="1"/>
  <c r="AR6" i="1"/>
  <c r="K27" i="6"/>
  <c r="C23" i="43"/>
  <c r="C21" i="43"/>
  <c r="C29" i="43"/>
  <c r="S7" i="43"/>
  <c r="S4" i="43"/>
  <c r="S6" i="43"/>
  <c r="S2" i="43"/>
  <c r="T2" i="43"/>
  <c r="V2" i="43"/>
  <c r="S5" i="43"/>
  <c r="S3" i="43"/>
  <c r="T3" i="43"/>
  <c r="V3" i="43"/>
  <c r="K16" i="1"/>
  <c r="M19" i="6"/>
  <c r="I19" i="6"/>
  <c r="B14" i="74"/>
  <c r="B1" i="74"/>
  <c r="D3" i="34"/>
  <c r="D3" i="33"/>
  <c r="D3" i="21"/>
  <c r="B5" i="62"/>
  <c r="A18" i="62"/>
  <c r="B64" i="72"/>
  <c r="C33" i="43"/>
  <c r="C35" i="43"/>
  <c r="C36" i="43"/>
  <c r="C34"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4" i="15"/>
  <c r="C24" i="15"/>
  <c r="F22" i="11"/>
  <c r="F22" i="69"/>
  <c r="F24" i="67"/>
  <c r="C24" i="67"/>
  <c r="T11" i="43"/>
  <c r="V11" i="43"/>
  <c r="T16" i="43"/>
  <c r="V16" i="43"/>
  <c r="T14" i="43"/>
  <c r="V14" i="43"/>
  <c r="T12" i="43"/>
  <c r="V12" i="43"/>
  <c r="T9" i="43"/>
  <c r="V9" i="43"/>
  <c r="T7" i="43"/>
  <c r="V7" i="43"/>
  <c r="T8" i="43"/>
  <c r="V8" i="43"/>
  <c r="T15" i="43"/>
  <c r="V15" i="43"/>
  <c r="T13" i="43"/>
  <c r="V13" i="43"/>
  <c r="T10" i="43"/>
  <c r="V10" i="43"/>
  <c r="T5" i="43"/>
  <c r="V5" i="43"/>
  <c r="T6" i="43"/>
  <c r="V6" i="43"/>
  <c r="T4" i="43"/>
  <c r="V4" i="43"/>
  <c r="F1" i="15"/>
  <c r="Q52" i="15"/>
  <c r="C39" i="43"/>
  <c r="E39" i="43"/>
  <c r="G33" i="43"/>
  <c r="I33" i="43"/>
  <c r="E36" i="43"/>
  <c r="C37" i="43"/>
  <c r="G37" i="43"/>
  <c r="I37" i="43"/>
  <c r="H7" i="35"/>
  <c r="F7" i="37"/>
  <c r="J7" i="35"/>
  <c r="F7" i="35"/>
  <c r="J7" i="36"/>
  <c r="H7" i="36"/>
  <c r="U7" i="36"/>
  <c r="J7" i="37"/>
  <c r="G59" i="34"/>
  <c r="H59" i="34"/>
  <c r="I59" i="34"/>
  <c r="J59" i="34"/>
  <c r="K59" i="34"/>
  <c r="L59" i="34"/>
  <c r="M59" i="34"/>
  <c r="N59" i="34"/>
  <c r="O59" i="34"/>
  <c r="E63" i="40"/>
  <c r="D65" i="40"/>
  <c r="J7" i="34"/>
  <c r="G39" i="43"/>
  <c r="I39" i="43"/>
  <c r="C53" i="15"/>
  <c r="J10" i="67"/>
  <c r="C53" i="67"/>
  <c r="C5" i="67"/>
  <c r="C32" i="67"/>
  <c r="S20" i="6"/>
  <c r="M27" i="6"/>
  <c r="Q61" i="15"/>
  <c r="C49" i="15"/>
  <c r="Q60" i="15"/>
  <c r="M16" i="1"/>
  <c r="Q60" i="67"/>
  <c r="Q73" i="67"/>
  <c r="Q61" i="67"/>
  <c r="Q74" i="67"/>
  <c r="C49" i="67"/>
  <c r="F1" i="67"/>
  <c r="Q52" i="67"/>
  <c r="B73" i="72"/>
  <c r="C24" i="9"/>
  <c r="AQ8" i="1"/>
  <c r="AR8" i="1"/>
  <c r="T8" i="1"/>
  <c r="E37" i="43"/>
  <c r="AA7" i="36"/>
  <c r="R36" i="36"/>
  <c r="E36" i="36"/>
  <c r="E40" i="36"/>
  <c r="F40" i="36"/>
  <c r="AC11" i="37"/>
  <c r="W11" i="37"/>
  <c r="AB7" i="37"/>
  <c r="T42" i="37"/>
  <c r="G42" i="37"/>
  <c r="G46" i="37"/>
  <c r="H46" i="37"/>
  <c r="W11" i="34"/>
  <c r="AC11" i="34"/>
  <c r="J5" i="67"/>
  <c r="J5" i="15"/>
  <c r="H20" i="6"/>
  <c r="C14" i="74"/>
  <c r="B2" i="74"/>
  <c r="AB7" i="36"/>
  <c r="T36" i="36"/>
  <c r="C38" i="15"/>
  <c r="E38" i="43"/>
  <c r="E6" i="3"/>
  <c r="D10" i="11"/>
  <c r="C10" i="1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F50" i="68"/>
  <c r="L16" i="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U7" i="21"/>
  <c r="C22"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E6" i="76"/>
  <c r="D31" i="6"/>
  <c r="I6" i="6"/>
  <c r="E2" i="76"/>
  <c r="B2" i="43"/>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M21" i="15"/>
  <c r="F35" i="15"/>
  <c r="M21" i="67"/>
  <c r="F35" i="67"/>
  <c r="B6" i="76"/>
  <c r="I5" i="6"/>
  <c r="B2" i="76"/>
  <c r="B3" i="76"/>
  <c r="B3" i="43"/>
  <c r="C49" i="21"/>
  <c r="F63" i="67"/>
  <c r="C62" i="67"/>
  <c r="C34" i="67"/>
  <c r="J20" i="67"/>
  <c r="J20" i="15"/>
  <c r="F63" i="15"/>
  <c r="C62" i="15"/>
  <c r="C34" i="15"/>
  <c r="R16" i="1"/>
  <c r="I63" i="40"/>
  <c r="H65" i="40"/>
  <c r="J63" i="40"/>
  <c r="I65" i="40"/>
  <c r="C31" i="12"/>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M27" i="67"/>
  <c r="F41" i="15"/>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7" i="1"/>
  <c r="AO6" i="1"/>
  <c r="E2" i="69"/>
  <c r="B8" i="70"/>
  <c r="B7" i="70"/>
  <c r="B6" i="70"/>
  <c r="C46" i="15"/>
  <c r="B3" i="67"/>
  <c r="D2" i="33"/>
  <c r="D2" i="35"/>
  <c r="E2" i="68"/>
  <c r="F20" i="31"/>
  <c r="D2" i="36"/>
  <c r="D2" i="21"/>
  <c r="D2" i="34"/>
  <c r="D2" i="37"/>
  <c r="B20" i="31"/>
  <c r="B2" i="36"/>
  <c r="B3" i="36"/>
  <c r="B2" i="35"/>
  <c r="B3" i="35"/>
  <c r="B2" i="37"/>
  <c r="B3" i="37"/>
  <c r="B2" i="34"/>
  <c r="B3" i="34"/>
  <c r="B2" i="21"/>
  <c r="B2" i="70"/>
  <c r="B3" i="70"/>
  <c r="B3" i="21"/>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59" i="9"/>
  <c r="M55" i="9"/>
  <c r="D19" i="53"/>
  <c r="D20" i="53"/>
  <c r="B40" i="72"/>
  <c r="B38" i="72"/>
  <c r="I14" i="74"/>
  <c r="B8" i="74"/>
  <c r="D12" i="52"/>
  <c r="D127" i="9"/>
  <c r="D13" i="52"/>
  <c r="D8" i="74"/>
  <c r="C8" i="74"/>
  <c r="D16" i="74"/>
  <c r="F16" i="74"/>
  <c r="E16" i="74"/>
  <c r="D15" i="74"/>
  <c r="E15" i="74"/>
  <c r="F15" i="74"/>
  <c r="D17" i="74"/>
  <c r="E17" i="74"/>
  <c r="F17" i="74"/>
  <c r="Q16" i="1"/>
  <c r="F27" i="68"/>
  <c r="C29" i="68"/>
  <c r="D27" i="68"/>
  <c r="N16" i="1"/>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I47" i="39"/>
  <c r="E47" i="39"/>
  <c r="I52" i="39"/>
  <c r="J52" i="39"/>
  <c r="G47" i="39"/>
  <c r="E52" i="39"/>
  <c r="F52" i="39"/>
  <c r="E51" i="39"/>
  <c r="F51" i="39"/>
  <c r="I51" i="39"/>
  <c r="J51" i="39"/>
  <c r="G51" i="39"/>
  <c r="H51" i="39"/>
  <c r="G52" i="39"/>
  <c r="H52" i="39"/>
  <c r="U10" i="39"/>
  <c r="W10" i="39"/>
  <c r="F10" i="40"/>
  <c r="S10" i="40"/>
  <c r="J10" i="40"/>
  <c r="AC10" i="40"/>
  <c r="AA10" i="40"/>
  <c r="W10" i="40"/>
  <c r="S10" i="39"/>
  <c r="H10" i="40"/>
  <c r="AB10" i="40"/>
  <c r="U10" i="40"/>
  <c r="C6" i="68"/>
  <c r="C7" i="68"/>
  <c r="C5" i="68"/>
  <c r="C20" i="68"/>
  <c r="C23" i="68"/>
  <c r="C25" i="68"/>
  <c r="C22" i="68"/>
  <c r="C28" i="68"/>
  <c r="C27" i="68"/>
  <c r="C31" i="68"/>
  <c r="C52" i="68"/>
  <c r="C57" i="68"/>
  <c r="C56" i="68"/>
  <c r="B2" i="68"/>
  <c r="C19" i="9"/>
  <c r="C21" i="9"/>
  <c r="C102" i="9"/>
  <c r="D22" i="9"/>
  <c r="G19" i="9"/>
  <c r="G21" i="9"/>
  <c r="C32" i="9"/>
  <c r="H118" i="9"/>
  <c r="C104" i="9"/>
  <c r="B3" i="68"/>
  <c r="C20" i="9"/>
  <c r="C103" i="9"/>
  <c r="G20" i="9"/>
  <c r="H101" i="9"/>
  <c r="D45" i="9"/>
  <c r="D53" i="9"/>
  <c r="H119" i="9"/>
  <c r="H5" i="52"/>
  <c r="H4" i="52"/>
  <c r="I118" i="9"/>
  <c r="C105" i="9"/>
  <c r="D5" i="53"/>
  <c r="B20" i="72"/>
  <c r="C35" i="9"/>
  <c r="F118" i="9"/>
  <c r="F4" i="52"/>
  <c r="B51" i="72"/>
  <c r="D14" i="74"/>
  <c r="E14" i="74"/>
  <c r="F14" i="74"/>
  <c r="I4" i="52"/>
  <c r="M48" i="9"/>
  <c r="D52" i="9"/>
  <c r="D6" i="53"/>
  <c r="B22" i="72"/>
  <c r="F119" i="9"/>
  <c r="F5" i="52"/>
  <c r="B53" i="72"/>
  <c r="C34" i="9"/>
  <c r="D118" i="9"/>
  <c r="D119" i="9"/>
  <c r="D5" i="52"/>
  <c r="B49" i="72"/>
  <c r="H102" i="9"/>
  <c r="D7" i="53"/>
  <c r="B21" i="72"/>
  <c r="C64" i="9"/>
  <c r="C63" i="9"/>
  <c r="C67" i="9"/>
  <c r="C68" i="9"/>
  <c r="D54" i="9"/>
  <c r="G118" i="9"/>
  <c r="G4" i="52"/>
  <c r="B52" i="72"/>
  <c r="E118" i="9"/>
  <c r="E4" i="52"/>
  <c r="B48" i="72"/>
  <c r="H107" i="9"/>
  <c r="H108" i="9"/>
  <c r="D15" i="53"/>
  <c r="B31" i="72"/>
  <c r="D4" i="52"/>
  <c r="B47" i="72"/>
  <c r="D122" i="9"/>
  <c r="D123" i="9"/>
  <c r="D9" i="52"/>
  <c r="D8" i="52"/>
  <c r="D13" i="53"/>
  <c r="B30" i="72"/>
  <c r="C85" i="9"/>
  <c r="C93" i="9"/>
  <c r="C86" i="9"/>
  <c r="C95" i="9"/>
  <c r="C96" i="9"/>
  <c r="E96" i="9"/>
  <c r="E97" i="9"/>
  <c r="C72" i="9"/>
  <c r="C78" i="9"/>
  <c r="C73" i="9"/>
  <c r="C79" i="9"/>
  <c r="C80" i="9"/>
  <c r="E80" i="9"/>
  <c r="E81" i="9"/>
  <c r="D14" i="53"/>
  <c r="B32" i="72"/>
  <c r="M49" i="9"/>
  <c r="L63" i="9"/>
  <c r="M63" i="9"/>
  <c r="L64" i="9"/>
  <c r="M64" i="9"/>
  <c r="L65" i="9"/>
  <c r="M65" i="9"/>
  <c r="L66" i="9"/>
  <c r="M66" i="9"/>
  <c r="L67" i="9"/>
  <c r="M67" i="9"/>
  <c r="L68" i="9"/>
  <c r="M68" i="9"/>
  <c r="M69" i="9"/>
  <c r="N69" i="9"/>
  <c r="G14" i="74"/>
  <c r="B6" i="74"/>
  <c r="D6" i="74"/>
  <c r="C6" i="74"/>
  <c r="C81" i="9"/>
  <c r="D55" i="9"/>
  <c r="M53" i="9"/>
  <c r="C97" i="9"/>
  <c r="D58" i="9"/>
  <c r="D56" i="9"/>
  <c r="M54" i="9"/>
  <c r="N57" i="9"/>
  <c r="N58" i="9"/>
  <c r="P57" i="9"/>
  <c r="N59" i="9"/>
  <c r="N60" i="9"/>
  <c r="N61" i="9"/>
  <c r="B5" i="74"/>
  <c r="C5" i="74"/>
  <c r="D5" i="74"/>
  <c r="C47"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<sst xmlns="http://schemas.openxmlformats.org/spreadsheetml/2006/main" count="8202" uniqueCount="3189">
  <si>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</si>
  <si>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</si>
  <si>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</si>
  <si>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</si>
  <si>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</si>
  <si>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</si>
  <si>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</si>
  <si>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</si>
  <si>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</si>
  <si>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</si>
  <si>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</si>
  <si>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</si>
  <si>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</si>
  <si>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</si>
  <si>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</si>
  <si>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</si>
  <si>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</si>
  <si>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</si>
  <si>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</si>
  <si>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</si>
  <si>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</si>
  <si>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</si>
  <si>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</si>
  <si>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</si>
  <si>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</si>
  <si>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</si>
  <si>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</si>
  <si>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</si>
  <si>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</si>
  <si>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</si>
  <si>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</si>
  <si>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</si>
  <si>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</si>
  <si>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</si>
  <si>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</si>
  <si>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</si>
  <si>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</si>
  <si>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</si>
  <si>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</si>
  <si>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</si>
  <si>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</si>
  <si>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</si>
  <si>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</si>
  <si>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</si>
  <si>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</si>
  <si>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</si>
  <si>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</si>
  <si>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</si>
  <si>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</si>
  <si>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</si>
  <si>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</si>
  <si>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</si>
  <si>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</si>
  <si>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</si>
  <si>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</si>
  <si>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</si>
  <si>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</si>
  <si>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</si>
  <si>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</si>
  <si>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</si>
  <si>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</si>
  <si>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</si>
  <si>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</si>
  <si>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</si>
  <si>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</si>
  <si>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</si>
  <si>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</si>
  <si>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</si>
  <si>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</si>
  <si>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</si>
  <si>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</si>
  <si>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</si>
  <si>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</si>
  <si>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</si>
  <si>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</si>
  <si>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</si>
  <si>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</si>
  <si>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</si>
  <si>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</si>
  <si>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</si>
  <si>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</si>
  <si>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</si>
  <si>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</si>
  <si>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</si>
  <si>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</si>
  <si>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</si>
  <si>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</si>
  <si>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</si>
  <si>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</si>
  <si>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</si>
  <si>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</si>
  <si>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</si>
  <si>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</si>
  <si>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</si>
  <si>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</si>
  <si>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</si>
  <si>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</si>
  <si>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</si>
  <si>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</si>
  <si>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</si>
  <si>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</si>
  <si>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</si>
  <si>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</si>
  <si>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</si>
  <si>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</si>
  <si>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</si>
  <si>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</si>
  <si>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</si>
  <si>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</si>
  <si>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</si>
  <si>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</si>
  <si>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</si>
  <si>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</si>
  <si>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</si>
  <si>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</si>
  <si>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</si>
  <si>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</si>
  <si>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</si>
  <si>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</si>
  <si>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</si>
  <si>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</si>
  <si>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</si>
  <si>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</si>
  <si>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</si>
  <si>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</si>
  <si>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</si>
  <si>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</si>
  <si>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</si>
  <si>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</si>
  <si>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</si>
  <si>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</si>
  <si>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</si>
  <si>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</si>
  <si>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</si>
  <si>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</si>
  <si>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</si>
  <si>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</si>
  <si>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</si>
  <si>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</si>
  <si>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</si>
  <si>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</si>
  <si>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</si>
  <si>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</si>
  <si>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</si>
  <si>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</si>
  <si>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</si>
  <si>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</si>
  <si>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</si>
  <si>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</si>
  <si>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</si>
  <si>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</si>
  <si>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</si>
  <si>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</si>
  <si>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</si>
  <si>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</si>
  <si>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</si>
  <si>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</si>
  <si>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</si>
  <si>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</si>
  <si>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</si>
  <si>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</si>
  <si>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</si>
  <si>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</si>
  <si>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</si>
  <si>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</si>
  <si>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</si>
  <si>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</si>
  <si>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</si>
  <si>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</si>
  <si>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</si>
  <si>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</si>
  <si>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</si>
  <si>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</si>
  <si>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</si>
  <si>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</si>
  <si>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</si>
  <si>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</si>
  <si>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</si>
  <si>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</si>
  <si>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</si>
  <si>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</si>
  <si>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</si>
  <si>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</si>
  <si>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</si>
  <si>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</si>
  <si>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</si>
  <si>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</si>
  <si>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</si>
  <si>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</si>
  <si>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</si>
  <si>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</si>
  <si>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</si>
  <si>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</si>
  <si>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</si>
  <si>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</si>
  <si>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</si>
  <si>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</si>
  <si>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</si>
  <si>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</si>
  <si>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</si>
  <si>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</si>
  <si>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</si>
  <si>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</si>
  <si>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</si>
  <si>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</si>
  <si>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</si>
  <si>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</si>
  <si>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</si>
  <si>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</si>
  <si>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</si>
  <si>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</si>
  <si>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</si>
  <si>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</si>
  <si>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</si>
  <si>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</si>
  <si>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</si>
  <si>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</si>
  <si>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</si>
  <si>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</si>
  <si>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</si>
  <si>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</si>
  <si>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</si>
  <si>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</si>
  <si>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</si>
  <si>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</si>
  <si>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</si>
  <si>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</si>
  <si>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</si>
  <si>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</si>
  <si>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</si>
  <si>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</si>
  <si>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</si>
  <si>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</si>
  <si>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</si>
  <si>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</si>
  <si>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</si>
  <si>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</si>
  <si>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</si>
  <si>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</si>
  <si>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</si>
  <si>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</si>
  <si>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</si>
  <si>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</si>
  <si>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</si>
  <si>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</si>
  <si>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</si>
  <si>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</si>
  <si>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</si>
  <si>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</si>
  <si>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</si>
  <si>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</si>
  <si>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</si>
  <si>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</si>
  <si>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</si>
  <si>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</si>
  <si>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</si>
  <si>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</si>
  <si>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</si>
  <si>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</si>
  <si>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</si>
  <si>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</si>
  <si>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</si>
  <si>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</si>
  <si>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</si>
  <si>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</si>
  <si>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</si>
  <si>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</si>
  <si>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</si>
  <si>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</si>
  <si>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</si>
  <si>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</si>
  <si>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</si>
  <si>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</si>
  <si>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</si>
  <si>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</si>
  <si>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</si>
  <si>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</si>
  <si>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</si>
  <si>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</si>
  <si>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</si>
  <si>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</si>
  <si>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</si>
  <si>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</si>
  <si>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</si>
  <si>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</si>
  <si>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</si>
  <si>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</si>
  <si>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</si>
  <si>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</si>
  <si>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</si>
  <si>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</si>
  <si>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</si>
  <si>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</si>
  <si>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</si>
  <si>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</si>
  <si>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</si>
  <si>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</si>
  <si>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</si>
  <si>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</si>
  <si>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</si>
  <si>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</si>
  <si>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</si>
  <si>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</si>
  <si>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</si>
  <si>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</si>
  <si>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</si>
  <si>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</si>
  <si>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</si>
  <si>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</si>
  <si>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</si>
  <si>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</si>
  <si>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</si>
  <si>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</si>
  <si>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</si>
  <si>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</si>
  <si>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</si>
  <si>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</si>
  <si>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</si>
  <si>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</si>
  <si>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</si>
  <si>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</si>
  <si>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</si>
  <si>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</si>
  <si>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</si>
  <si>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</si>
  <si>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</si>
  <si>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</si>
  <si>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</si>
  <si>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</si>
  <si>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</si>
  <si>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</si>
  <si>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</si>
  <si>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</si>
  <si>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</si>
  <si>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</si>
  <si>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</si>
  <si>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</si>
  <si>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</si>
  <si>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</si>
  <si>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</si>
  <si>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</si>
  <si>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</si>
  <si>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</si>
  <si>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</si>
  <si>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</si>
  <si>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</si>
  <si>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</si>
  <si>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</si>
  <si>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</si>
  <si>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</si>
  <si>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</si>
  <si>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</si>
  <si>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</si>
  <si>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</si>
  <si>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</si>
  <si>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</si>
  <si>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</si>
  <si>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</si>
  <si>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</si>
  <si>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</si>
  <si>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</si>
  <si>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</si>
  <si>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</si>
  <si>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</si>
  <si>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</si>
  <si>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</si>
  <si>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</si>
  <si>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</si>
  <si>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</si>
  <si>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</si>
  <si>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</si>
  <si>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</si>
  <si>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</si>
  <si>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</si>
  <si>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</si>
  <si>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</si>
  <si>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</si>
  <si>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</si>
  <si>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</si>
  <si>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</si>
  <si>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</si>
  <si>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</si>
  <si>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</si>
  <si>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</si>
  <si>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</si>
  <si>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</si>
  <si>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</si>
  <si>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</si>
  <si>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</si>
  <si>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</si>
  <si>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</si>
  <si>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</si>
  <si>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</si>
  <si>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</si>
  <si>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</si>
  <si>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</si>
  <si>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</si>
  <si>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</si>
  <si>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</si>
  <si>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</si>
  <si>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</si>
  <si>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</si>
  <si>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</si>
  <si>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</si>
  <si>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</si>
  <si>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</si>
  <si>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</si>
  <si>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</si>
  <si>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</si>
  <si>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</si>
  <si>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</si>
  <si>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</si>
  <si>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</si>
  <si>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</si>
  <si>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</si>
  <si>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</si>
  <si>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</si>
  <si>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</si>
  <si>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</si>
  <si>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</si>
  <si>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</si>
  <si>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</si>
  <si>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</si>
  <si>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</si>
  <si>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</si>
  <si>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</si>
  <si>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</si>
  <si>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</si>
  <si>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</si>
  <si>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</si>
  <si>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</si>
  <si>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</si>
  <si>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</si>
  <si>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</si>
  <si>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</si>
  <si>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</si>
  <si>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</si>
  <si>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</si>
  <si>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</si>
  <si>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</si>
  <si>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</si>
  <si>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</si>
  <si>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</si>
  <si>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</si>
  <si>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</si>
  <si>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</si>
  <si>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</si>
  <si>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</si>
  <si>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</si>
  <si>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</si>
  <si>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</si>
  <si>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</si>
  <si>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</si>
  <si>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</si>
  <si>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</si>
  <si>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</si>
  <si>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</si>
  <si>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</si>
  <si>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</si>
  <si>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</si>
  <si>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</si>
  <si>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</si>
  <si>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</si>
  <si>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</si>
  <si>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</si>
  <si>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</si>
  <si>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</si>
  <si>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</si>
  <si>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</si>
  <si>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</si>
  <si>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</si>
  <si>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</si>
  <si>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</si>
  <si>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</si>
  <si>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</si>
  <si>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</si>
  <si>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</si>
  <si>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</si>
  <si>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</si>
  <si>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</si>
  <si>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</si>
  <si>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</si>
  <si>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</si>
  <si>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</si>
  <si>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</si>
  <si>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</si>
  <si>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</si>
  <si>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</si>
  <si>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</si>
  <si>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</si>
  <si>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</si>
  <si>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</si>
  <si>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</si>
  <si>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</si>
  <si>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</si>
  <si>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</si>
  <si>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</si>
  <si>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</si>
  <si>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</si>
  <si>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</si>
  <si>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</si>
  <si>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</si>
  <si>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</si>
  <si>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</si>
  <si>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</si>
  <si>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</si>
  <si>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</si>
  <si>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</si>
  <si>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</si>
  <si>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</si>
  <si>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</si>
  <si>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</si>
  <si>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</si>
  <si>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</si>
  <si>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</si>
  <si>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</si>
  <si>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</si>
  <si>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</si>
  <si>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</si>
  <si>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</si>
  <si>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</si>
  <si>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</si>
  <si>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</si>
  <si>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</si>
  <si>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</si>
  <si>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</si>
  <si>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</si>
  <si>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</si>
  <si>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</si>
  <si>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</si>
  <si>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</si>
  <si>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</si>
  <si>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</si>
  <si>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</si>
  <si>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</si>
  <si>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</si>
  <si>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</si>
  <si>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</si>
  <si>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</si>
  <si>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</si>
  <si>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</si>
  <si>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</si>
  <si>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</si>
  <si>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</si>
  <si>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</si>
  <si>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</si>
  <si>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</si>
  <si>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</si>
  <si>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</si>
  <si>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</si>
  <si>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</si>
  <si>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</si>
  <si>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</si>
  <si>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</si>
  <si>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</si>
  <si>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</si>
  <si>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</si>
  <si>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</si>
  <si>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</si>
  <si>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</si>
  <si>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</si>
  <si>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</si>
  <si>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</si>
  <si>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</si>
  <si>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</si>
  <si>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</si>
  <si>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</si>
  <si>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</si>
  <si>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</si>
  <si>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</si>
  <si>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</si>
  <si>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</si>
  <si>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</si>
  <si>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</si>
  <si>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</si>
  <si>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</si>
  <si>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</si>
  <si>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</si>
  <si>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</si>
  <si>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</si>
  <si>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</si>
  <si>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</si>
  <si>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</si>
  <si>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</si>
  <si>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</si>
  <si>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</si>
  <si>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</si>
  <si>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</si>
  <si>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</si>
  <si>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</si>
  <si>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</si>
  <si>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</si>
  <si>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</si>
  <si>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</si>
  <si>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</si>
  <si>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</si>
  <si>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</si>
  <si>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</si>
  <si>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</si>
  <si>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</si>
  <si>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</si>
  <si>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</si>
  <si>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</si>
  <si>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</si>
  <si>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</si>
  <si>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</si>
  <si>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</si>
  <si>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</si>
  <si>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</si>
  <si>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</si>
  <si>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</si>
  <si>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</si>
  <si>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</si>
  <si>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</si>
  <si>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</si>
  <si>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</si>
  <si>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</si>
  <si>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</si>
  <si>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</si>
  <si>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</si>
  <si>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</si>
  <si>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</si>
  <si>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</si>
  <si>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</si>
  <si>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</si>
  <si>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</si>
  <si>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</si>
  <si>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</si>
  <si>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</si>
  <si>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</si>
  <si>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</si>
  <si>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</si>
  <si>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</si>
  <si>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</si>
  <si>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</si>
  <si>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</si>
  <si>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</si>
  <si>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</si>
  <si>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</si>
  <si>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</si>
  <si>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</si>
  <si>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</si>
  <si>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</si>
  <si>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</si>
  <si>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</si>
  <si>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</si>
  <si>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</si>
  <si>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</si>
  <si>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</si>
  <si>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</si>
  <si>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</si>
  <si>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</si>
  <si>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</si>
  <si>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</si>
  <si>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</si>
  <si>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</si>
  <si>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</si>
  <si>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</si>
  <si>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</si>
  <si>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</si>
  <si>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</si>
  <si>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</si>
  <si>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</si>
  <si>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</si>
  <si>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</si>
  <si>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</si>
  <si>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</si>
  <si>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</si>
  <si>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</si>
  <si>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</si>
  <si>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</si>
  <si>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</si>
  <si>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</si>
  <si>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</si>
  <si>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</si>
  <si>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</si>
  <si>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</si>
  <si>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</si>
  <si>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</si>
  <si>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</si>
  <si>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</si>
  <si>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</si>
  <si>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</si>
  <si>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</si>
  <si>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</si>
  <si>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</si>
  <si>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</si>
  <si>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</si>
  <si>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</si>
  <si>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</si>
  <si>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</si>
  <si>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</si>
  <si>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</si>
  <si>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</si>
  <si>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</si>
  <si>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</si>
  <si>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</si>
  <si>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</si>
  <si>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</si>
  <si>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</si>
  <si>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</si>
  <si>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</si>
  <si>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</si>
  <si>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</si>
  <si>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</si>
  <si>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</si>
  <si>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</si>
  <si>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</si>
  <si>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</si>
  <si>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</si>
  <si>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</si>
  <si>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</si>
  <si>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</si>
  <si>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</si>
  <si>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</si>
  <si>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</si>
  <si>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</si>
  <si>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</si>
  <si>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</si>
  <si>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</si>
  <si>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</si>
  <si>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</si>
  <si>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</si>
  <si>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</si>
  <si>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</si>
  <si>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</si>
  <si>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</si>
  <si>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</si>
  <si>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</si>
  <si>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</si>
  <si>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</si>
  <si>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</si>
  <si>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</si>
  <si>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</si>
  <si>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</si>
  <si>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</si>
  <si>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</si>
  <si>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</si>
  <si>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</si>
  <si>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</si>
  <si>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</si>
  <si>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</si>
  <si>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</si>
  <si>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</si>
  <si>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</si>
  <si>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</si>
  <si>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</si>
  <si>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</si>
  <si>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</si>
  <si>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</si>
  <si>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</si>
  <si>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</si>
  <si>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</si>
  <si>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</si>
  <si>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</si>
  <si>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</si>
  <si>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</si>
  <si>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</si>
  <si>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</si>
  <si>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</si>
  <si>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</si>
  <si>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</si>
  <si>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</si>
  <si>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</si>
  <si>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</si>
  <si>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</si>
  <si>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</si>
  <si>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</si>
  <si>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</si>
  <si>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</si>
  <si>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</si>
  <si>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</si>
  <si>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</si>
  <si>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</si>
  <si>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</si>
  <si>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</si>
  <si>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</si>
  <si>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</si>
  <si>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</si>
  <si>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</si>
  <si>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</si>
  <si>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</si>
  <si>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</si>
  <si>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</si>
  <si>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</si>
  <si>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</si>
  <si>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</si>
  <si>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</si>
  <si>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</si>
  <si>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</si>
  <si>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</si>
  <si>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</si>
  <si>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</si>
  <si>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</si>
  <si>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</si>
  <si>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</si>
  <si>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</si>
  <si>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</si>
  <si>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</si>
  <si>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</si>
  <si>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</si>
  <si>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</si>
  <si>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</si>
  <si>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</si>
  <si>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</si>
  <si>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</si>
  <si>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</si>
  <si>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</si>
  <si>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</si>
  <si>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</si>
  <si>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</si>
  <si>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</si>
  <si>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</si>
  <si>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</si>
  <si>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</si>
  <si>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</si>
  <si>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</si>
  <si>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</si>
  <si>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</si>
  <si>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</si>
  <si>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</si>
  <si>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</si>
  <si>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</si>
  <si>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</si>
  <si>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</si>
  <si>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</si>
  <si>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</si>
  <si>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</si>
  <si>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</si>
  <si>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</si>
  <si>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</si>
  <si>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</si>
  <si>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</si>
  <si>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</si>
  <si>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</si>
  <si>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</si>
  <si>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</si>
  <si>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</si>
  <si>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</si>
  <si>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</si>
  <si>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</si>
  <si>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</si>
  <si>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</si>
  <si>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</si>
  <si>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</si>
  <si>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</si>
  <si>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</si>
  <si>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</si>
  <si>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</si>
  <si>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</si>
  <si>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</si>
  <si>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</si>
  <si>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</si>
  <si>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</si>
  <si>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</si>
  <si>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</si>
  <si>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</si>
  <si>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</si>
  <si>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</si>
  <si>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</si>
  <si>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</si>
  <si>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</si>
  <si>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</si>
  <si>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</si>
  <si>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</si>
  <si>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</si>
  <si>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</si>
  <si>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</si>
  <si>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</si>
  <si>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</si>
  <si>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</si>
  <si>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</si>
  <si>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</si>
  <si>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</si>
  <si>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</si>
  <si>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</si>
  <si>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</si>
  <si>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</si>
  <si>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</si>
  <si>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</si>
  <si>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</si>
  <si>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</si>
  <si>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</si>
  <si>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</si>
  <si>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</si>
  <si>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</si>
  <si>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</si>
  <si>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</si>
  <si>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</si>
  <si>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</si>
  <si>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</si>
  <si>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</si>
  <si>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</si>
  <si>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</si>
  <si>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</si>
  <si>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</si>
  <si>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</si>
  <si>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</si>
  <si>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</si>
  <si>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</si>
  <si>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</si>
  <si>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</si>
  <si>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</si>
  <si>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</si>
  <si>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</si>
  <si>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</si>
  <si>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</si>
  <si>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</si>
  <si>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</si>
  <si>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</si>
  <si>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</si>
  <si>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</si>
  <si>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</si>
  <si>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</si>
  <si>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</si>
  <si>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</si>
  <si>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</si>
  <si>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</si>
  <si>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</si>
  <si>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</si>
  <si>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</si>
  <si>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</si>
  <si>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</si>
  <si>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</si>
  <si>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</si>
  <si>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</si>
  <si>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</si>
  <si>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</si>
  <si>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</si>
  <si>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</si>
  <si>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</si>
  <si>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</si>
  <si>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</si>
  <si>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</si>
  <si>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</si>
  <si>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</si>
  <si>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</si>
  <si>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</si>
  <si>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</si>
  <si>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</si>
  <si>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</si>
  <si>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</si>
  <si>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</si>
  <si>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</si>
  <si>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</si>
  <si>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</si>
  <si>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</si>
  <si>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</si>
  <si>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</si>
  <si>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</si>
  <si>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</si>
  <si>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</si>
  <si>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</si>
  <si>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</si>
  <si>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</si>
  <si>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</si>
  <si>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</si>
  <si>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</si>
  <si>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</si>
  <si>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</si>
  <si>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</si>
  <si>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</si>
  <si>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</si>
  <si>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</si>
  <si>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</si>
  <si>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</si>
  <si>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</si>
  <si>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</si>
  <si>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</si>
  <si>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</si>
  <si>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</si>
  <si>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</si>
  <si>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</si>
  <si>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</si>
  <si>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</si>
  <si>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</si>
  <si>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</si>
  <si>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</si>
  <si>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</si>
  <si>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</si>
  <si>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</si>
  <si>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</si>
  <si>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</si>
  <si>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</si>
  <si>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</si>
  <si>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</si>
  <si>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</si>
  <si>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</si>
  <si>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</si>
  <si>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</si>
  <si>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</si>
  <si>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</si>
  <si>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</si>
  <si>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</si>
  <si>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</si>
  <si>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</si>
  <si>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</si>
  <si>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</si>
  <si>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</si>
  <si>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</si>
  <si>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</si>
  <si>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</si>
  <si>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</si>
  <si>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</si>
  <si>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</si>
  <si>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</si>
  <si>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</si>
  <si>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</si>
  <si>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</si>
  <si>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</si>
  <si>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</si>
  <si>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</si>
  <si>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</si>
  <si>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</si>
  <si>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</si>
  <si>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</si>
  <si>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</si>
  <si>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</si>
  <si>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</si>
  <si>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</si>
  <si>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</si>
  <si>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</si>
  <si>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</si>
  <si>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</si>
  <si>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</si>
  <si>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</si>
  <si>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</si>
  <si>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</si>
  <si>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</si>
  <si>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</si>
  <si>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</si>
  <si>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</si>
  <si>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</si>
  <si>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</si>
  <si>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</si>
  <si>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</si>
  <si>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</si>
  <si>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</si>
  <si>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</si>
  <si>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</si>
  <si>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</si>
  <si>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</si>
  <si>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</si>
  <si>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</si>
  <si>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</si>
  <si>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</si>
  <si>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</si>
  <si>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</si>
  <si>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</si>
  <si>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</si>
  <si>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</si>
  <si>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</si>
  <si>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</si>
  <si>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</si>
  <si>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</si>
  <si>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</si>
  <si>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</si>
  <si>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</si>
  <si>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</si>
  <si>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</si>
  <si>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</si>
  <si>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</si>
  <si>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</si>
  <si>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</si>
  <si>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</si>
  <si>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</si>
  <si>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</si>
  <si>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</si>
  <si>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</si>
  <si>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</si>
  <si>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</si>
  <si>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</si>
  <si>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</si>
  <si>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</si>
  <si>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</si>
  <si>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</si>
  <si>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</si>
  <si>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</si>
  <si>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</si>
  <si>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</si>
  <si>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</si>
  <si>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</si>
  <si>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</si>
  <si>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</si>
  <si>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</si>
  <si>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</si>
  <si>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</si>
  <si>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</si>
  <si>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</si>
  <si>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</si>
  <si>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</si>
  <si>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</si>
  <si>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</si>
  <si>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</si>
  <si>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</si>
  <si>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</si>
  <si>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</si>
  <si>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</si>
  <si>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</si>
  <si>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</si>
  <si>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</si>
  <si>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</si>
  <si>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</si>
  <si>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</si>
  <si>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</si>
  <si>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</si>
  <si>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</si>
  <si>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</si>
  <si>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</si>
  <si>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</si>
  <si>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</si>
  <si>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</si>
  <si>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</si>
  <si>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</si>
  <si>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</si>
  <si>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</si>
  <si>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</si>
  <si>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</si>
  <si>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</si>
  <si>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</si>
  <si>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</si>
  <si>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</si>
  <si>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</si>
  <si>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</si>
  <si>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</si>
  <si>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</si>
  <si>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</si>
  <si>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</si>
  <si>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</si>
  <si>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</si>
  <si>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</si>
  <si>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</si>
  <si>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</si>
  <si>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</si>
  <si>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</si>
  <si>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</si>
  <si>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</si>
  <si>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</si>
  <si>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</si>
  <si>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</si>
  <si>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</si>
  <si>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</si>
  <si>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</si>
  <si>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</si>
  <si>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</si>
  <si>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</si>
  <si>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</si>
  <si>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</si>
  <si>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</si>
  <si>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</si>
  <si>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</si>
  <si>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</si>
  <si>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</si>
  <si>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</si>
  <si>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</si>
  <si>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</si>
  <si>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</si>
  <si>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</si>
  <si>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</si>
  <si>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</si>
  <si>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</si>
  <si>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</si>
  <si>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</si>
  <si>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</si>
  <si>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</si>
  <si>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</si>
  <si>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</si>
  <si>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</si>
  <si>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</si>
  <si>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</si>
  <si>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</si>
  <si>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</si>
  <si>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</si>
  <si>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</si>
  <si>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</si>
  <si>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</si>
  <si>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</si>
  <si>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</si>
  <si>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</si>
  <si>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</si>
  <si>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</si>
  <si>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</si>
  <si>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</si>
  <si>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</si>
  <si>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</si>
  <si>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</si>
  <si>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</si>
  <si>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</si>
  <si>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</si>
  <si>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</si>
  <si>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</si>
  <si>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</si>
  <si>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</si>
  <si>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</si>
  <si>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</si>
  <si>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</si>
  <si>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</si>
  <si>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</si>
  <si>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</si>
  <si>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</si>
  <si>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</si>
  <si>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</si>
  <si>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</si>
  <si>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</si>
  <si>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</si>
  <si>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</si>
  <si>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</si>
  <si>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</si>
  <si>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</si>
  <si>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</si>
  <si>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</si>
  <si>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</si>
  <si>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</si>
  <si>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</si>
  <si>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</si>
  <si>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</si>
  <si>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</si>
  <si>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</si>
  <si>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</si>
  <si>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</si>
  <si>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</si>
  <si>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</si>
  <si>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</si>
  <si>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</si>
  <si>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</si>
  <si>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</si>
  <si>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</si>
  <si>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</si>
  <si>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</si>
  <si>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</si>
  <si>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</si>
  <si>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</si>
  <si>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</si>
  <si>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</si>
  <si>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</si>
  <si>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</si>
  <si>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</si>
  <si>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</si>
  <si>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</si>
  <si>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</si>
  <si>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</si>
  <si>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</si>
  <si>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</si>
  <si>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</si>
  <si>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</si>
  <si>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</si>
  <si>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</si>
  <si>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</si>
  <si>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</si>
  <si>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</si>
  <si>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</si>
  <si>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</si>
  <si>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</si>
  <si>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</si>
  <si>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</si>
  <si>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</si>
  <si>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</si>
  <si>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</si>
  <si>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</si>
  <si>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</si>
  <si>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</si>
  <si>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</si>
  <si>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</si>
  <si>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</si>
  <si>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</si>
  <si>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</si>
  <si>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</si>
  <si>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</si>
  <si>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</si>
  <si>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</si>
  <si>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</si>
  <si>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</si>
  <si>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</si>
  <si>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</si>
  <si>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</si>
  <si>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</si>
  <si>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</si>
  <si>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</si>
  <si>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</si>
  <si>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</si>
  <si>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</si>
  <si>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</si>
  <si>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</si>
  <si>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</si>
  <si>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</si>
  <si>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</si>
  <si>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</si>
  <si>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</si>
  <si>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</si>
  <si>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</si>
  <si>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</si>
  <si>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</si>
  <si>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</si>
  <si>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</si>
  <si>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</si>
  <si>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</si>
  <si>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</si>
  <si>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</si>
  <si>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</si>
  <si>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</si>
  <si>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</si>
  <si>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</si>
  <si>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</si>
  <si>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</si>
  <si>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</si>
  <si>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</si>
  <si>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</si>
  <si>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</si>
  <si>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</si>
  <si>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</si>
  <si>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</si>
  <si>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</si>
  <si>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</si>
  <si>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</si>
  <si>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</si>
  <si>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</si>
  <si>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</si>
  <si>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</si>
  <si>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</si>
  <si>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</si>
  <si>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</si>
  <si>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</si>
  <si>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</si>
  <si>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</si>
  <si>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</si>
  <si>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</si>
  <si>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</si>
  <si>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</si>
  <si>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</si>
  <si>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</si>
  <si>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</si>
  <si>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</si>
  <si>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</si>
  <si>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</si>
  <si>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</si>
  <si>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</si>
  <si>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</si>
  <si>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</si>
  <si>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</si>
  <si>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</si>
  <si>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</si>
  <si>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</si>
  <si>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</si>
  <si>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</si>
  <si>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</si>
  <si>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</si>
  <si>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</si>
  <si>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</si>
  <si>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</si>
  <si>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</si>
  <si>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</si>
  <si>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</si>
  <si>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</si>
  <si>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</si>
  <si>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</si>
  <si>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</si>
  <si>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</si>
  <si>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</si>
  <si>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</si>
  <si>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</si>
  <si>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</si>
  <si>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</si>
  <si>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</si>
  <si>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</si>
  <si>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</si>
  <si>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</si>
  <si>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</si>
  <si>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</si>
  <si>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</si>
  <si>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</si>
  <si>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</si>
  <si>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</si>
  <si>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</si>
  <si>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</si>
  <si>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</si>
  <si>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</si>
  <si>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</si>
  <si>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</si>
  <si>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</si>
  <si>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</si>
  <si>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</si>
  <si>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</si>
  <si>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</si>
  <si>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</si>
  <si>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</si>
  <si>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</si>
  <si>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</si>
  <si>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</si>
  <si>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</si>
  <si>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</si>
  <si>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</si>
  <si>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</si>
  <si>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</si>
  <si>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</si>
  <si>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</si>
  <si>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</si>
  <si>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</si>
  <si>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</si>
  <si>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</si>
  <si>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</si>
  <si>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</si>
  <si>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</si>
  <si>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</si>
  <si>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</si>
  <si>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</si>
  <si>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</si>
  <si>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</si>
  <si>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</si>
  <si>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</si>
  <si>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</si>
  <si>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</si>
  <si>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</si>
  <si>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</si>
  <si>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</si>
  <si>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</si>
  <si>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</si>
  <si>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</si>
  <si>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</si>
  <si>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</si>
  <si>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</si>
  <si>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</si>
  <si>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</si>
  <si>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</si>
  <si>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</si>
  <si>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</si>
  <si>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</si>
  <si>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</si>
  <si>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</si>
  <si>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</si>
  <si>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</si>
  <si>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</si>
  <si>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</si>
  <si>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</si>
  <si>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</si>
  <si>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</si>
  <si>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</si>
  <si>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</si>
  <si>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</si>
  <si>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</si>
  <si>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</si>
  <si>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</si>
  <si>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</si>
  <si>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</si>
  <si>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</si>
  <si>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</si>
  <si>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</si>
  <si>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</si>
  <si>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</si>
  <si>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</si>
  <si>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</si>
  <si>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</si>
  <si>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</si>
  <si>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</si>
  <si>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</si>
  <si>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</si>
  <si>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</si>
  <si>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</si>
  <si>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</si>
  <si>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</si>
  <si>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</si>
  <si>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</si>
  <si>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</si>
  <si>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</si>
  <si>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</si>
  <si>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</si>
  <si>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</si>
  <si>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</si>
  <si>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</si>
  <si>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</si>
  <si>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</si>
  <si>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</si>
  <si>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</si>
  <si>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</si>
  <si>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</si>
  <si>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</si>
  <si>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</si>
  <si>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</si>
  <si>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</si>
  <si>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</si>
  <si>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</si>
  <si>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</si>
  <si>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</si>
  <si>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</si>
  <si>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</si>
  <si>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</si>
  <si>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</si>
  <si>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</si>
  <si>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</si>
  <si>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</si>
  <si>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</si>
  <si>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</si>
  <si>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</si>
  <si>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</si>
  <si>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</si>
  <si>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</si>
  <si>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</si>
  <si>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</si>
  <si>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</si>
  <si>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</si>
  <si>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</si>
  <si>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</si>
  <si>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</si>
  <si>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</si>
  <si>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</si>
  <si>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</si>
  <si>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</si>
  <si>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</si>
  <si>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</si>
  <si>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</si>
  <si>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</si>
  <si>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</si>
  <si>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</si>
  <si>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</si>
  <si>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</si>
  <si>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</si>
  <si>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</si>
  <si>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</si>
  <si>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</si>
  <si>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</si>
  <si>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</si>
  <si>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</si>
  <si>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</si>
  <si>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</si>
  <si>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</si>
  <si>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</si>
  <si>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</si>
  <si>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</si>
  <si>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</si>
  <si>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</si>
  <si>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</si>
  <si>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</si>
  <si>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</si>
  <si>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</si>
  <si>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</si>
  <si>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</si>
  <si>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</si>
  <si>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</si>
  <si>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</si>
  <si>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</si>
  <si>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</si>
  <si>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</si>
  <si>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</si>
  <si>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</si>
  <si>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</si>
  <si>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</si>
  <si>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</si>
  <si>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</si>
  <si>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</si>
  <si>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</si>
  <si>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</si>
  <si>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</si>
  <si>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</si>
  <si>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</si>
  <si>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</si>
  <si>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</si>
  <si>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</si>
  <si>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</si>
  <si>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</si>
  <si>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</si>
  <si>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</si>
  <si>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</si>
  <si>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</si>
  <si>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</si>
  <si>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</si>
  <si>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</si>
  <si>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</si>
  <si>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</si>
  <si>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</si>
  <si>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</si>
  <si>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</si>
  <si>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</si>
  <si>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</si>
  <si>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</si>
  <si>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</si>
  <si>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</si>
  <si>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</si>
  <si>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</si>
  <si>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</si>
  <si>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</si>
  <si>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</si>
  <si>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</si>
  <si>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</si>
  <si>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</si>
  <si>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</si>
  <si>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</si>
  <si>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</si>
  <si>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</si>
  <si>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</si>
  <si>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</si>
  <si>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</si>
  <si>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</si>
  <si>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</si>
  <si>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</si>
  <si>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</si>
  <si>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</si>
  <si>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</si>
  <si>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</si>
  <si>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</si>
  <si>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</si>
  <si>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</si>
  <si>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</si>
  <si>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</si>
  <si>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</si>
  <si>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</si>
  <si>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</si>
  <si>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</si>
  <si>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</si>
  <si>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</si>
  <si>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</si>
  <si>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</si>
  <si>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</si>
  <si>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</si>
  <si>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</si>
  <si>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</si>
  <si>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</si>
  <si>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</si>
  <si>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</si>
  <si>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</si>
  <si>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</si>
  <si>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</si>
  <si>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</si>
  <si>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</si>
  <si>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</si>
  <si>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</si>
  <si>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</si>
  <si>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</si>
  <si>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</si>
  <si>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</si>
  <si>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</si>
  <si>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</si>
  <si>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</si>
  <si>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</si>
  <si>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</si>
  <si>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</si>
  <si>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</si>
  <si>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</si>
  <si>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</si>
  <si>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</si>
  <si>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</si>
  <si>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</si>
  <si>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</si>
  <si>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</si>
  <si>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</si>
  <si>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</si>
  <si>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</si>
  <si>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</si>
  <si>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</si>
  <si>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</si>
  <si>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</si>
  <si>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</si>
  <si>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</si>
  <si>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</si>
  <si>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</si>
  <si>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</si>
  <si>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</si>
  <si>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</si>
  <si>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</si>
  <si>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</si>
  <si>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</si>
  <si>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</si>
  <si>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</si>
  <si>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</si>
  <si>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</si>
  <si>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</si>
  <si>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</si>
  <si>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</si>
  <si>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</si>
  <si>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</si>
  <si>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</si>
  <si>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</si>
  <si>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</si>
  <si>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</si>
  <si>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</si>
  <si>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</si>
  <si>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</si>
  <si>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</si>
  <si>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</si>
  <si>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</si>
  <si>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</si>
  <si>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</si>
  <si>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</si>
  <si>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</si>
  <si>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</si>
  <si>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</si>
  <si>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</si>
  <si>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</si>
  <si>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</si>
  <si>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</si>
  <si>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</si>
  <si>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</si>
  <si>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</si>
  <si>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</si>
  <si>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</si>
  <si>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</si>
  <si>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</si>
  <si>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</si>
  <si>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</si>
  <si>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</si>
  <si>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</si>
  <si>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</si>
  <si>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</si>
  <si>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</si>
  <si>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</si>
  <si>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</si>
  <si>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</si>
  <si>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</si>
  <si>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</si>
  <si>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</si>
  <si>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</si>
  <si>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</si>
  <si>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</si>
  <si>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</si>
  <si>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</si>
  <si>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</si>
  <si>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</si>
  <si>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</si>
  <si>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</si>
  <si>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</si>
  <si>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</si>
  <si>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</si>
  <si>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</si>
  <si>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</si>
  <si>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</si>
  <si>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</si>
  <si>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</si>
  <si>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</si>
  <si>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</si>
  <si>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</si>
  <si>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</si>
  <si>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</si>
  <si>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</si>
  <si>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</si>
  <si>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</si>
  <si>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</si>
  <si>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</si>
  <si>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</si>
  <si>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</si>
  <si>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</si>
  <si>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</si>
  <si>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</si>
  <si>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</si>
  <si>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</si>
  <si>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</si>
  <si>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</si>
  <si>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</si>
  <si>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</si>
  <si>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</si>
  <si>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</si>
  <si>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</si>
  <si>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</si>
  <si>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</si>
  <si>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</si>
  <si>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</si>
  <si>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</si>
  <si>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</si>
  <si>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</si>
  <si>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</si>
  <si>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</si>
  <si>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</si>
  <si>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</si>
  <si>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</si>
  <si>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</si>
  <si>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</si>
  <si>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</si>
  <si>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</si>
  <si>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</si>
  <si>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</si>
  <si>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</si>
  <si>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</si>
  <si>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</si>
  <si>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</si>
  <si>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</si>
  <si>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</si>
  <si>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</si>
  <si>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</si>
  <si>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</si>
  <si>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</si>
  <si>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</si>
  <si>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</si>
  <si>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</si>
  <si>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</si>
  <si>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</si>
  <si>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</si>
  <si>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</si>
  <si>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</si>
  <si>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</si>
  <si>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</si>
  <si>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</si>
  <si>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</si>
  <si>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</si>
  <si>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</si>
  <si>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</si>
  <si>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</si>
  <si>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</si>
  <si>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</si>
  <si>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</si>
  <si>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</si>
  <si>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</si>
  <si>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</si>
  <si>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</si>
  <si>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</si>
  <si>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</si>
  <si>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</si>
  <si>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</si>
  <si>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</si>
  <si>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</si>
  <si>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</si>
  <si>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</si>
  <si>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</si>
  <si>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</si>
  <si>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</si>
  <si>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</si>
  <si>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</si>
  <si>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</si>
  <si>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</si>
  <si>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</si>
  <si>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</si>
  <si>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</si>
  <si>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</si>
  <si>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</si>
  <si>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</si>
  <si>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</si>
  <si>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</si>
  <si>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</si>
  <si>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</si>
  <si>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</si>
  <si>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</si>
  <si>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</si>
  <si>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</si>
  <si>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</si>
  <si>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</si>
  <si>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</si>
  <si>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</si>
  <si>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</si>
  <si>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</si>
  <si>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</si>
  <si>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</si>
  <si>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</si>
  <si>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</si>
  <si>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</si>
  <si>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</si>
  <si>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</si>
  <si>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</si>
  <si>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</si>
  <si>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</si>
  <si>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</si>
  <si>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</si>
  <si>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</si>
  <si>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</si>
  <si>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</si>
  <si>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</si>
  <si>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</si>
  <si>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</si>
  <si>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</si>
  <si>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</si>
  <si>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</si>
  <si>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</si>
  <si>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</si>
  <si>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</si>
  <si>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</si>
  <si>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</si>
  <si>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</si>
  <si>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</si>
  <si>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</si>
  <si>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</si>
  <si>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</si>
  <si>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</si>
  <si>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</si>
  <si>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</si>
  <si>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</si>
  <si>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</si>
  <si>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</si>
  <si>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</si>
  <si>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</si>
  <si>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</si>
  <si>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</si>
  <si>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</si>
  <si>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</si>
  <si>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</si>
  <si>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</si>
  <si>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</si>
  <si>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</si>
  <si>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</si>
  <si>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</si>
  <si>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</si>
  <si>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</si>
  <si>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</si>
  <si>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</si>
  <si>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</si>
  <si>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</si>
  <si>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</si>
  <si>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</si>
  <si>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</si>
  <si>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</si>
  <si>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</si>
  <si>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</si>
  <si>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</si>
  <si>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</si>
  <si>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</si>
  <si>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</si>
  <si>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</si>
  <si>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</si>
  <si>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</si>
  <si>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</si>
  <si>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</si>
  <si>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</si>
  <si>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</si>
  <si>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</si>
  <si>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</si>
  <si>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</si>
  <si>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</si>
  <si>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</si>
  <si>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</si>
  <si>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</si>
  <si>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</si>
  <si>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</si>
  <si>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</si>
  <si>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</si>
  <si>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</si>
  <si>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</si>
  <si>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</si>
  <si>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</si>
  <si>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</si>
  <si>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</si>
  <si>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</si>
  <si>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</si>
  <si>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</si>
  <si>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</si>
  <si>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</si>
  <si>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</si>
  <si>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</si>
  <si>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</si>
  <si>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</si>
  <si>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</si>
  <si>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</si>
  <si>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</si>
  <si>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</si>
  <si>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</si>
  <si>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</si>
  <si>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</si>
  <si>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</si>
  <si>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</si>
  <si>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</si>
  <si>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</si>
  <si>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</si>
  <si>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</si>
  <si>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</si>
  <si>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</si>
  <si>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</si>
  <si>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</si>
  <si>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</si>
  <si>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</si>
  <si>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</si>
  <si>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</si>
  <si>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</si>
  <si>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</si>
  <si>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</si>
  <si>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</si>
  <si>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</si>
  <si>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</si>
  <si>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</si>
  <si>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</si>
  <si>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</si>
  <si>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</si>
  <si>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</si>
  <si>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</si>
  <si>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</si>
  <si>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</si>
  <si>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</si>
  <si>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</si>
  <si>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</si>
  <si>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</si>
  <si>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</si>
  <si>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</si>
  <si>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</si>
  <si>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</si>
  <si>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</si>
  <si>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</si>
  <si>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</si>
  <si>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</si>
  <si>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</si>
  <si>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</si>
  <si>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</si>
  <si>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</si>
  <si>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</si>
  <si>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</si>
  <si>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</si>
  <si>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</si>
  <si>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</si>
  <si>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</si>
  <si>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</si>
  <si>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</si>
  <si>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</si>
  <si>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</si>
  <si>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</si>
  <si>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</si>
  <si>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</si>
  <si>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</si>
  <si>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</si>
  <si>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</si>
  <si>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</si>
  <si>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</si>
  <si>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</si>
  <si>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</si>
  <si>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</si>
  <si>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</si>
  <si>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</si>
  <si>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</si>
  <si>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</si>
  <si>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</si>
  <si>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</si>
  <si>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</si>
  <si>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</si>
  <si>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</si>
  <si>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</si>
  <si>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</si>
  <si>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</si>
  <si>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</si>
  <si>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</si>
  <si>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</si>
  <si>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</si>
  <si>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</si>
  <si>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</si>
  <si>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</si>
  <si>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</si>
  <si>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</si>
  <si>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</si>
  <si>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</si>
  <si>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</si>
  <si>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</si>
  <si>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</si>
  <si>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</si>
  <si>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</si>
  <si>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</si>
  <si>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</si>
  <si>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</si>
  <si>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</si>
  <si>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</si>
  <si>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</si>
  <si>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</si>
  <si>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</si>
  <si>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</si>
  <si>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</si>
  <si>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</si>
  <si>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</si>
  <si>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</si>
  <si>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</si>
  <si>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</si>
  <si>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</si>
  <si>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</si>
  <si>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</si>
  <si>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</si>
  <si>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</si>
  <si>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</si>
  <si>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</si>
  <si>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</si>
  <si>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</si>
  <si>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</si>
  <si>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</si>
  <si>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</si>
  <si>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</si>
  <si>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</si>
  <si>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</si>
  <si>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</si>
  <si>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</si>
  <si>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</si>
  <si>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</si>
  <si>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</si>
  <si>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</si>
  <si>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</si>
  <si>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</si>
  <si>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</si>
  <si>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</si>
  <si>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</si>
  <si>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</si>
  <si>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</si>
  <si>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</si>
  <si>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</si>
  <si>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</si>
  <si>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</si>
  <si>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</si>
  <si>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</si>
  <si>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</si>
  <si>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</si>
  <si>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</si>
  <si>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</si>
  <si>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</si>
  <si>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</si>
  <si>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</si>
  <si>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</si>
  <si>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</si>
  <si>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</si>
  <si>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</si>
  <si>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</si>
  <si>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</si>
  <si>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</si>
  <si>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</si>
  <si>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</si>
  <si>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</si>
  <si>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</si>
  <si>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</si>
  <si>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</si>
  <si>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</si>
  <si>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</si>
  <si>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</si>
  <si>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</si>
  <si>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</si>
  <si>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</si>
  <si>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</si>
  <si>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</si>
  <si>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</si>
  <si>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</si>
  <si>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</si>
  <si>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</si>
  <si>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</si>
  <si>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</si>
  <si>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</si>
  <si>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</si>
  <si>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</si>
  <si>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</si>
  <si>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</si>
  <si>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</si>
  <si>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</si>
  <si>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</si>
  <si>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</si>
  <si>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</si>
  <si>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</si>
  <si>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</si>
  <si>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</si>
  <si>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</si>
  <si>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</si>
  <si>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</si>
  <si>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</si>
  <si>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</si>
  <si>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</si>
  <si>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</si>
  <si>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</si>
  <si>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</si>
  <si>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</si>
  <si>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</si>
  <si>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</si>
  <si>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</si>
  <si>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</si>
  <si>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</si>
  <si>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</si>
  <si>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</si>
  <si>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</si>
  <si>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</si>
  <si>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</si>
  <si>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</si>
  <si>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</si>
  <si>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</si>
  <si>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</si>
  <si>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</si>
  <si>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</si>
  <si>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</si>
  <si>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</si>
  <si>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</si>
  <si>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</si>
  <si>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</si>
  <si>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</si>
  <si>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</si>
  <si>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</si>
  <si>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</si>
  <si>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</si>
  <si>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</si>
  <si>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</si>
  <si>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</si>
  <si>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</si>
  <si>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</si>
  <si>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</si>
  <si>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</si>
  <si>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</si>
  <si>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</si>
  <si>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</si>
  <si>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</si>
  <si>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</si>
  <si>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</si>
  <si>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</si>
  <si>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</si>
  <si>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</si>
  <si>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</si>
  <si>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</si>
  <si>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</si>
  <si>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</si>
  <si>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</si>
  <si>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</si>
  <si>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</si>
  <si>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</si>
  <si>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</si>
  <si>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</si>
  <si>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</si>
  <si>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</si>
  <si>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</si>
  <si>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</si>
  <si>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</si>
  <si>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</si>
  <si>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</si>
  <si>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</si>
  <si>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</si>
  <si>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</si>
  <si>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</si>
  <si>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</si>
  <si>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</si>
  <si>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</si>
  <si>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</si>
  <si>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</si>
  <si>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</si>
  <si>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</si>
  <si>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</si>
  <si>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</si>
  <si>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</si>
  <si>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</si>
  <si>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</si>
  <si>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</si>
  <si>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</si>
  <si>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</si>
  <si>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</si>
  <si>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</si>
  <si>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</si>
  <si>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</si>
  <si>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</si>
  <si>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</si>
  <si>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</si>
  <si>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</si>
  <si>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</si>
  <si>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</si>
  <si>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</si>
  <si>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</si>
  <si>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</si>
  <si>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</si>
  <si>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</si>
  <si>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</si>
  <si>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</si>
  <si>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</si>
  <si>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</si>
  <si>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</si>
  <si>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</si>
  <si>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</si>
  <si>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</si>
  <si>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</si>
  <si>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</si>
  <si>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</si>
  <si>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</si>
  <si>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</si>
  <si>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</si>
  <si>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</si>
  <si>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</si>
  <si>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</si>
  <si>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</si>
  <si>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</si>
  <si>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</si>
  <si>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</si>
  <si>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</si>
  <si>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</si>
  <si>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</si>
  <si>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</si>
  <si>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</si>
  <si>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</si>
  <si>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</si>
  <si>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</si>
  <si>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</si>
  <si>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</si>
  <si>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</si>
  <si>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</si>
  <si>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</si>
  <si>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</si>
  <si>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</si>
  <si>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</si>
  <si>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</si>
  <si>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</si>
  <si>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</si>
  <si>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</si>
  <si>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</si>
  <si>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</si>
  <si>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</si>
  <si>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</si>
  <si>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</si>
  <si>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</si>
  <si>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</si>
  <si>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</si>
  <si>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</si>
  <si>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</si>
  <si>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</si>
  <si>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</si>
  <si>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</si>
  <si>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</si>
  <si>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</si>
  <si>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</si>
  <si>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</si>
  <si>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</si>
  <si>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</si>
  <si>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</si>
  <si>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</si>
  <si>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</si>
  <si>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</si>
  <si>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</si>
  <si>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</si>
  <si>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</si>
  <si>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</si>
  <si>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</si>
  <si>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</si>
  <si>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</si>
  <si>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</si>
  <si>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</si>
  <si>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</si>
  <si>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</si>
  <si>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</si>
  <si>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</si>
  <si>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</si>
  <si>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</si>
  <si>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</si>
  <si>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</si>
  <si>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</si>
  <si>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</si>
  <si>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</si>
  <si>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</si>
  <si>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</si>
  <si>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</si>
  <si>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</si>
  <si>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</si>
  <si>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</si>
  <si>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</si>
  <si>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</si>
  <si>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</si>
  <si>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</si>
  <si>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</si>
  <si>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</si>
  <si>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</si>
  <si>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</si>
  <si>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</si>
  <si>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</si>
  <si>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</si>
  <si>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</si>
  <si>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</si>
  <si>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</si>
  <si>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</si>
  <si>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</si>
  <si>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</si>
  <si>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</si>
  <si>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</si>
  <si>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</si>
  <si>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</si>
  <si>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</si>
  <si>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</si>
  <si>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</si>
  <si>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</si>
  <si>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</si>
  <si>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</si>
  <si>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</si>
  <si>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</si>
  <si>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</si>
  <si>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</si>
  <si>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</si>
  <si>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</si>
  <si>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</si>
  <si>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</si>
  <si>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</si>
  <si>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</si>
  <si>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</si>
  <si>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</si>
  <si>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</si>
  <si>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</si>
  <si>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</si>
  <si>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</si>
  <si>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</si>
  <si>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</si>
  <si>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</si>
  <si>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</si>
  <si>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</si>
  <si>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</si>
  <si>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</si>
  <si>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</si>
  <si>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</si>
  <si>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</si>
  <si>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</si>
  <si>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</si>
  <si>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</si>
  <si>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</si>
  <si>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</si>
  <si>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</si>
  <si>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</si>
  <si>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</si>
  <si>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</si>
  <si>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</si>
  <si>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</si>
  <si>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</si>
  <si>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</si>
  <si>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</si>
  <si>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</si>
  <si>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</si>
  <si>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</si>
  <si>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</si>
  <si>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</si>
  <si>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</si>
  <si>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</si>
  <si>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</si>
  <si>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</si>
  <si>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</si>
  <si>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</si>
  <si>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</si>
  <si>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</si>
  <si>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</si>
  <si>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</si>
  <si>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</si>
  <si>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</si>
  <si>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</si>
  <si>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</si>
  <si>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</si>
  <si>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</si>
  <si>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</si>
  <si>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</si>
  <si>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</si>
  <si>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</si>
  <si>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</si>
  <si>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</si>
  <si>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</si>
  <si>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</si>
  <si>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</si>
  <si>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</si>
  <si>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</si>
  <si>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</si>
  <si>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</si>
  <si>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</si>
  <si>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</si>
  <si>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</si>
  <si>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</si>
  <si>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</si>
  <si>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</si>
  <si>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</si>
  <si>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</si>
  <si>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</si>
  <si>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</si>
  <si>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</si>
  <si>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</si>
  <si>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</si>
  <si>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</si>
  <si>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</si>
  <si>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</si>
  <si>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</si>
  <si>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</si>
  <si>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</si>
  <si>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</si>
  <si>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</si>
  <si>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</si>
  <si>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</si>
  <si>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</si>
  <si>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</si>
  <si>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</si>
  <si>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</si>
  <si>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</si>
  <si>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</si>
  <si>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</si>
  <si>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</si>
  <si>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</si>
  <si>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</si>
  <si>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</si>
  <si>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</si>
  <si>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</si>
  <si>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</si>
  <si>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</si>
  <si>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</si>
  <si>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</si>
  <si>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</si>
  <si>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</si>
  <si>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</si>
  <si>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</si>
  <si>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</si>
  <si>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</si>
  <si>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</si>
  <si>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</si>
  <si>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</si>
  <si>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</si>
  <si>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</si>
  <si>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</si>
  <si>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</si>
  <si>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</si>
  <si>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</si>
  <si>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</si>
  <si>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</si>
  <si>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</si>
  <si>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</si>
  <si>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</si>
  <si>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</si>
  <si>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</si>
  <si>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</si>
  <si>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</si>
  <si>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</si>
  <si>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</si>
  <si>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</si>
  <si>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</si>
  <si>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</si>
  <si>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</si>
  <si>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</si>
  <si>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</si>
  <si>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</si>
  <si>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</si>
  <si>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</si>
  <si>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</si>
  <si>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</si>
  <si>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</si>
  <si>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</si>
  <si>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</si>
  <si>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</si>
  <si>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</si>
  <si>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</si>
  <si>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</si>
  <si>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</si>
  <si>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</si>
  <si>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</si>
  <si>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</si>
  <si>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</si>
  <si>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</si>
  <si>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</si>
  <si>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</si>
  <si>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</si>
  <si>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</si>
  <si>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</si>
  <si>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</si>
  <si>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</si>
  <si>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</si>
  <si>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</si>
  <si>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</si>
  <si>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</si>
  <si>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</si>
  <si>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</si>
  <si>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</si>
  <si>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</si>
  <si>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</si>
  <si>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</si>
  <si>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</si>
  <si>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</si>
  <si>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</si>
  <si>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</si>
  <si>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</si>
  <si>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</si>
  <si>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</si>
  <si>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</si>
  <si>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</si>
  <si>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</si>
  <si>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</si>
  <si>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</si>
  <si>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</si>
  <si>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</si>
  <si>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</si>
  <si>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</si>
  <si>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</si>
  <si>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</si>
  <si>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</si>
  <si>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</si>
  <si>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</si>
  <si>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</si>
  <si>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</si>
  <si>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</si>
  <si>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</si>
  <si>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</si>
  <si>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</si>
  <si>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</si>
  <si>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</si>
  <si>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</si>
  <si>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</si>
  <si>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</si>
  <si>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</si>
  <si>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</si>
  <si>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</si>
  <si>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</si>
  <si>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</si>
  <si>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</si>
  <si>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</si>
  <si>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</si>
  <si>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</si>
  <si>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</si>
  <si>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</si>
  <si>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</si>
  <si>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</si>
  <si>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</si>
  <si>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</si>
  <si>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</si>
  <si>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</si>
  <si>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</si>
  <si>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</si>
  <si>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</si>
  <si>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</si>
  <si>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</si>
  <si>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</si>
  <si>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</si>
  <si>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</si>
  <si>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</si>
  <si>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</si>
  <si>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</si>
  <si>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</si>
  <si>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</si>
  <si>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</si>
  <si>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</si>
  <si>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</si>
  <si>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</si>
  <si>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</si>
  <si>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</si>
  <si>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</si>
  <si>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</si>
  <si>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</si>
  <si>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</si>
  <si>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</si>
  <si>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</si>
  <si>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</si>
  <si>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</si>
  <si>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</si>
  <si>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</si>
  <si>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</si>
  <si>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</si>
  <si>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</si>
  <si>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</si>
  <si>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</si>
  <si>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</si>
  <si>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</si>
  <si>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</si>
  <si>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</si>
  <si>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</si>
  <si>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</si>
  <si>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</si>
  <si>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</si>
  <si>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</si>
  <si>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</si>
  <si>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</si>
  <si>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</si>
  <si>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</si>
  <si>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</si>
  <si>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</si>
  <si>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</si>
  <si>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</si>
  <si>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</si>
  <si>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</si>
  <si>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</si>
  <si>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</si>
  <si>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</si>
  <si>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</si>
  <si>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</si>
  <si>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</si>
  <si>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</si>
  <si>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</si>
  <si>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</si>
  <si>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</si>
  <si>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</si>
  <si>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</si>
  <si>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</si>
  <si>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</si>
  <si>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</si>
  <si>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</si>
  <si>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</si>
  <si>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</si>
  <si>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</si>
  <si>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</si>
  <si>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</si>
  <si>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</si>
  <si>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</si>
  <si>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</si>
  <si>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</si>
  <si>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</si>
  <si>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</si>
  <si>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</si>
  <si>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</si>
  <si>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</si>
  <si>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</si>
  <si>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</si>
  <si>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</si>
  <si>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</si>
  <si>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</si>
  <si>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</si>
  <si>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</si>
  <si>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</si>
  <si>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</si>
  <si>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</si>
  <si>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</si>
  <si>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</si>
  <si>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</si>
  <si>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</si>
  <si>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</si>
  <si>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</si>
  <si>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</si>
  <si>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</si>
  <si>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</si>
  <si>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</si>
  <si>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</si>
  <si>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</si>
  <si>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</si>
  <si>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</si>
  <si>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</si>
  <si>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</si>
  <si>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</si>
  <si>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</si>
  <si>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</si>
  <si>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</si>
  <si>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</si>
  <si>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</si>
  <si>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</si>
  <si>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</si>
  <si>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</si>
  <si>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</si>
  <si>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</si>
  <si>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</si>
  <si>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</si>
  <si>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</si>
  <si>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</si>
  <si>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</si>
  <si>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</si>
  <si>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</si>
  <si>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</si>
  <si>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</si>
  <si>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</si>
  <si>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</si>
  <si>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</si>
  <si>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</si>
  <si>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</si>
  <si>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</si>
  <si>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</si>
  <si>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</si>
  <si>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</si>
  <si>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</si>
  <si>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</si>
  <si>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</si>
  <si>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</si>
  <si>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</si>
  <si>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</si>
  <si>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</si>
  <si>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</si>
  <si>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</si>
  <si>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</si>
  <si>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</si>
  <si>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</si>
  <si>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</si>
  <si>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</si>
  <si>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</si>
  <si>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</si>
  <si>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</si>
  <si>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</si>
  <si>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</si>
  <si>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</si>
  <si>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</si>
  <si>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</si>
  <si>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</si>
  <si>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</si>
  <si>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</si>
  <si>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</si>
  <si>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</si>
  <si>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</si>
  <si>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</si>
  <si>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</si>
  <si>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</si>
  <si>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</si>
  <si>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</si>
  <si>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</si>
  <si>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</si>
  <si>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</si>
  <si>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</si>
  <si>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</si>
  <si>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</si>
  <si>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</si>
  <si>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</si>
  <si>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</si>
  <si>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</si>
  <si>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</si>
  <si>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</si>
  <si>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</si>
  <si>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</si>
  <si>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</si>
  <si>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</si>
  <si>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</si>
  <si>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</si>
  <si>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</si>
  <si>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</si>
  <si>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</si>
  <si>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</si>
  <si>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</si>
  <si>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</si>
  <si>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</si>
  <si>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</si>
  <si>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</si>
  <si>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</si>
  <si>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</si>
  <si>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</si>
  <si>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</si>
  <si>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</si>
  <si>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</si>
  <si>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</si>
  <si>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</si>
  <si>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</si>
  <si>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</si>
  <si>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</si>
  <si>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</si>
  <si>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</si>
  <si>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</si>
  <si>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</si>
  <si>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</si>
  <si>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</si>
  <si>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</si>
  <si>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</si>
  <si>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</si>
  <si>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</si>
  <si>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</si>
  <si>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</si>
  <si>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</si>
  <si>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</si>
  <si>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</si>
  <si>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</si>
  <si>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</si>
  <si>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</si>
  <si>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</si>
  <si>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</si>
  <si>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</si>
  <si>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</si>
  <si>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</si>
  <si>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</si>
  <si>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</si>
  <si>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</si>
  <si>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</si>
  <si>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</si>
  <si>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</si>
  <si>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</si>
  <si>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</si>
  <si>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</si>
  <si>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</si>
  <si>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</si>
  <si>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</si>
  <si>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</si>
  <si>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</si>
  <si>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</si>
  <si>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</si>
  <si>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</si>
  <si>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</si>
  <si>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</si>
  <si>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</si>
  <si>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</si>
  <si>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</si>
  <si>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</si>
  <si>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</si>
  <si>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</si>
  <si>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</si>
  <si>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</si>
  <si>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</si>
  <si>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</si>
  <si>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</si>
  <si>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</si>
  <si>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</si>
  <si>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</si>
  <si>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</si>
  <si>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</si>
  <si>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</si>
  <si>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</si>
  <si>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</si>
  <si>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</si>
  <si>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</si>
  <si>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</si>
  <si>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</si>
  <si>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</si>
  <si>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</si>
  <si>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</si>
  <si>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</si>
  <si>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</si>
  <si>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</si>
  <si>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</si>
  <si>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</si>
  <si>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</si>
  <si>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</si>
  <si>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</si>
  <si>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</si>
  <si>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</si>
  <si>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</si>
  <si>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</si>
  <si>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</si>
  <si>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</si>
  <si>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</si>
  <si>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</si>
  <si>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</si>
  <si>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</si>
  <si>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</si>
  <si>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</si>
  <si>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</si>
  <si>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</si>
  <si>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</si>
  <si>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</si>
  <si>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</si>
  <si>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</si>
  <si>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</si>
  <si>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</si>
  <si>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</si>
  <si>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</si>
  <si>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</si>
  <si>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</si>
  <si>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</si>
  <si>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</si>
  <si>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</si>
  <si>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</si>
  <si>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</si>
  <si>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</si>
  <si>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</si>
  <si>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</si>
  <si>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</si>
  <si>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</si>
  <si>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</si>
  <si>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</si>
  <si>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</si>
  <si>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</si>
  <si>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</si>
  <si>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</si>
  <si>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</si>
  <si>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</si>
  <si>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</si>
  <si>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</si>
  <si>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</si>
  <si>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</si>
  <si>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</si>
  <si>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</si>
  <si>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</si>
  <si>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</si>
  <si>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</si>
  <si>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</si>
  <si>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</si>
  <si>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</si>
  <si>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</si>
  <si>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</si>
  <si>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</si>
  <si>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</si>
  <si>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</si>
  <si>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</si>
  <si>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</si>
  <si>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</si>
  <si>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</si>
  <si>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</si>
  <si>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</si>
  <si>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</si>
  <si>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</si>
  <si>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</si>
  <si>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</si>
  <si>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</si>
  <si>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</si>
  <si>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</si>
  <si>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</si>
  <si>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</si>
  <si>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</si>
  <si>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</si>
  <si>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</si>
  <si>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</si>
  <si>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</si>
  <si>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</si>
  <si>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</si>
  <si>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</si>
  <si>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</si>
  <si>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</si>
  <si>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</si>
  <si>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</si>
  <si>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</si>
  <si>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</si>
  <si>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</si>
  <si>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</si>
  <si>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</si>
  <si>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</si>
  <si>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</si>
  <si>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</si>
  <si>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</si>
  <si>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</si>
  <si>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</si>
  <si>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</si>
  <si>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</si>
  <si>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</si>
  <si>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</si>
  <si>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</si>
  <si>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</si>
  <si>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</si>
  <si>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</si>
  <si>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</si>
  <si>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</si>
  <si>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</si>
  <si>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</si>
  <si>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</si>
  <si>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</si>
  <si>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</si>
  <si>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</si>
  <si>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</si>
  <si>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</si>
  <si>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</si>
  <si>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</si>
  <si>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</si>
  <si>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</si>
  <si>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</si>
  <si>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</si>
  <si>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</si>
  <si>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</si>
  <si>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</si>
  <si>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</si>
  <si>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</si>
  <si>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</si>
  <si>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</si>
  <si>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</si>
  <si>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</si>
  <si>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</si>
  <si>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</si>
  <si>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</si>
  <si>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</si>
  <si>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</si>
  <si>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</si>
  <si>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</si>
  <si>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</si>
  <si>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</si>
  <si>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</si>
  <si>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</si>
  <si>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</si>
  <si>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</si>
  <si>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</si>
  <si>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</si>
  <si>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</si>
  <si>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</si>
  <si>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</si>
  <si>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</si>
  <si>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</si>
  <si>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</si>
  <si>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</si>
  <si>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</si>
  <si>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</si>
  <si>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</si>
  <si>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</si>
  <si>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</si>
  <si>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</si>
  <si>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</si>
  <si>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</si>
  <si>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</si>
  <si>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</si>
  <si>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</si>
  <si>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</si>
  <si>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</si>
  <si>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</si>
  <si>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</si>
  <si>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</si>
  <si>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</si>
  <si>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</si>
  <si>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</si>
  <si>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</si>
  <si>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</si>
  <si>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</si>
  <si>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</si>
  <si>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</si>
  <si>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</si>
  <si>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</si>
  <si>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</si>
  <si>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</si>
  <si>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</si>
  <si>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</si>
  <si>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</si>
  <si>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</si>
  <si>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</si>
  <si>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</si>
  <si>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</si>
  <si>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</si>
  <si>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</si>
  <si>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</si>
  <si>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</si>
  <si>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</si>
  <si>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</si>
  <si>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</si>
  <si>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</si>
  <si>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</si>
  <si>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</si>
  <si>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</si>
  <si>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</si>
  <si>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</si>
  <si>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</si>
  <si>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</si>
  <si>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</si>
  <si>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</si>
  <si>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</si>
  <si>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</si>
  <si>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</si>
  <si>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</si>
  <si>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五矿国际信托有限公司</t>
    <phoneticPr fontId="6" type="noConversion"/>
  </si>
  <si>
    <t>抵押</t>
  </si>
  <si>
    <t>房地产抵押价值</t>
  </si>
  <si>
    <t>其他：</t>
  </si>
  <si>
    <t>陕西省西安市</t>
    <phoneticPr fontId="6" type="noConversion"/>
  </si>
  <si>
    <t>地上</t>
  </si>
  <si>
    <t>工程进度</t>
  </si>
  <si>
    <t>高层住宅</t>
  </si>
  <si>
    <t>高层住宅</t>
    <phoneticPr fontId="7" type="noConversion"/>
  </si>
  <si>
    <t>洋房</t>
  </si>
  <si>
    <t>洋房</t>
    <phoneticPr fontId="7" type="noConversion"/>
  </si>
  <si>
    <t>赠送面积</t>
    <phoneticPr fontId="34" type="noConversion"/>
  </si>
  <si>
    <t>住宅</t>
    <phoneticPr fontId="34" type="noConversion"/>
  </si>
  <si>
    <t>唐顿庄园</t>
    <phoneticPr fontId="3" type="noConversion"/>
  </si>
  <si>
    <t>10平方米以内</t>
    <phoneticPr fontId="34" type="noConversion"/>
  </si>
  <si>
    <t>精装修</t>
  </si>
  <si>
    <t>精装修</t>
    <phoneticPr fontId="34"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</si>
  <si>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</si>
  <si>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</si>
  <si>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</si>
  <si>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</si>
  <si>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专业</t>
  </si>
  <si>
    <t>专业</t>
    <phoneticPr fontId="34" type="noConversion"/>
  </si>
  <si>
    <t>七通</t>
  </si>
  <si>
    <t>七通</t>
    <phoneticPr fontId="34" type="noConversion"/>
  </si>
  <si>
    <t>高档</t>
  </si>
  <si>
    <t>高档</t>
    <phoneticPr fontId="34" type="noConversion"/>
  </si>
  <si>
    <t>钢混</t>
  </si>
  <si>
    <t>钢混</t>
    <phoneticPr fontId="34" type="noConversion"/>
  </si>
  <si>
    <t>高层</t>
  </si>
  <si>
    <t>高层</t>
    <phoneticPr fontId="34" type="noConversion"/>
  </si>
  <si>
    <t>10平方米以上</t>
    <phoneticPr fontId="34" type="noConversion"/>
  </si>
  <si>
    <t>10平方米以上</t>
    <phoneticPr fontId="34" type="noConversion"/>
  </si>
  <si>
    <t>10平方米以内</t>
    <phoneticPr fontId="34" type="noConversion"/>
  </si>
  <si>
    <t>万科东方传奇</t>
    <phoneticPr fontId="3" type="noConversion"/>
  </si>
  <si>
    <t>阳光城</t>
    <phoneticPr fontId="3" type="noConversion"/>
  </si>
  <si>
    <t>毛坯</t>
  </si>
  <si>
    <t>较好</t>
  </si>
  <si>
    <t>土地比较法-住宅</t>
    <phoneticPr fontId="17" type="noConversion"/>
  </si>
  <si>
    <t>成本法</t>
  </si>
  <si>
    <t>假设开发法</t>
  </si>
  <si>
    <t>一般</t>
  </si>
  <si>
    <t>地块名称</t>
  </si>
  <si>
    <t>城市</t>
  </si>
  <si>
    <t>用地性质</t>
  </si>
  <si>
    <t>板块</t>
  </si>
  <si>
    <t>出让方式</t>
  </si>
  <si>
    <t>地块编号</t>
  </si>
  <si>
    <t>详细规划</t>
  </si>
  <si>
    <t>建设用地面积(㎡)</t>
  </si>
  <si>
    <t>规划建筑面积(㎡)</t>
  </si>
  <si>
    <t>容积率</t>
  </si>
  <si>
    <t>商业比例</t>
  </si>
  <si>
    <t>保障房类型</t>
  </si>
  <si>
    <t>配建自住房情况</t>
  </si>
  <si>
    <t>截止日期</t>
  </si>
  <si>
    <t>成交日期</t>
  </si>
  <si>
    <t>受让单位</t>
  </si>
  <si>
    <t>起始价(万元)</t>
  </si>
  <si>
    <t>成交价(万元)</t>
  </si>
  <si>
    <t>成交楼面价(元/㎡)</t>
  </si>
  <si>
    <t>溢价率</t>
  </si>
  <si>
    <t>出让年限</t>
  </si>
  <si>
    <t>曲江新区裴家崆路以南、航天大道以北、新开门南路以东、西康高速西辅路以西</t>
  </si>
  <si>
    <t>西安市</t>
  </si>
  <si>
    <t>住宅用地</t>
  </si>
  <si>
    <t>挂牌</t>
  </si>
  <si>
    <t>QJ8-8-19</t>
    <phoneticPr fontId="3" type="noConversion"/>
  </si>
  <si>
    <t>其他普通商品住房用地</t>
  </si>
  <si>
    <t>≥2且≤2.8</t>
  </si>
  <si>
    <t>2017-06-27</t>
  </si>
  <si>
    <t>贯满有限公司</t>
  </si>
  <si>
    <t>70年</t>
  </si>
  <si>
    <r>
      <rPr>
        <sz val="10"/>
        <rFont val="宋体"/>
        <family val="3"/>
        <charset val="134"/>
      </rPr>
      <t>曲江新区</t>
    </r>
    <r>
      <rPr>
        <sz val="11"/>
        <color theme="1"/>
        <rFont val="宋体"/>
        <family val="3"/>
        <charset val="134"/>
        <scheme val="minor"/>
      </rPr>
      <t>18</t>
    </r>
    <r>
      <rPr>
        <sz val="10"/>
        <rFont val="宋体"/>
        <family val="3"/>
        <charset val="134"/>
      </rPr>
      <t>号路以东、西安景恒房地产开发有限公司以南</t>
    </r>
    <phoneticPr fontId="3" type="noConversion"/>
  </si>
  <si>
    <t>QJ7-1-26</t>
  </si>
  <si>
    <t>≥1.5且≤2</t>
  </si>
  <si>
    <t>2017-01-25</t>
  </si>
  <si>
    <t>西安虹瑞置业有限公司</t>
    <phoneticPr fontId="3" type="noConversion"/>
  </si>
  <si>
    <t>曲江新区雁翔路以西、五典坡路以南、西康高速公路以东</t>
    <phoneticPr fontId="3" type="noConversion"/>
  </si>
  <si>
    <t>综合用地(含住宅)</t>
  </si>
  <si>
    <t>QJ7-8-37</t>
  </si>
  <si>
    <t>住宅、商业用地</t>
  </si>
  <si>
    <t>西安合汇兴尚置业有限公司</t>
  </si>
  <si>
    <t>住宅70年、商业40年</t>
  </si>
  <si>
    <t>较规则</t>
  </si>
  <si>
    <t>较规则</t>
    <phoneticPr fontId="45" type="noConversion"/>
  </si>
  <si>
    <t>较好</t>
    <phoneticPr fontId="45" type="noConversion"/>
  </si>
  <si>
    <t>高速路</t>
  </si>
  <si>
    <t>高速路</t>
    <phoneticPr fontId="45" type="noConversion"/>
  </si>
  <si>
    <t>快速路</t>
    <phoneticPr fontId="45" type="noConversion"/>
  </si>
  <si>
    <t>城市主干道</t>
    <phoneticPr fontId="45" type="noConversion"/>
  </si>
  <si>
    <t>城市次干道</t>
    <phoneticPr fontId="45" type="noConversion"/>
  </si>
  <si>
    <t>支路</t>
  </si>
  <si>
    <t>支路</t>
    <phoneticPr fontId="45" type="noConversion"/>
  </si>
  <si>
    <t>住宅</t>
    <phoneticPr fontId="45" type="noConversion"/>
  </si>
  <si>
    <t>已包含在土地取得成本中</t>
  </si>
  <si>
    <t>未包含在土地购买价格中</t>
  </si>
  <si>
    <t>市财发〔2013〕140号</t>
  </si>
  <si>
    <t>洋房</t>
    <phoneticPr fontId="34" type="noConversion"/>
  </si>
  <si>
    <t>小高层</t>
  </si>
  <si>
    <t>小高层</t>
    <phoneticPr fontId="205" type="noConversion"/>
  </si>
  <si>
    <t>高层</t>
    <phoneticPr fontId="205" type="noConversion"/>
  </si>
  <si>
    <t>三通</t>
  </si>
  <si>
    <t>西安绿德置业有限公司</t>
    <phoneticPr fontId="6" type="noConversion"/>
  </si>
  <si>
    <t>西安绿德置业有限公司</t>
    <phoneticPr fontId="6" type="noConversion"/>
  </si>
  <si>
    <t>西安曲江新区南三环以北、公园南路以西</t>
    <phoneticPr fontId="6" type="noConversion"/>
  </si>
  <si>
    <t>14#（34层）</t>
    <phoneticPr fontId="3" type="noConversion"/>
  </si>
  <si>
    <t>15#（44层）</t>
    <phoneticPr fontId="3" type="noConversion"/>
  </si>
  <si>
    <t>16#（41层）</t>
    <phoneticPr fontId="3" type="noConversion"/>
  </si>
  <si>
    <t>12#（34层）</t>
    <phoneticPr fontId="3" type="noConversion"/>
  </si>
  <si>
    <t>13#（9+1层）</t>
    <phoneticPr fontId="3" type="noConversion"/>
  </si>
  <si>
    <t>地下</t>
  </si>
  <si>
    <t>阳光城紫金城</t>
    <phoneticPr fontId="3" type="noConversion"/>
  </si>
  <si>
    <t>快速路</t>
  </si>
  <si>
    <t>阳光城</t>
    <phoneticPr fontId="3" type="noConversion"/>
  </si>
  <si>
    <t>七通</t>
    <phoneticPr fontId="45" type="noConversion"/>
  </si>
  <si>
    <t>三通</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</si>
</sst>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16" borderId="1" xfId="0" applyFont="1" applyFill="1" applyBorder="1" applyAlignment="1" applyProtection="1">
      <alignment horizontal="center" vertical="center" wrapText="1"/>
      <protection locked="0"/>
    </xf>
    <xf numFmtId="0" fontId="68" fillId="16" borderId="1" xfId="0" applyFont="1" applyFill="1" applyBorder="1" applyAlignment="1" applyProtection="1">
      <alignment horizontal="center" vertical="center" wrapText="1"/>
      <protection locked="0"/>
    </xf>
    <xf numFmtId="0" fontId="68" fillId="16"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0" fillId="0" borderId="0" xfId="0" applyFill="1" applyAlignment="1"/>
    <xf numFmtId="179" fontId="25" fillId="0" borderId="0" xfId="0" applyNumberFormat="1" applyFo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57" fillId="5" borderId="37"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47" fillId="5" borderId="48" xfId="0" applyNumberFormat="1" applyFont="1" applyFill="1" applyBorder="1" applyAlignment="1" applyProtection="1">
      <alignment horizontal="center" vertical="center" wrapText="1"/>
    </xf>
    <xf numFmtId="0" fontId="212" fillId="5" borderId="5" xfId="0" applyFont="1" applyFill="1" applyBorder="1" applyAlignment="1" applyProtection="1">
      <alignment horizontal="center" vertical="center" wrapText="1"/>
      <protection locked="0"/>
    </xf>
    <xf numFmtId="10" fontId="212" fillId="5" borderId="1" xfId="1" applyNumberFormat="1" applyFont="1" applyFill="1" applyBorder="1" applyAlignment="1" applyProtection="1">
      <alignment horizontal="center" vertical="center"/>
      <protection locked="0"/>
    </xf>
    <xf numFmtId="10" fontId="157" fillId="5" borderId="1" xfId="1" applyNumberFormat="1" applyFont="1" applyFill="1" applyBorder="1" applyAlignment="1" applyProtection="1">
      <alignment horizontal="center" vertical="center"/>
      <protection locked="0"/>
    </xf>
    <xf numFmtId="9" fontId="158" fillId="5" borderId="37" xfId="0" applyNumberFormat="1" applyFont="1" applyFill="1" applyBorder="1" applyAlignment="1" applyProtection="1">
      <alignment horizontal="center" vertical="center" wrapText="1"/>
      <protection locked="0"/>
    </xf>
    <xf numFmtId="0" fontId="157" fillId="5" borderId="6" xfId="0" applyNumberFormat="1" applyFont="1" applyFill="1" applyBorder="1" applyAlignment="1" applyProtection="1">
      <alignment horizontal="center" vertical="center" wrapText="1"/>
      <protection locked="0"/>
    </xf>
    <xf numFmtId="0" fontId="157" fillId="5" borderId="53" xfId="0" applyNumberFormat="1"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5</xdr:row>
      <xdr:rowOff>133350</xdr:rowOff>
    </xdr:from>
    <xdr:to>
      <xdr:col>4</xdr:col>
      <xdr:colOff>284632</xdr:colOff>
      <xdr:row>44</xdr:row>
      <xdr:rowOff>56324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990600"/>
          <a:ext cx="8952382"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22320;&#22359;&#26410;&#24320;&#21457;&#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532;&#19968;&#22320;&#22359;&#65288;&#22312;&#24314;&#21830;&#19994;&#21450;&#26410;&#24320;&#21457;&#20303;&#234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1532;&#19968;&#22320;&#22359;&#26410;&#24320;&#21457;&#37096;&#20998;&#65288;&#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46703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29112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6003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1" customWidth="1"/>
    <col min="2" max="2" width="81" style="3068" customWidth="1"/>
    <col min="3" max="16384" width="9" style="3066"/>
  </cols>
  <sheetData>
    <row r="1" spans="1:2" s="3054" customFormat="1" ht="16.5" thickBot="1">
      <c r="A1" s="3053" t="s">
        <v>2802</v>
      </c>
      <c r="B1" s="3052" t="s">
        <v>2891</v>
      </c>
    </row>
    <row r="2" spans="1:2" s="3057" customFormat="1" ht="15" thickTop="1">
      <c r="A2" s="3055" t="s">
        <v>2803</v>
      </c>
      <c r="B2" s="3056" t="str">
        <f>'预评函-封皮'!B37:I37</f>
        <v>陕西省西安市西安曲江新区南三环以北、公园南路以西出让国有建设用地使用权及在建建筑物房地产抵押价值预评估</v>
      </c>
    </row>
    <row r="3" spans="1:2" s="3060" customFormat="1">
      <c r="A3" s="3058" t="s">
        <v>2804</v>
      </c>
      <c r="B3" s="3059" t="str">
        <f>'预评函-封皮'!B40</f>
        <v>西安绿德置业有限公司</v>
      </c>
    </row>
    <row r="4" spans="1:2" s="3060" customFormat="1">
      <c r="A4" s="3058" t="s">
        <v>2805</v>
      </c>
      <c r="B4" s="3059" t="str">
        <f ca="1">'预评函-封皮'!B46</f>
        <v>王鹏（注册号：1120050019)、郑燚（注册号：1120070131)</v>
      </c>
    </row>
    <row r="5" spans="1:2" s="3054" customFormat="1" ht="15" thickBot="1">
      <c r="A5" s="3061" t="s">
        <v>2806</v>
      </c>
      <c r="B5" s="3062" t="str">
        <f>'预评函-封皮'!B49</f>
        <v>康正预评字号</v>
      </c>
    </row>
    <row r="6" spans="1:2" s="3057" customFormat="1" ht="15" thickTop="1">
      <c r="A6" s="3055" t="s">
        <v>2807</v>
      </c>
      <c r="B6" s="3056" t="str">
        <f>'预评函-1'!A4</f>
        <v>受贵公司委托，我公司对陕西省西安市西安曲江新区南三环以北、公园南路以西出让国有建设用地使用权及在建建筑物房地产抵押价值进行了预评估。</v>
      </c>
    </row>
    <row r="7" spans="1:2" s="3060" customFormat="1">
      <c r="A7" s="3058" t="s">
        <v>2847</v>
      </c>
      <c r="B7" s="3059" t="str">
        <f>'预评函-1'!A7</f>
        <v>估价对象为陕西省西安市西安曲江新区南三环以北、公园南路以西出让国有建设用地使用权及在建建筑物房地产，为西安绿德置业有限公司所有。根据，估价对象（分摊）出让国有建设用地使用权面积为14746.3平方米，建筑面积为62458.42平方米。</v>
      </c>
    </row>
    <row r="8" spans="1:2" s="3060" customFormat="1">
      <c r="A8" s="3058" t="s">
        <v>2848</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2849</v>
      </c>
      <c r="B9" s="3059" t="str">
        <f>'预评函-1'!A10</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14746.3平方米，规划建筑面积为62458.42平方米。</v>
      </c>
    </row>
    <row r="10" spans="1:2" s="3060" customFormat="1">
      <c r="A10" s="3058" t="s">
        <v>2850</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2808</v>
      </c>
      <c r="B11" s="3059" t="str">
        <f>'预评函-1'!A13</f>
        <v>为估价委托人在向五矿国际信托有限公司办理贷款手续过程中，确定房地产抵押贷款额度提供参考依据而评估房地产抵押价值。</v>
      </c>
    </row>
    <row r="12" spans="1:2" s="3060" customFormat="1">
      <c r="A12" s="3058" t="s">
        <v>2809</v>
      </c>
      <c r="B12" s="3059" t="str">
        <f>'预评函-1'!A15</f>
        <v>2017年8月30日（评估专业人员实地查勘之日）</v>
      </c>
    </row>
    <row r="13" spans="1:2" s="3060" customFormat="1">
      <c r="A13" s="3058" t="s">
        <v>2810</v>
      </c>
      <c r="B13" s="3059" t="str">
        <f>'预评函-1'!A18</f>
        <v>本次估价的“房地产价值”是指在正常市场情况下，在价值时点2017年8月30日，估价对象规划用途为，土地取得方式为出让，出让国有建设用地使用权剩余土地使用年限为，假定未设立法定优先受偿款下的房地产市场价值。</v>
      </c>
    </row>
    <row r="14" spans="1:2" s="3060" customFormat="1">
      <c r="A14" s="3058" t="s">
        <v>2811</v>
      </c>
      <c r="B14" s="30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2812</v>
      </c>
      <c r="B15" s="3059" t="str">
        <f>'预评函-1'!A20</f>
        <v>本次估价的“房地产抵押价值”是指估价对象在价值时点的“房地产价值”扣减估价师于价值时点所知悉的法定优先受偿款后的余额。</v>
      </c>
    </row>
    <row r="16" spans="1:2" s="3060" customFormat="1">
      <c r="A16" s="3058" t="s">
        <v>2813</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2814</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2815</v>
      </c>
      <c r="B18" s="3062" t="str">
        <f>'预评函-1'!A24</f>
        <v>本次评估采用的主估价方法为成本法和假设开发法。</v>
      </c>
    </row>
    <row r="19" spans="1:2" s="3057" customFormat="1" ht="15" thickTop="1">
      <c r="A19" s="3055" t="s">
        <v>2816</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2817</v>
      </c>
      <c r="B20" s="3059">
        <f ca="1">'预评函-2'!D5</f>
        <v>32896</v>
      </c>
    </row>
    <row r="21" spans="1:2" s="3060" customFormat="1">
      <c r="A21" s="3058" t="s">
        <v>2818</v>
      </c>
      <c r="B21" s="3059">
        <f ca="1">'预评函-2'!D7</f>
        <v>5267</v>
      </c>
    </row>
    <row r="22" spans="1:2" s="3060" customFormat="1">
      <c r="A22" s="3058" t="s">
        <v>2819</v>
      </c>
      <c r="B22" s="3059" t="str">
        <f ca="1">'预评函-2'!D6</f>
        <v>叁亿贰仟捌佰玖拾陆万元整</v>
      </c>
    </row>
    <row r="23" spans="1:2" s="3060" customFormat="1">
      <c r="A23" s="3058" t="s">
        <v>2879</v>
      </c>
      <c r="B23" s="3059" t="str">
        <f>'预评函-2'!B8</f>
        <v>2.估价师知悉的法定优先受偿款</v>
      </c>
    </row>
    <row r="24" spans="1:2" s="3060" customFormat="1">
      <c r="A24" s="3058" t="s">
        <v>2885</v>
      </c>
      <c r="B24" s="3059">
        <f>'预评函-2'!D8</f>
        <v>0</v>
      </c>
    </row>
    <row r="25" spans="1:2" s="3060" customFormat="1">
      <c r="A25" s="3058" t="s">
        <v>2820</v>
      </c>
      <c r="B25" s="3059" t="str">
        <f>'预评函-2'!D9</f>
        <v>零元整</v>
      </c>
    </row>
    <row r="26" spans="1:2" s="3060" customFormat="1">
      <c r="A26" s="3058" t="s">
        <v>2821</v>
      </c>
      <c r="B26" s="3059">
        <f>'预评函-2'!D10</f>
        <v>0</v>
      </c>
    </row>
    <row r="27" spans="1:2" s="3060" customFormat="1">
      <c r="A27" s="3058" t="s">
        <v>2822</v>
      </c>
      <c r="B27" s="3059">
        <f>'预评函-2'!D11</f>
        <v>0</v>
      </c>
    </row>
    <row r="28" spans="1:2" s="3060" customFormat="1">
      <c r="A28" s="3058" t="s">
        <v>2823</v>
      </c>
      <c r="B28" s="3059">
        <f>'预评函-2'!D12</f>
        <v>0</v>
      </c>
    </row>
    <row r="29" spans="1:2" s="3060" customFormat="1">
      <c r="A29" s="3058" t="s">
        <v>2883</v>
      </c>
      <c r="B29" s="3059" t="str">
        <f>'预评函-2'!B13</f>
        <v>3.房地产抵押价值</v>
      </c>
    </row>
    <row r="30" spans="1:2" s="3060" customFormat="1">
      <c r="A30" s="3058" t="s">
        <v>2884</v>
      </c>
      <c r="B30" s="3059">
        <f ca="1">'预评函-2'!D13</f>
        <v>32896</v>
      </c>
    </row>
    <row r="31" spans="1:2" s="3060" customFormat="1">
      <c r="A31" s="3058" t="s">
        <v>2858</v>
      </c>
      <c r="B31" s="3059">
        <f ca="1">'预评函-2'!D15</f>
        <v>5267</v>
      </c>
    </row>
    <row r="32" spans="1:2" s="3060" customFormat="1">
      <c r="A32" s="3058" t="s">
        <v>2824</v>
      </c>
      <c r="B32" s="3059" t="str">
        <f ca="1">'预评函-2'!D14</f>
        <v>叁亿贰仟捌佰玖拾陆万元整</v>
      </c>
    </row>
    <row r="33" spans="1:2" s="3060" customFormat="1">
      <c r="A33" s="3058" t="s">
        <v>2860</v>
      </c>
      <c r="B33" s="3059" t="str">
        <f>'预评函-2'!B16</f>
        <v>——</v>
      </c>
    </row>
    <row r="34" spans="1:2" s="3060" customFormat="1">
      <c r="A34" s="3058" t="s">
        <v>2886</v>
      </c>
      <c r="B34" s="3059" t="str">
        <f>'预评函-2'!D16</f>
        <v>——</v>
      </c>
    </row>
    <row r="35" spans="1:2" s="3060" customFormat="1">
      <c r="A35" s="3058" t="s">
        <v>2859</v>
      </c>
      <c r="B35" s="3059" t="str">
        <f>'预评函-2'!D18</f>
        <v>——</v>
      </c>
    </row>
    <row r="36" spans="1:2" s="3060" customFormat="1">
      <c r="A36" s="3058" t="s">
        <v>2825</v>
      </c>
      <c r="B36" s="3059" t="e">
        <f>'预评函-2'!D17</f>
        <v>#VALUE!</v>
      </c>
    </row>
    <row r="37" spans="1:2" s="3060" customFormat="1">
      <c r="A37" s="3058" t="s">
        <v>2861</v>
      </c>
      <c r="B37" s="3059" t="str">
        <f>'预评函-2'!B19</f>
        <v>——</v>
      </c>
    </row>
    <row r="38" spans="1:2" s="3060" customFormat="1">
      <c r="A38" s="3058" t="s">
        <v>2887</v>
      </c>
      <c r="B38" s="3059" t="str">
        <f>'预评函-2'!D19</f>
        <v>——</v>
      </c>
    </row>
    <row r="39" spans="1:2" s="3060" customFormat="1">
      <c r="A39" s="3058" t="s">
        <v>2826</v>
      </c>
      <c r="B39" s="3059" t="str">
        <f>'预评函-2'!D21</f>
        <v>——</v>
      </c>
    </row>
    <row r="40" spans="1:2" s="3060" customFormat="1">
      <c r="A40" s="3058" t="s">
        <v>2827</v>
      </c>
      <c r="B40" s="3059" t="e">
        <f>'预评函-2'!D20</f>
        <v>#VALUE!</v>
      </c>
    </row>
    <row r="41" spans="1:2" s="3060" customFormat="1">
      <c r="A41" s="3058" t="s">
        <v>2882</v>
      </c>
      <c r="B41" s="3059" t="str">
        <f>'预评函-3'!A4</f>
        <v>陕西省西安市西安曲江新区南三环以北、公园南路以西出让国有建设用地使用权及在建建筑物房地产</v>
      </c>
    </row>
    <row r="42" spans="1:2" s="3060" customFormat="1">
      <c r="A42" s="3058" t="s">
        <v>2880</v>
      </c>
      <c r="B42" s="3059" t="str">
        <f>'预评函-3'!B2</f>
        <v>建筑面积</v>
      </c>
    </row>
    <row r="43" spans="1:2" s="3060" customFormat="1">
      <c r="A43" s="3058" t="s">
        <v>2881</v>
      </c>
      <c r="B43" s="3059">
        <f>'预评函-3'!B4</f>
        <v>62458.42</v>
      </c>
    </row>
    <row r="44" spans="1:2" s="3060" customFormat="1">
      <c r="A44" s="3058" t="s">
        <v>2857</v>
      </c>
      <c r="B44" s="3059" t="str">
        <f>'预评函-3'!C2</f>
        <v>(分摊)土地面积</v>
      </c>
    </row>
    <row r="45" spans="1:2" s="3060" customFormat="1">
      <c r="A45" s="3058" t="s">
        <v>2828</v>
      </c>
      <c r="B45" s="3059">
        <f>'预评函-3'!C4</f>
        <v>14746.3</v>
      </c>
    </row>
    <row r="46" spans="1:2" s="3060" customFormat="1">
      <c r="A46" s="3058" t="s">
        <v>2855</v>
      </c>
      <c r="B46" s="3059" t="str">
        <f>'预评函-3'!D2</f>
        <v>出让国有建设用地使用权价值</v>
      </c>
    </row>
    <row r="47" spans="1:2" s="3060" customFormat="1">
      <c r="A47" s="3058" t="s">
        <v>2829</v>
      </c>
      <c r="B47" s="3059" t="e">
        <f ca="1">'预评函-3'!D4</f>
        <v>#REF!</v>
      </c>
    </row>
    <row r="48" spans="1:2" s="3060" customFormat="1">
      <c r="A48" s="3058" t="s">
        <v>2830</v>
      </c>
      <c r="B48" s="3059" t="e">
        <f ca="1">'预评函-3'!E4</f>
        <v>#REF!</v>
      </c>
    </row>
    <row r="49" spans="1:2" s="3060" customFormat="1">
      <c r="A49" s="3058" t="s">
        <v>2831</v>
      </c>
      <c r="B49" s="3059" t="e">
        <f ca="1">'预评函-3'!D5</f>
        <v>#REF!</v>
      </c>
    </row>
    <row r="50" spans="1:2" s="3060" customFormat="1">
      <c r="A50" s="3058" t="s">
        <v>2856</v>
      </c>
      <c r="B50" s="3059" t="str">
        <f>'预评函-3'!F2</f>
        <v>在建建筑物价值</v>
      </c>
    </row>
    <row r="51" spans="1:2" s="3060" customFormat="1">
      <c r="A51" s="3058" t="s">
        <v>2832</v>
      </c>
      <c r="B51" s="3059" t="e">
        <f ca="1">'预评函-3'!F4</f>
        <v>#REF!</v>
      </c>
    </row>
    <row r="52" spans="1:2" s="3060" customFormat="1">
      <c r="A52" s="3058" t="s">
        <v>2833</v>
      </c>
      <c r="B52" s="3059" t="e">
        <f ca="1">'预评函-3'!G4</f>
        <v>#REF!</v>
      </c>
    </row>
    <row r="53" spans="1:2" s="3060" customFormat="1">
      <c r="A53" s="3058" t="s">
        <v>2862</v>
      </c>
      <c r="B53" s="3059" t="e">
        <f ca="1">'预评函-3'!F5</f>
        <v>#REF!</v>
      </c>
    </row>
    <row r="54" spans="1:2" s="3060" customFormat="1">
      <c r="A54" s="3058" t="s">
        <v>2889</v>
      </c>
      <c r="B54" s="3059" t="str">
        <f>'预评函-3'!A8</f>
        <v>房地产抵押价值</v>
      </c>
    </row>
    <row r="55" spans="1:2" s="3060" customFormat="1">
      <c r="A55" s="3058" t="s">
        <v>2863</v>
      </c>
      <c r="B55" s="3059" t="str">
        <f>'预评函-3'!A10</f>
        <v/>
      </c>
    </row>
    <row r="56" spans="1:2" s="3060" customFormat="1">
      <c r="A56" s="3058" t="s">
        <v>2864</v>
      </c>
      <c r="B56" s="3059" t="str">
        <f>'预评函-3'!A12</f>
        <v/>
      </c>
    </row>
    <row r="57" spans="1:2" s="3054" customFormat="1" ht="15" thickBot="1">
      <c r="A57" s="3061" t="s">
        <v>2890</v>
      </c>
      <c r="B57" s="3062" t="str">
        <f>'预评函-3'!A6</f>
        <v>估价师知悉的法定优先受偿款</v>
      </c>
    </row>
    <row r="58" spans="1:2" s="3057" customFormat="1" ht="15" thickTop="1">
      <c r="A58" s="3055" t="s">
        <v>2834</v>
      </c>
      <c r="B58" s="3056" t="str">
        <f>'预评函-4'!A12</f>
        <v>2.本《评估意见函》仅供金融机构进行内部审核使用，不做其他目的之用。</v>
      </c>
    </row>
    <row r="59" spans="1:2" s="3060" customFormat="1">
      <c r="A59" s="3058" t="s">
        <v>2835</v>
      </c>
      <c r="B59" s="3059" t="str">
        <f>'预评函-4'!A13</f>
        <v>3.抵押双方在办理抵押登记手续时，应使用本公司出具的正式《房地产评估报告》，特提醒报告使用者注意。</v>
      </c>
    </row>
    <row r="60" spans="1:2" s="3060" customFormat="1">
      <c r="A60" s="3058" t="s">
        <v>2836</v>
      </c>
      <c r="B60" s="3059" t="str">
        <f>'预评函-4'!A14</f>
        <v>4.本次评估估价师所知悉的法定优先受偿款情况说明如下：</v>
      </c>
    </row>
    <row r="61" spans="1:2" s="3060" customFormat="1">
      <c r="A61" s="3058" t="s">
        <v>2837</v>
      </c>
      <c r="B61" s="30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2838</v>
      </c>
      <c r="B62" s="3059" t="str">
        <f>'预评函-4'!A16</f>
        <v>（2）根据《工程款支付情况说明》，截至价值时点，估价对象不存在应付未付工程款项。（只要没有施工方盖章的，均“设定”进行表述）</v>
      </c>
    </row>
    <row r="63" spans="1:2" s="3060" customFormat="1">
      <c r="A63" s="3058" t="s">
        <v>2839</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2851</v>
      </c>
      <c r="B64" s="3059" t="str">
        <f>'预评函-4'!A18</f>
        <v>故，本次评估不存在估价师知悉的法定优先受偿款</v>
      </c>
    </row>
    <row r="65" spans="1:2" s="3060" customFormat="1">
      <c r="A65" s="3058" t="s">
        <v>2840</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2841</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2852</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2853</v>
      </c>
      <c r="B68" s="3059" t="str">
        <f>'预评函-4'!A22</f>
        <v>8.其他需特殊说明事项：无（注意调整序号）</v>
      </c>
    </row>
    <row r="69" spans="1:2" s="3054" customFormat="1" ht="15" thickBot="1">
      <c r="A69" s="3061" t="s">
        <v>2842</v>
      </c>
      <c r="B69" s="3063">
        <f>'预评函-4'!C31</f>
        <v>42551</v>
      </c>
    </row>
    <row r="70" spans="1:2" ht="15" thickTop="1">
      <c r="A70" s="3064" t="s">
        <v>2843</v>
      </c>
      <c r="B70" s="3065" t="str">
        <f>'预评函-4'!A4</f>
        <v>王鹏</v>
      </c>
    </row>
    <row r="71" spans="1:2">
      <c r="A71" s="3058" t="s">
        <v>2844</v>
      </c>
      <c r="B71" s="3059">
        <f ca="1">'预评函-4'!B4</f>
        <v>1120050019</v>
      </c>
    </row>
    <row r="72" spans="1:2">
      <c r="A72" s="3058" t="s">
        <v>2845</v>
      </c>
      <c r="B72" s="3067" t="str">
        <f>'预评函-4'!A5</f>
        <v>郑燚</v>
      </c>
    </row>
    <row r="73" spans="1:2" s="3054" customFormat="1" ht="15" thickBot="1">
      <c r="A73" s="3061" t="s">
        <v>2846</v>
      </c>
      <c r="B73" s="3062">
        <f ca="1">'预评函-4'!B5</f>
        <v>1120070131</v>
      </c>
    </row>
    <row r="74" spans="1:2" ht="15" thickTop="1">
      <c r="A74" s="3051" t="s">
        <v>2907</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2" sqref="Y12"/>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7" t="s">
        <v>1876</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1848</v>
      </c>
      <c r="Q1" s="11" t="s">
        <v>2647</v>
      </c>
      <c r="R1" s="1485" t="s">
        <v>2637</v>
      </c>
      <c r="S1" s="289" t="s">
        <v>268</v>
      </c>
      <c r="T1" s="290" t="s">
        <v>269</v>
      </c>
      <c r="U1" s="289" t="s">
        <v>270</v>
      </c>
      <c r="V1" s="289" t="s">
        <v>271</v>
      </c>
      <c r="W1" s="1485" t="s">
        <v>1851</v>
      </c>
    </row>
    <row r="2" spans="1:23">
      <c r="A2" s="2796" t="s">
        <v>114</v>
      </c>
      <c r="B2" s="2796" t="s">
        <v>578</v>
      </c>
      <c r="C2" s="1768" t="s">
        <v>1877</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2641</v>
      </c>
      <c r="S2" s="291" t="s">
        <v>230</v>
      </c>
      <c r="T2" s="291" t="s">
        <v>231</v>
      </c>
      <c r="U2" s="291" t="s">
        <v>230</v>
      </c>
      <c r="V2" s="291" t="s">
        <v>232</v>
      </c>
      <c r="W2" s="291" t="s">
        <v>230</v>
      </c>
    </row>
    <row r="3" spans="1:23">
      <c r="A3" s="2796" t="s">
        <v>577</v>
      </c>
      <c r="B3" s="2797" t="s">
        <v>2683</v>
      </c>
      <c r="C3" s="1769" t="s">
        <v>1878</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2639</v>
      </c>
      <c r="S3" s="291" t="s">
        <v>238</v>
      </c>
      <c r="T3" s="291" t="s">
        <v>239</v>
      </c>
      <c r="U3" s="291" t="s">
        <v>238</v>
      </c>
      <c r="V3" s="291" t="s">
        <v>240</v>
      </c>
      <c r="W3" s="291" t="s">
        <v>238</v>
      </c>
    </row>
    <row r="4" spans="1:23">
      <c r="A4" s="2796" t="s">
        <v>579</v>
      </c>
      <c r="B4" s="2796" t="s">
        <v>580</v>
      </c>
      <c r="C4" s="1768" t="s">
        <v>1879</v>
      </c>
      <c r="D4" s="291" t="s">
        <v>2047</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2642</v>
      </c>
      <c r="S4" s="291" t="s">
        <v>241</v>
      </c>
      <c r="T4" s="291" t="s">
        <v>242</v>
      </c>
      <c r="U4" s="291" t="s">
        <v>241</v>
      </c>
      <c r="W4" s="291" t="s">
        <v>241</v>
      </c>
    </row>
    <row r="5" spans="1:23">
      <c r="A5" s="2796" t="s">
        <v>581</v>
      </c>
      <c r="B5" s="2796" t="s">
        <v>582</v>
      </c>
      <c r="C5" s="1768" t="s">
        <v>1880</v>
      </c>
      <c r="F5" s="291" t="s">
        <v>243</v>
      </c>
      <c r="H5" s="291" t="s">
        <v>244</v>
      </c>
      <c r="I5" s="291" t="s">
        <v>245</v>
      </c>
      <c r="K5" s="291" t="s">
        <v>246</v>
      </c>
      <c r="L5" s="291" t="s">
        <v>246</v>
      </c>
      <c r="M5" s="291" t="s">
        <v>246</v>
      </c>
      <c r="N5" s="291" t="s">
        <v>246</v>
      </c>
      <c r="O5" s="291" t="s">
        <v>246</v>
      </c>
      <c r="P5" s="291" t="s">
        <v>246</v>
      </c>
      <c r="Q5" s="291" t="s">
        <v>246</v>
      </c>
      <c r="R5" s="2762" t="s">
        <v>2643</v>
      </c>
      <c r="S5" s="291" t="s">
        <v>246</v>
      </c>
      <c r="T5" s="291" t="s">
        <v>247</v>
      </c>
      <c r="U5" s="291" t="s">
        <v>246</v>
      </c>
      <c r="W5" s="291" t="s">
        <v>246</v>
      </c>
    </row>
    <row r="6" spans="1:23">
      <c r="A6" s="2796" t="s">
        <v>583</v>
      </c>
      <c r="B6" s="2797" t="s">
        <v>2684</v>
      </c>
      <c r="C6" s="1770" t="s">
        <v>163</v>
      </c>
      <c r="F6" s="291" t="s">
        <v>248</v>
      </c>
      <c r="H6" s="291" t="s">
        <v>249</v>
      </c>
      <c r="I6" s="291" t="s">
        <v>250</v>
      </c>
      <c r="K6" s="291" t="s">
        <v>251</v>
      </c>
      <c r="L6" s="291" t="s">
        <v>251</v>
      </c>
      <c r="M6" s="291" t="s">
        <v>251</v>
      </c>
      <c r="N6" s="291" t="s">
        <v>251</v>
      </c>
      <c r="O6" s="291" t="s">
        <v>251</v>
      </c>
      <c r="P6" s="291" t="s">
        <v>251</v>
      </c>
      <c r="Q6" s="291" t="s">
        <v>251</v>
      </c>
      <c r="R6" s="2762" t="s">
        <v>2644</v>
      </c>
      <c r="S6" s="291" t="s">
        <v>251</v>
      </c>
      <c r="T6" s="291"/>
      <c r="U6" s="291" t="s">
        <v>251</v>
      </c>
      <c r="W6" s="291" t="s">
        <v>251</v>
      </c>
    </row>
    <row r="7" spans="1:23">
      <c r="A7" s="2796" t="s">
        <v>585</v>
      </c>
      <c r="B7" s="2797" t="s">
        <v>2685</v>
      </c>
      <c r="C7" s="1768" t="s">
        <v>164</v>
      </c>
      <c r="F7" s="291" t="s">
        <v>252</v>
      </c>
      <c r="H7" s="291" t="s">
        <v>253</v>
      </c>
      <c r="I7" s="291" t="s">
        <v>254</v>
      </c>
    </row>
    <row r="8" spans="1:23">
      <c r="A8" s="2796" t="s">
        <v>587</v>
      </c>
      <c r="B8" s="2796" t="s">
        <v>584</v>
      </c>
      <c r="C8" s="1768" t="s">
        <v>1881</v>
      </c>
      <c r="F8" s="291" t="s">
        <v>281</v>
      </c>
      <c r="H8" s="291"/>
      <c r="I8" s="291" t="s">
        <v>282</v>
      </c>
    </row>
    <row r="9" spans="1:23">
      <c r="A9" s="2796" t="s">
        <v>589</v>
      </c>
      <c r="B9" s="2796" t="s">
        <v>586</v>
      </c>
      <c r="C9" s="1768" t="s">
        <v>1882</v>
      </c>
      <c r="F9" s="291" t="s">
        <v>283</v>
      </c>
      <c r="H9" s="291"/>
    </row>
    <row r="10" spans="1:23">
      <c r="A10" s="2796" t="s">
        <v>591</v>
      </c>
      <c r="B10" s="2796" t="s">
        <v>588</v>
      </c>
      <c r="C10" s="1768" t="s">
        <v>1883</v>
      </c>
      <c r="F10" s="291" t="s">
        <v>51</v>
      </c>
    </row>
    <row r="11" spans="1:23">
      <c r="A11" s="2796" t="s">
        <v>593</v>
      </c>
      <c r="B11" s="2796" t="s">
        <v>590</v>
      </c>
      <c r="C11" s="1768" t="s">
        <v>1884</v>
      </c>
    </row>
    <row r="12" spans="1:23">
      <c r="A12" s="2796" t="s">
        <v>595</v>
      </c>
      <c r="B12" s="2796" t="s">
        <v>592</v>
      </c>
      <c r="C12" s="1768" t="s">
        <v>1885</v>
      </c>
    </row>
    <row r="13" spans="1:23">
      <c r="A13" s="2796" t="s">
        <v>596</v>
      </c>
      <c r="B13" s="2796" t="s">
        <v>594</v>
      </c>
      <c r="C13" s="1768" t="s">
        <v>1886</v>
      </c>
    </row>
    <row r="14" spans="1:23">
      <c r="A14" s="2796" t="s">
        <v>598</v>
      </c>
      <c r="B14" s="2797" t="s">
        <v>3110</v>
      </c>
      <c r="C14" s="291" t="s">
        <v>51</v>
      </c>
    </row>
    <row r="15" spans="1:23">
      <c r="A15" s="2796" t="s">
        <v>599</v>
      </c>
      <c r="B15" s="2796" t="s">
        <v>597</v>
      </c>
      <c r="C15" s="1771"/>
    </row>
    <row r="16" spans="1:23">
      <c r="A16" s="2796" t="s">
        <v>600</v>
      </c>
      <c r="B16" s="2796" t="s">
        <v>1867</v>
      </c>
      <c r="C16" s="1771"/>
    </row>
    <row r="17" spans="1:3">
      <c r="A17" s="2796" t="s">
        <v>601</v>
      </c>
      <c r="B17" s="2796" t="s">
        <v>1868</v>
      </c>
      <c r="C17" s="1771"/>
    </row>
    <row r="18" spans="1:3">
      <c r="A18" s="2796" t="s">
        <v>602</v>
      </c>
      <c r="B18" s="2796" t="s">
        <v>1868</v>
      </c>
      <c r="C18" s="1771"/>
    </row>
    <row r="19" spans="1:3">
      <c r="A19" s="2796" t="s">
        <v>603</v>
      </c>
      <c r="B19" s="2796" t="s">
        <v>1868</v>
      </c>
      <c r="C19" s="1771"/>
    </row>
    <row r="20" spans="1:3">
      <c r="A20" s="2796" t="s">
        <v>604</v>
      </c>
      <c r="B20" s="2796" t="s">
        <v>1868</v>
      </c>
      <c r="C20" s="1771"/>
    </row>
    <row r="21" spans="1:3">
      <c r="A21" s="2796" t="s">
        <v>605</v>
      </c>
      <c r="B21" s="2796" t="s">
        <v>1868</v>
      </c>
      <c r="C21" s="1771"/>
    </row>
    <row r="22" spans="1:3">
      <c r="A22" s="2796" t="s">
        <v>606</v>
      </c>
      <c r="B22" s="2796" t="s">
        <v>1868</v>
      </c>
      <c r="C22" s="1771"/>
    </row>
    <row r="23" spans="1:3">
      <c r="A23" s="2796" t="s">
        <v>607</v>
      </c>
      <c r="B23" s="2796" t="s">
        <v>1868</v>
      </c>
      <c r="C23" s="1771"/>
    </row>
    <row r="24" spans="1:3">
      <c r="A24" s="2796" t="s">
        <v>608</v>
      </c>
      <c r="B24" s="2796" t="s">
        <v>1868</v>
      </c>
      <c r="C24" s="1771"/>
    </row>
    <row r="25" spans="1:3">
      <c r="A25" s="2796" t="s">
        <v>609</v>
      </c>
      <c r="B25" s="2796" t="s">
        <v>1868</v>
      </c>
      <c r="C25" s="1771"/>
    </row>
    <row r="26" spans="1:3">
      <c r="A26" s="2796" t="s">
        <v>610</v>
      </c>
      <c r="B26" s="2796" t="s">
        <v>1868</v>
      </c>
      <c r="C26" s="1771"/>
    </row>
    <row r="27" spans="1:3">
      <c r="A27" s="2796" t="s">
        <v>1868</v>
      </c>
      <c r="B27" s="2796" t="s">
        <v>1868</v>
      </c>
      <c r="C27" s="1771"/>
    </row>
    <row r="28" spans="1:3">
      <c r="A28" s="2796" t="s">
        <v>1868</v>
      </c>
      <c r="B28" s="2796" t="s">
        <v>1868</v>
      </c>
      <c r="C28" s="1771"/>
    </row>
    <row r="29" spans="1:3">
      <c r="A29" s="2796" t="s">
        <v>1868</v>
      </c>
      <c r="B29" s="2796" t="s">
        <v>1868</v>
      </c>
      <c r="C29" s="1771"/>
    </row>
    <row r="30" spans="1:3">
      <c r="A30" s="2796" t="s">
        <v>1868</v>
      </c>
      <c r="B30" s="2796" t="s">
        <v>1868</v>
      </c>
      <c r="C30" s="1771"/>
    </row>
    <row r="31" spans="1:3">
      <c r="A31" s="2796" t="s">
        <v>1868</v>
      </c>
      <c r="B31" s="2796" t="s">
        <v>1868</v>
      </c>
      <c r="C31" s="1771"/>
    </row>
    <row r="32" spans="1:3">
      <c r="A32" s="2796" t="s">
        <v>1868</v>
      </c>
      <c r="B32" s="2796" t="s">
        <v>1868</v>
      </c>
      <c r="C32" s="1771"/>
    </row>
    <row r="33" spans="1:3">
      <c r="A33" s="2796" t="s">
        <v>1868</v>
      </c>
      <c r="B33" s="2796" t="s">
        <v>1868</v>
      </c>
      <c r="C33" s="1771"/>
    </row>
    <row r="34" spans="1:3">
      <c r="A34" s="2796" t="s">
        <v>1868</v>
      </c>
      <c r="B34" s="2796" t="s">
        <v>1868</v>
      </c>
      <c r="C34" s="1771"/>
    </row>
    <row r="35" spans="1:3">
      <c r="A35" s="2796" t="s">
        <v>1868</v>
      </c>
      <c r="B35" s="2796" t="s">
        <v>1868</v>
      </c>
      <c r="C35" s="1771"/>
    </row>
    <row r="36" spans="1:3">
      <c r="A36" s="2796" t="s">
        <v>1868</v>
      </c>
      <c r="B36" s="2796" t="s">
        <v>1868</v>
      </c>
      <c r="C36" s="1771"/>
    </row>
    <row r="37" spans="1:3">
      <c r="A37" s="2796" t="s">
        <v>1868</v>
      </c>
      <c r="B37" s="2796" t="s">
        <v>1868</v>
      </c>
      <c r="C37" s="1771"/>
    </row>
    <row r="38" spans="1:3">
      <c r="A38" s="2796" t="s">
        <v>1868</v>
      </c>
      <c r="B38" s="2796" t="s">
        <v>1868</v>
      </c>
      <c r="C38" s="1771"/>
    </row>
    <row r="39" spans="1:3">
      <c r="A39" s="2796" t="s">
        <v>1868</v>
      </c>
      <c r="B39" s="2796" t="s">
        <v>1868</v>
      </c>
      <c r="C39" s="1771"/>
    </row>
    <row r="40" spans="1:3">
      <c r="A40" s="2796" t="s">
        <v>1868</v>
      </c>
      <c r="B40" s="2796" t="s">
        <v>1868</v>
      </c>
      <c r="C40" s="1771"/>
    </row>
    <row r="41" spans="1:3">
      <c r="A41" s="2796" t="s">
        <v>1868</v>
      </c>
      <c r="B41" s="2796" t="s">
        <v>1868</v>
      </c>
      <c r="C41" s="1771"/>
    </row>
    <row r="42" spans="1:3">
      <c r="A42" s="2796" t="s">
        <v>1868</v>
      </c>
      <c r="B42" s="2796" t="s">
        <v>1868</v>
      </c>
      <c r="C42" s="1771"/>
    </row>
    <row r="43" spans="1:3">
      <c r="A43" s="2796" t="s">
        <v>1868</v>
      </c>
      <c r="B43" s="2796" t="s">
        <v>1868</v>
      </c>
      <c r="C43" s="1771"/>
    </row>
    <row r="44" spans="1:3">
      <c r="A44" s="2796" t="s">
        <v>1868</v>
      </c>
      <c r="B44" s="2796" t="s">
        <v>1868</v>
      </c>
      <c r="C44" s="1771"/>
    </row>
    <row r="45" spans="1:3">
      <c r="A45" s="2796" t="s">
        <v>1868</v>
      </c>
      <c r="B45" s="2796" t="s">
        <v>1868</v>
      </c>
      <c r="C45" s="1771"/>
    </row>
    <row r="46" spans="1:3">
      <c r="A46" s="2796" t="s">
        <v>1868</v>
      </c>
      <c r="B46" s="2796" t="s">
        <v>1868</v>
      </c>
      <c r="C46" s="1771"/>
    </row>
    <row r="47" spans="1:3">
      <c r="A47" s="2796" t="s">
        <v>1868</v>
      </c>
      <c r="B47" s="2796" t="s">
        <v>1868</v>
      </c>
      <c r="C47" s="1771"/>
    </row>
    <row r="48" spans="1:3">
      <c r="A48" s="2796" t="s">
        <v>1868</v>
      </c>
      <c r="B48" s="2796" t="s">
        <v>1868</v>
      </c>
      <c r="C48" s="1771"/>
    </row>
    <row r="49" spans="1:4">
      <c r="A49" s="2796" t="s">
        <v>1868</v>
      </c>
      <c r="B49" s="2796" t="s">
        <v>1868</v>
      </c>
      <c r="C49" s="1771"/>
    </row>
    <row r="50" spans="1:4">
      <c r="A50" s="2796" t="s">
        <v>1868</v>
      </c>
      <c r="B50" s="2796" t="s">
        <v>1868</v>
      </c>
      <c r="C50" s="1771"/>
    </row>
    <row r="51" spans="1:4">
      <c r="A51" s="1951" t="s">
        <v>2014</v>
      </c>
      <c r="B51" s="2094"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西安曲江新区南三环以北、公园南路以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94" t="s">
        <v>2870</v>
      </c>
    </row>
    <row r="52" spans="1:4">
      <c r="A52" s="1951" t="s">
        <v>2017</v>
      </c>
      <c r="B52" s="1951" t="s">
        <v>2018</v>
      </c>
      <c r="C52" s="1160" t="s">
        <v>2019</v>
      </c>
      <c r="D52" s="1160" t="s">
        <v>2020</v>
      </c>
    </row>
    <row r="53" spans="1:4">
      <c r="A53" s="3422" t="s">
        <v>2021</v>
      </c>
      <c r="B53" s="2094" t="s">
        <v>2022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2094" t="s">
        <v>2023</v>
      </c>
      <c r="C54" s="1160" t="s">
        <v>2867</v>
      </c>
    </row>
    <row r="55" spans="1:4">
      <c r="A55" s="3422"/>
      <c r="B55" s="2094" t="s">
        <v>2024</v>
      </c>
      <c r="C55" s="1160" t="s">
        <v>2868</v>
      </c>
    </row>
    <row r="56" spans="1:4">
      <c r="A56" s="3422"/>
      <c r="B56" s="2094" t="s">
        <v>2025</v>
      </c>
      <c r="C56" s="1160" t="s">
        <v>2878</v>
      </c>
    </row>
    <row r="57" spans="1:4">
      <c r="A57" s="3422"/>
      <c r="B57" s="2094" t="s">
        <v>2026</v>
      </c>
      <c r="C57" s="1160" t="s">
        <v>2869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23" sqref="H2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2128</v>
      </c>
      <c r="B1" s="3423" t="str">
        <f>IF(B10="北京市","北京市",C10)&amp;F10&amp;IF(结果表!G1="在建","出让国有建设用地使用权及在建建筑物",IF(结果表!G1="土地","出让国有建设用地使用权",))&amp;B9&amp;"预评估"</f>
        <v>陕西省西安市西安曲江新区南三环以北、公园南路以西出让国有建设用地使用权及在建建筑物房地产抵押价值预评估</v>
      </c>
      <c r="C1" s="3424"/>
      <c r="D1" s="3424"/>
      <c r="E1" s="3424"/>
      <c r="F1" s="3424"/>
      <c r="G1" s="3424"/>
      <c r="H1" s="3424"/>
      <c r="I1" s="3425"/>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陕西省西安市西安曲江新区南三环以北、公园南路以西出让国有建设用地使用权及在建建筑物房地产抵押价值</v>
      </c>
    </row>
    <row r="2" spans="1:19" ht="18" customHeight="1">
      <c r="A2" s="1995" t="s">
        <v>2129</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陕西省西安市西安曲江新区南三环以北、公园南路以西出让国有建设用地使用权及在建建筑物房地产</v>
      </c>
    </row>
    <row r="3" spans="1:19" ht="18" customHeight="1">
      <c r="A3" s="1940" t="s">
        <v>2007</v>
      </c>
      <c r="B3" s="3230">
        <v>42977</v>
      </c>
      <c r="C3" s="1923" t="s">
        <v>2008</v>
      </c>
      <c r="D3" s="3230">
        <v>42977</v>
      </c>
      <c r="E3" s="1995"/>
      <c r="F3" s="1995"/>
      <c r="G3" s="1995"/>
      <c r="H3" s="1995"/>
      <c r="I3" s="1995"/>
      <c r="J3" s="1995"/>
      <c r="K3" s="2101"/>
      <c r="L3" s="1996"/>
      <c r="M3" s="1996"/>
      <c r="N3" s="1195"/>
      <c r="O3" s="11"/>
      <c r="P3" s="1195"/>
      <c r="Q3" s="1195"/>
      <c r="R3" s="1195"/>
      <c r="S3" s="1194"/>
    </row>
    <row r="4" spans="1:19" ht="18" customHeight="1" thickBot="1">
      <c r="A4" s="1924" t="s">
        <v>2009</v>
      </c>
      <c r="B4" s="1925" t="s">
        <v>3070</v>
      </c>
      <c r="C4" s="1926">
        <f ca="1">SUMIF(注册房地产估价师,B4,估价师及机构信息!B3:B24)</f>
        <v>1120050019</v>
      </c>
      <c r="D4" s="1925" t="s">
        <v>3071</v>
      </c>
      <c r="E4" s="1927">
        <f ca="1">SUMIF(注册房地产估价师,D4,估价师及机构信息!B3:B24)</f>
        <v>1120070131</v>
      </c>
      <c r="F4" s="1925" t="s">
        <v>529</v>
      </c>
      <c r="G4" s="1954">
        <f>SUMIF(注册房地产估价师,F4,估价师及机构信息!B3:B24)</f>
        <v>0</v>
      </c>
      <c r="H4" s="1925" t="s">
        <v>529</v>
      </c>
      <c r="I4" s="2885">
        <f>SUMIF(注册房地产估价师,H4,估价师及机构信息!B3:B24)</f>
        <v>0</v>
      </c>
      <c r="J4" s="2000"/>
      <c r="K4" s="2102" t="str">
        <f ca="1">CONCATENATE(B4,"（注册号：",C4,")、",D4,"（注册号：",E4,")")</f>
        <v>王鹏（注册号：1120050019)、郑燚（注册号：1120070131)</v>
      </c>
      <c r="L4" s="1996"/>
      <c r="M4" s="1996"/>
      <c r="N4" s="1195"/>
      <c r="O4" s="11"/>
      <c r="P4" s="1195"/>
      <c r="Q4" s="1195"/>
      <c r="R4" s="1195"/>
      <c r="S4" s="1194"/>
    </row>
    <row r="5" spans="1:19" ht="18" customHeight="1" thickTop="1">
      <c r="A5" s="1928" t="s">
        <v>2093</v>
      </c>
      <c r="B5" s="3285" t="s">
        <v>3175</v>
      </c>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2094</v>
      </c>
      <c r="B6" s="2040" t="s">
        <v>3072</v>
      </c>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2873</v>
      </c>
      <c r="B7" s="3286"/>
      <c r="C7" s="2041"/>
      <c r="D7" s="2002"/>
      <c r="E7" s="1998"/>
      <c r="F7" s="2000"/>
      <c r="G7" s="2000"/>
      <c r="H7" s="2000"/>
      <c r="I7" s="2000"/>
      <c r="J7" s="2000"/>
      <c r="K7" s="2103"/>
      <c r="L7" s="1996"/>
      <c r="M7" s="1996"/>
      <c r="N7" s="1195"/>
      <c r="O7" s="11"/>
      <c r="P7" s="1195"/>
      <c r="Q7" s="1195"/>
      <c r="R7" s="1195"/>
    </row>
    <row r="8" spans="1:19" ht="18" customHeight="1">
      <c r="A8" s="1929" t="s">
        <v>1955</v>
      </c>
      <c r="B8" s="2034" t="s">
        <v>3073</v>
      </c>
      <c r="C8" s="2003"/>
      <c r="D8" s="3426" t="s">
        <v>2016</v>
      </c>
      <c r="E8" s="2035" t="s">
        <v>3074</v>
      </c>
      <c r="F8" s="2036"/>
      <c r="G8" s="1995"/>
      <c r="H8" s="1995"/>
      <c r="I8" s="1995"/>
      <c r="J8" s="2000"/>
      <c r="K8" s="2102"/>
      <c r="L8" s="1996"/>
      <c r="M8" s="1996"/>
      <c r="N8" s="1195"/>
      <c r="O8" s="11"/>
      <c r="P8" s="1195"/>
      <c r="Q8" s="1195"/>
      <c r="R8" s="1195"/>
    </row>
    <row r="9" spans="1:19" ht="18" customHeight="1" thickBot="1">
      <c r="A9" s="1954" t="s">
        <v>1956</v>
      </c>
      <c r="B9" s="1955" t="s">
        <v>3074</v>
      </c>
      <c r="C9" s="2004"/>
      <c r="D9" s="3427"/>
      <c r="E9" s="1955"/>
      <c r="F9" s="2888"/>
      <c r="G9" s="1999"/>
      <c r="H9" s="1999"/>
      <c r="I9" s="1999"/>
      <c r="J9" s="2000"/>
      <c r="K9" s="2103"/>
      <c r="L9" s="1996"/>
      <c r="M9" s="1996"/>
      <c r="N9" s="1195"/>
      <c r="O9" s="11"/>
      <c r="P9" s="1195"/>
      <c r="Q9" s="1195"/>
      <c r="R9" s="1195"/>
    </row>
    <row r="10" spans="1:19" ht="18" customHeight="1" thickTop="1">
      <c r="A10" s="2009" t="s">
        <v>2065</v>
      </c>
      <c r="B10" s="2055" t="s">
        <v>3075</v>
      </c>
      <c r="C10" s="2037" t="s">
        <v>3076</v>
      </c>
      <c r="D10" s="2001"/>
      <c r="E10" s="1939" t="s">
        <v>1957</v>
      </c>
      <c r="F10" s="1952" t="s">
        <v>3177</v>
      </c>
      <c r="G10" s="2886"/>
      <c r="H10" s="2887"/>
      <c r="I10" s="2001"/>
      <c r="J10" s="2000"/>
      <c r="K10" s="2103"/>
      <c r="L10" s="1996"/>
      <c r="M10" s="1996"/>
      <c r="N10" s="1195"/>
      <c r="O10" s="11"/>
      <c r="P10" s="1195"/>
      <c r="Q10" s="1195"/>
      <c r="R10" s="1195"/>
    </row>
    <row r="11" spans="1:19" ht="18" customHeight="1">
      <c r="A11" s="1958" t="s">
        <v>2066</v>
      </c>
      <c r="B11" s="2054"/>
      <c r="C11" s="2038" t="s">
        <v>3176</v>
      </c>
      <c r="D11" s="2005"/>
      <c r="E11" s="2000"/>
      <c r="F11" s="2000"/>
      <c r="G11" s="2000"/>
      <c r="H11" s="2000"/>
      <c r="I11" s="2000"/>
      <c r="J11" s="2000"/>
      <c r="K11" s="2103"/>
      <c r="L11" s="1996"/>
      <c r="M11" s="1996"/>
      <c r="N11" s="1195"/>
      <c r="O11" s="11"/>
      <c r="P11" s="1195"/>
      <c r="Q11" s="1195"/>
      <c r="R11" s="1195"/>
    </row>
    <row r="12" spans="1:19" ht="18" customHeight="1">
      <c r="A12" s="2053" t="s">
        <v>2092</v>
      </c>
      <c r="B12" s="2054" t="s">
        <v>2027</v>
      </c>
      <c r="C12" s="2012" t="s">
        <v>2096</v>
      </c>
      <c r="D12" s="2024" t="s">
        <v>1949</v>
      </c>
      <c r="E12" s="2024" t="s">
        <v>2710</v>
      </c>
      <c r="F12" s="2024" t="s">
        <v>2711</v>
      </c>
      <c r="G12" s="2024" t="s">
        <v>2712</v>
      </c>
      <c r="H12" s="2024" t="s">
        <v>2713</v>
      </c>
      <c r="I12" s="2024" t="s">
        <v>2714</v>
      </c>
      <c r="J12" s="2000"/>
      <c r="K12" s="2103"/>
      <c r="L12" s="1996"/>
      <c r="M12" s="1996"/>
      <c r="N12" s="1195"/>
      <c r="O12" s="11"/>
      <c r="P12" s="1195"/>
      <c r="Q12" s="1195"/>
      <c r="R12" s="1195"/>
    </row>
    <row r="13" spans="1:19" ht="18" customHeight="1">
      <c r="A13" s="2008"/>
      <c r="B13" s="2083"/>
      <c r="C13" s="2084" t="s">
        <v>2095</v>
      </c>
      <c r="D13" s="3229">
        <v>66644</v>
      </c>
      <c r="E13" s="3229">
        <v>55687</v>
      </c>
      <c r="F13" s="3229"/>
      <c r="G13" s="3229"/>
      <c r="H13" s="3229"/>
      <c r="I13" s="2049"/>
      <c r="J13" s="2000"/>
      <c r="K13" s="2103"/>
      <c r="L13" s="1996"/>
      <c r="M13" s="1996"/>
      <c r="N13" s="1195"/>
      <c r="O13" s="11"/>
      <c r="P13" s="1195"/>
      <c r="Q13" s="1195"/>
      <c r="R13" s="1195"/>
    </row>
    <row r="14" spans="1:19" ht="18" customHeight="1">
      <c r="A14" s="2008"/>
      <c r="B14" s="2083"/>
      <c r="C14" s="2084" t="s">
        <v>2097</v>
      </c>
      <c r="D14" s="2052">
        <v>70</v>
      </c>
      <c r="E14" s="2052">
        <v>40</v>
      </c>
      <c r="F14" s="2052"/>
      <c r="G14" s="2052"/>
      <c r="H14" s="2052"/>
      <c r="I14" s="2052"/>
      <c r="J14" s="2000"/>
      <c r="K14" s="2104"/>
      <c r="L14" s="1996"/>
      <c r="M14" s="1996"/>
      <c r="N14" s="1195"/>
      <c r="O14" s="11"/>
      <c r="P14" s="1195"/>
      <c r="Q14" s="1195"/>
      <c r="R14" s="1195"/>
    </row>
    <row r="15" spans="1:19" ht="18" customHeight="1">
      <c r="A15" s="2009"/>
      <c r="B15" s="2085"/>
      <c r="C15" s="2084" t="s">
        <v>2098</v>
      </c>
      <c r="D15" s="2051">
        <f>IF(B12="出让",IF(D13="","",ROUNDDOWN(MIN((D13-$D$3)/365,D14),2)),D14)</f>
        <v>64.84</v>
      </c>
      <c r="E15" s="2051">
        <f>IF(B12="出让",IF(E13="","",ROUNDDOWN(MIN((E13-$D$3)/365,E14),2)),E14)</f>
        <v>34.82</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2099</v>
      </c>
      <c r="B16" s="3433"/>
      <c r="C16" s="3434"/>
      <c r="D16" s="3435"/>
      <c r="E16" s="1956" t="s">
        <v>2028</v>
      </c>
      <c r="F16" s="3436"/>
      <c r="G16" s="3437"/>
      <c r="H16" s="3437"/>
      <c r="I16" s="3438"/>
      <c r="J16" s="1195"/>
      <c r="K16" s="2105"/>
      <c r="L16" s="1229"/>
      <c r="M16" s="1229"/>
      <c r="N16" s="2020"/>
      <c r="O16" s="1229"/>
      <c r="P16" s="2020"/>
      <c r="Q16" s="1195"/>
      <c r="R16" s="1195"/>
    </row>
    <row r="17" spans="1:22" ht="18" customHeight="1">
      <c r="A17" s="2007" t="s">
        <v>1958</v>
      </c>
      <c r="B17" s="1940" t="s">
        <v>1959</v>
      </c>
      <c r="C17" s="2086">
        <f>'数据-汇总表'!E3</f>
        <v>62458.42</v>
      </c>
      <c r="D17" s="1941" t="s">
        <v>1960</v>
      </c>
      <c r="E17" s="3439"/>
      <c r="F17" s="3440"/>
      <c r="G17" s="3440"/>
      <c r="H17" s="3440"/>
      <c r="I17" s="3441"/>
      <c r="J17" s="1195"/>
      <c r="K17" s="2695"/>
      <c r="L17" s="1229"/>
      <c r="M17" s="1229"/>
      <c r="N17" s="2020"/>
      <c r="O17" s="1229"/>
      <c r="P17" s="2020"/>
      <c r="Q17" s="1195"/>
      <c r="R17" s="1195"/>
      <c r="S17" s="1195"/>
      <c r="T17" s="1195"/>
      <c r="U17" s="1195"/>
      <c r="V17" s="1195"/>
    </row>
    <row r="18" spans="1:22" ht="36" customHeight="1" thickBot="1">
      <c r="A18" s="2894" t="s">
        <v>2706</v>
      </c>
      <c r="B18" s="1924" t="s">
        <v>1961</v>
      </c>
      <c r="C18" s="2895">
        <f>'数据-汇总表'!D3</f>
        <v>14746.3</v>
      </c>
      <c r="D18" s="2896" t="s">
        <v>1960</v>
      </c>
      <c r="E18" s="3442"/>
      <c r="F18" s="3443"/>
      <c r="G18" s="3443"/>
      <c r="H18" s="3443"/>
      <c r="I18" s="3444"/>
      <c r="J18" s="1195"/>
      <c r="K18" s="2695"/>
      <c r="L18" s="1229"/>
      <c r="M18" s="1229"/>
      <c r="N18" s="2020"/>
      <c r="O18" s="1229"/>
      <c r="P18" s="2020"/>
      <c r="Q18" s="1195"/>
      <c r="R18" s="1195"/>
      <c r="S18" s="1195"/>
      <c r="T18" s="1195"/>
      <c r="U18" s="1195"/>
      <c r="V18" s="1195"/>
    </row>
    <row r="19" spans="1:22" ht="37.5" customHeight="1" thickTop="1" thickBot="1">
      <c r="A19" s="2893" t="s">
        <v>2045</v>
      </c>
      <c r="B19" s="2060" t="s">
        <v>2046</v>
      </c>
      <c r="C19" s="2061"/>
      <c r="D19" s="2043" t="s">
        <v>2049</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2050</v>
      </c>
      <c r="B20" s="3429" t="s">
        <v>2051</v>
      </c>
      <c r="C20" s="3430"/>
      <c r="D20" s="3431" t="s">
        <v>2052</v>
      </c>
      <c r="E20" s="3432"/>
      <c r="F20" s="2068" t="s">
        <v>2053</v>
      </c>
      <c r="G20" s="2000"/>
      <c r="H20" s="2000"/>
      <c r="I20" s="2000"/>
      <c r="J20" s="2000"/>
      <c r="K20" s="3428" t="s">
        <v>2048</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2054</v>
      </c>
      <c r="C21" s="2032" t="s">
        <v>2055</v>
      </c>
      <c r="D21" s="1989" t="s">
        <v>2058</v>
      </c>
      <c r="E21" s="2033" t="s">
        <v>2055</v>
      </c>
      <c r="F21" s="1978"/>
      <c r="G21" s="2000"/>
      <c r="H21" s="2000"/>
      <c r="I21" s="2000"/>
      <c r="J21" s="2000"/>
      <c r="K21" s="3428"/>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2056</v>
      </c>
      <c r="C22" s="2032" t="s">
        <v>2057</v>
      </c>
      <c r="D22" s="1995"/>
      <c r="E22" s="1995"/>
      <c r="F22" s="2069"/>
      <c r="G22" s="2000"/>
      <c r="H22" s="2000"/>
      <c r="I22" s="2000"/>
      <c r="J22" s="2000"/>
      <c r="K22" s="3428"/>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2059</v>
      </c>
      <c r="B23" s="2065" t="s">
        <v>2060</v>
      </c>
      <c r="C23" s="2066"/>
      <c r="D23" s="1979" t="s">
        <v>2060</v>
      </c>
      <c r="E23" s="1987"/>
      <c r="F23" s="2069"/>
      <c r="G23" s="2000"/>
      <c r="H23" s="2000"/>
      <c r="I23" s="2000"/>
      <c r="J23" s="2000"/>
      <c r="K23" s="225"/>
      <c r="L23" s="2609"/>
      <c r="M23" s="1996"/>
      <c r="N23" s="2020"/>
      <c r="O23" s="1229"/>
      <c r="P23" s="2020"/>
      <c r="Q23" s="1195"/>
      <c r="R23" s="1195"/>
      <c r="S23" s="1195"/>
      <c r="T23" s="1195"/>
      <c r="U23" s="1195"/>
      <c r="V23" s="1195"/>
    </row>
    <row r="24" spans="1:22" ht="18" customHeight="1">
      <c r="A24" s="1980"/>
      <c r="B24" s="2065" t="s">
        <v>2061</v>
      </c>
      <c r="C24" s="2067"/>
      <c r="D24" s="1977" t="s">
        <v>2061</v>
      </c>
      <c r="E24" s="1988"/>
      <c r="F24" s="2069"/>
      <c r="G24" s="2000"/>
      <c r="H24" s="2000"/>
      <c r="I24" s="2000"/>
      <c r="J24" s="2000"/>
      <c r="K24" s="225"/>
      <c r="L24" s="2609"/>
      <c r="M24" s="1996"/>
      <c r="N24" s="2020"/>
      <c r="O24" s="1229"/>
      <c r="P24" s="2020"/>
      <c r="Q24" s="1195"/>
      <c r="R24" s="1195"/>
      <c r="S24" s="1195"/>
      <c r="T24" s="1195"/>
      <c r="U24" s="1195"/>
      <c r="V24" s="1195"/>
    </row>
    <row r="25" spans="1:22" ht="18" customHeight="1">
      <c r="A25" s="1980"/>
      <c r="B25" s="2065" t="s">
        <v>2062</v>
      </c>
      <c r="C25" s="2067"/>
      <c r="D25" s="1977" t="s">
        <v>2062</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2063</v>
      </c>
      <c r="C26" s="2071"/>
      <c r="D26" s="2059" t="s">
        <v>2063</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46" t="s">
        <v>2067</v>
      </c>
      <c r="B27" s="2009" t="s">
        <v>2068</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46"/>
      <c r="B28" s="1940" t="s">
        <v>2069</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46"/>
      <c r="B29" s="1940" t="s">
        <v>2070</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47"/>
      <c r="B30" s="1940" t="s">
        <v>2071</v>
      </c>
      <c r="C30" s="3448"/>
      <c r="D30" s="3449"/>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50" t="s">
        <v>2072</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51"/>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51"/>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2029</v>
      </c>
      <c r="B34" s="1960"/>
      <c r="C34" s="1960"/>
      <c r="D34" s="1960"/>
      <c r="E34" s="1960"/>
      <c r="F34" s="1960"/>
      <c r="G34" s="1960"/>
      <c r="H34" s="1960"/>
      <c r="I34" s="2000"/>
      <c r="J34" s="2000"/>
      <c r="K34" s="2883">
        <f>COUNTIF(B34:H34,"——")</f>
        <v>0</v>
      </c>
      <c r="L34" s="2012" t="s">
        <v>2101</v>
      </c>
      <c r="M34" s="2012" t="s">
        <v>2102</v>
      </c>
      <c r="N34" s="2012" t="s">
        <v>2103</v>
      </c>
      <c r="O34" s="2012" t="s">
        <v>2104</v>
      </c>
      <c r="P34" s="2012" t="s">
        <v>2105</v>
      </c>
      <c r="Q34" s="2012" t="s">
        <v>2106</v>
      </c>
      <c r="R34" s="2012" t="s">
        <v>2107</v>
      </c>
      <c r="S34" s="3445" t="s">
        <v>2108</v>
      </c>
      <c r="T34" s="2013" t="str">
        <f>NUMBERSTRING(7-K34,1)&amp;"通"</f>
        <v>七通</v>
      </c>
      <c r="U34" s="1195"/>
      <c r="V34" s="1195"/>
    </row>
    <row r="35" spans="1:22" ht="18" customHeight="1">
      <c r="A35" s="2014"/>
      <c r="B35" s="3452" t="s">
        <v>1874</v>
      </c>
      <c r="C35" s="3452"/>
      <c r="D35" s="3452"/>
      <c r="E35" s="3452"/>
      <c r="F35" s="2015" t="str">
        <f>C10</f>
        <v>陕西省西安市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5"/>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c r="C37" s="2019"/>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c r="C38" s="2047"/>
      <c r="D38" s="2047"/>
      <c r="E38" s="2047"/>
      <c r="F38" s="2048"/>
      <c r="G38" s="1999"/>
      <c r="H38" s="1999"/>
      <c r="I38" s="1999"/>
      <c r="J38" s="2000"/>
      <c r="K38" s="2103"/>
      <c r="L38" s="1996"/>
      <c r="M38" s="1996"/>
      <c r="N38" s="1195"/>
      <c r="O38" s="11"/>
      <c r="P38" s="1195"/>
      <c r="Q38" s="1195"/>
      <c r="R38" s="1195"/>
      <c r="S38" s="1195"/>
      <c r="T38" s="1195"/>
      <c r="U38" s="1195"/>
      <c r="V38" s="1195"/>
    </row>
    <row r="39" spans="1:22" s="3308" customFormat="1" ht="18" customHeight="1" thickTop="1" thickBot="1">
      <c r="A39" s="3309" t="s">
        <v>3035</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2073</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2074</v>
      </c>
      <c r="B42" s="1986" t="s">
        <v>2075</v>
      </c>
      <c r="C42" s="1986" t="s">
        <v>2076</v>
      </c>
      <c r="D42" s="1986" t="s">
        <v>2077</v>
      </c>
      <c r="E42" s="1986" t="s">
        <v>2078</v>
      </c>
      <c r="F42" s="1986" t="s">
        <v>2079</v>
      </c>
      <c r="G42" s="1986" t="s">
        <v>2080</v>
      </c>
      <c r="H42" s="1986" t="s">
        <v>2081</v>
      </c>
      <c r="I42" s="1986" t="s">
        <v>2082</v>
      </c>
      <c r="J42" s="2099" t="s">
        <v>2083</v>
      </c>
      <c r="K42" s="2024" t="s">
        <v>2084</v>
      </c>
      <c r="L42" s="2024" t="s">
        <v>2085</v>
      </c>
      <c r="M42" s="2024" t="s">
        <v>2086</v>
      </c>
      <c r="N42" s="1986" t="s">
        <v>2087</v>
      </c>
      <c r="O42" s="1986" t="s">
        <v>2088</v>
      </c>
      <c r="P42" s="1986" t="s">
        <v>2089</v>
      </c>
      <c r="Q42" s="2012" t="s">
        <v>2090</v>
      </c>
      <c r="R42" s="2012" t="s">
        <v>2091</v>
      </c>
      <c r="S42" s="1195"/>
      <c r="T42" s="1195"/>
      <c r="U42" s="1195"/>
      <c r="V42" s="1195"/>
    </row>
    <row r="43" spans="1:22" s="2240" customFormat="1" ht="18" customHeight="1">
      <c r="A43" s="1415"/>
      <c r="B43" s="215"/>
      <c r="C43" s="215"/>
      <c r="D43" s="215"/>
      <c r="E43" s="215"/>
      <c r="F43" s="215"/>
      <c r="G43" s="215"/>
      <c r="H43" s="2"/>
      <c r="I43" s="2"/>
      <c r="J43" s="9"/>
      <c r="K43" s="4"/>
      <c r="L43" s="4"/>
      <c r="M43" s="2"/>
      <c r="N43" s="215"/>
      <c r="O43" s="2"/>
      <c r="P43" s="215"/>
      <c r="Q43" s="215"/>
      <c r="R43" s="215"/>
      <c r="S43" s="3239"/>
      <c r="T43" s="3239"/>
      <c r="U43" s="3239"/>
      <c r="V43" s="3239"/>
    </row>
    <row r="44" spans="1:22" s="2240" customFormat="1" ht="18" customHeight="1">
      <c r="A44" s="1415"/>
      <c r="B44" s="1415"/>
      <c r="C44" s="215"/>
      <c r="D44" s="215"/>
      <c r="E44" s="215"/>
      <c r="F44" s="215"/>
      <c r="G44" s="215"/>
      <c r="H44" s="2"/>
      <c r="I44" s="2"/>
      <c r="J44" s="9"/>
      <c r="K44" s="4"/>
      <c r="L44" s="4"/>
      <c r="M44" s="2"/>
      <c r="N44" s="215"/>
      <c r="O44" s="2"/>
      <c r="P44" s="215"/>
      <c r="Q44" s="215"/>
      <c r="R44" s="215"/>
      <c r="S44" s="3239"/>
      <c r="T44" s="3239"/>
      <c r="U44" s="3239"/>
      <c r="V44" s="3239"/>
    </row>
    <row r="45" spans="1:22" s="2240" customFormat="1" ht="18" customHeight="1">
      <c r="A45" s="1415"/>
      <c r="B45" s="1415"/>
      <c r="C45" s="215"/>
      <c r="D45" s="215"/>
      <c r="E45" s="215"/>
      <c r="F45" s="215"/>
      <c r="G45" s="215"/>
      <c r="H45" s="2"/>
      <c r="I45" s="2"/>
      <c r="J45" s="9"/>
      <c r="K45" s="4"/>
      <c r="L45" s="4"/>
      <c r="M45" s="2"/>
      <c r="N45" s="215"/>
      <c r="O45" s="2"/>
      <c r="P45" s="215"/>
      <c r="Q45" s="215"/>
      <c r="R45" s="215"/>
      <c r="S45" s="3239"/>
      <c r="T45" s="3239"/>
      <c r="U45" s="3239"/>
      <c r="V45" s="3239"/>
    </row>
    <row r="46" spans="1:22" s="2240" customFormat="1" ht="18" customHeight="1">
      <c r="A46" s="1415"/>
      <c r="B46" s="1415"/>
      <c r="C46" s="215"/>
      <c r="D46" s="215"/>
      <c r="E46" s="215"/>
      <c r="F46" s="215"/>
      <c r="G46" s="215"/>
      <c r="H46" s="2"/>
      <c r="I46" s="2"/>
      <c r="J46" s="9"/>
      <c r="K46" s="4"/>
      <c r="L46" s="4"/>
      <c r="M46" s="2"/>
      <c r="N46" s="215"/>
      <c r="O46" s="2"/>
      <c r="P46" s="215"/>
      <c r="Q46" s="215"/>
      <c r="R46" s="215"/>
      <c r="S46" s="3239"/>
      <c r="T46" s="3239"/>
      <c r="U46" s="3239"/>
      <c r="V46" s="3239"/>
    </row>
    <row r="47" spans="1:22" s="2240" customFormat="1" ht="18" customHeight="1">
      <c r="A47" s="1415"/>
      <c r="B47" s="1415"/>
      <c r="C47" s="215"/>
      <c r="D47" s="215"/>
      <c r="E47" s="215"/>
      <c r="F47" s="215"/>
      <c r="G47" s="215"/>
      <c r="H47" s="2"/>
      <c r="I47" s="2"/>
      <c r="J47" s="9"/>
      <c r="K47" s="4"/>
      <c r="L47" s="4"/>
      <c r="M47" s="2"/>
      <c r="N47" s="215"/>
      <c r="O47" s="2"/>
      <c r="P47" s="215"/>
      <c r="Q47" s="215"/>
      <c r="R47" s="215"/>
      <c r="S47" s="3239"/>
      <c r="T47" s="3239"/>
      <c r="U47" s="3239"/>
      <c r="V47" s="3239"/>
    </row>
    <row r="48" spans="1:22" s="2240" customFormat="1" ht="18" customHeight="1">
      <c r="A48" s="1415"/>
      <c r="B48" s="1415"/>
      <c r="C48" s="215"/>
      <c r="D48" s="215"/>
      <c r="E48" s="215"/>
      <c r="F48" s="215"/>
      <c r="G48" s="215"/>
      <c r="H48" s="2"/>
      <c r="I48" s="2"/>
      <c r="J48" s="9"/>
      <c r="K48" s="4"/>
      <c r="L48" s="4"/>
      <c r="M48" s="2"/>
      <c r="N48" s="215"/>
      <c r="O48" s="2"/>
      <c r="P48" s="215"/>
      <c r="Q48" s="215"/>
      <c r="R48" s="215"/>
      <c r="S48" s="3239"/>
      <c r="T48" s="3239"/>
      <c r="U48" s="3239"/>
      <c r="V48" s="3239"/>
    </row>
    <row r="49" spans="1:22" s="2240" customFormat="1" ht="18" customHeight="1">
      <c r="A49" s="1415"/>
      <c r="B49" s="1415"/>
      <c r="C49" s="215"/>
      <c r="D49" s="215"/>
      <c r="E49" s="215"/>
      <c r="F49" s="215"/>
      <c r="G49" s="215"/>
      <c r="H49" s="2"/>
      <c r="I49" s="2"/>
      <c r="J49" s="9"/>
      <c r="K49" s="4"/>
      <c r="L49" s="4"/>
      <c r="M49" s="2"/>
      <c r="N49" s="215"/>
      <c r="O49" s="2"/>
      <c r="P49" s="215"/>
      <c r="Q49" s="215"/>
      <c r="R49" s="215"/>
      <c r="S49" s="3239"/>
      <c r="T49" s="3239"/>
      <c r="U49" s="3239"/>
      <c r="V49" s="3239"/>
    </row>
    <row r="50" spans="1:22" s="2240" customFormat="1" ht="18" customHeight="1">
      <c r="A50" s="1415"/>
      <c r="B50" s="1415"/>
      <c r="C50" s="215"/>
      <c r="D50" s="215"/>
      <c r="E50" s="215"/>
      <c r="F50" s="215"/>
      <c r="G50" s="215"/>
      <c r="H50" s="2"/>
      <c r="I50" s="2"/>
      <c r="J50" s="9"/>
      <c r="K50" s="4"/>
      <c r="L50" s="4"/>
      <c r="M50" s="2"/>
      <c r="N50" s="215"/>
      <c r="O50" s="2"/>
      <c r="P50" s="215"/>
      <c r="Q50" s="215"/>
      <c r="R50" s="215"/>
      <c r="S50" s="3239"/>
      <c r="T50" s="3239"/>
      <c r="U50" s="3239"/>
      <c r="V50" s="3239"/>
    </row>
    <row r="51" spans="1:22" s="2240" customFormat="1" ht="18" customHeight="1">
      <c r="A51" s="1415"/>
      <c r="B51" s="1415"/>
      <c r="C51" s="215"/>
      <c r="D51" s="215"/>
      <c r="E51" s="215"/>
      <c r="F51" s="215"/>
      <c r="G51" s="215"/>
      <c r="H51" s="2"/>
      <c r="I51" s="2"/>
      <c r="J51" s="9"/>
      <c r="K51" s="4"/>
      <c r="L51" s="4"/>
      <c r="M51" s="2"/>
      <c r="N51" s="215"/>
      <c r="O51" s="2"/>
      <c r="P51" s="215"/>
      <c r="Q51" s="215"/>
      <c r="R51" s="215"/>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I13" activePane="bottomRight" state="frozen"/>
      <selection activeCell="C50" sqref="C50"/>
      <selection pane="topRight" activeCell="C50" sqref="C50"/>
      <selection pane="bottomLeft" activeCell="C50" sqref="C50"/>
      <selection pane="bottomRight" activeCell="C595" sqref="A595:C597"/>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hidden="1" customWidth="1"/>
    <col min="12"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43" width="9.5" style="1161" hidden="1" customWidth="1"/>
    <col min="44"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2409</v>
      </c>
      <c r="AZ2" s="2520" t="s">
        <v>2410</v>
      </c>
      <c r="BA2" s="2521" t="s">
        <v>2411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v>99160.26</v>
      </c>
      <c r="B3" s="301">
        <f>IF(C3="否",G5-AT5,G5)</f>
        <v>507174.08999999997</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374">
        <f>ROUND('数据-汇总表'!E27/(I13+I14+I15+I16+I17+I18)*A3,2)</f>
        <v>14746.3</v>
      </c>
      <c r="AZ3" s="2522">
        <f>'数据-汇总表'!E27</f>
        <v>60622.950000000004</v>
      </c>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19"/>
      <c r="C5" s="219"/>
      <c r="D5" s="217"/>
      <c r="E5" s="304" t="s">
        <v>23</v>
      </c>
      <c r="F5" s="304">
        <f>SUM(F13:F587)</f>
        <v>0</v>
      </c>
      <c r="G5" s="304">
        <f>SUM(G13:G587)</f>
        <v>507174.08999999997</v>
      </c>
      <c r="H5" s="304">
        <f t="shared" ref="H5:AT5" si="0">SUM(H13:H656)</f>
        <v>407653.82999999996</v>
      </c>
      <c r="I5" s="304">
        <f t="shared" si="0"/>
        <v>407653.82999999996</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99520.26</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99520.26</v>
      </c>
      <c r="AS5" s="304">
        <f t="shared" si="0"/>
        <v>0</v>
      </c>
      <c r="AT5" s="304">
        <f t="shared" si="0"/>
        <v>0</v>
      </c>
      <c r="AU5" s="220"/>
      <c r="AV5" s="83" t="s">
        <v>616</v>
      </c>
      <c r="AW5" s="219"/>
      <c r="AX5" s="219"/>
      <c r="AY5" s="305" t="s">
        <v>29</v>
      </c>
      <c r="AZ5" s="306">
        <f t="shared" ref="AZ5:BT5" si="1">SUM(AZ13:AZ656)</f>
        <v>62458.42</v>
      </c>
      <c r="BA5" s="306">
        <f t="shared" si="1"/>
        <v>60622.95</v>
      </c>
      <c r="BB5" s="306">
        <f t="shared" si="1"/>
        <v>60622.95</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1835.4699999999998</v>
      </c>
      <c r="BM5" s="306">
        <f t="shared" si="1"/>
        <v>0</v>
      </c>
      <c r="BN5" s="306">
        <f t="shared" si="1"/>
        <v>0</v>
      </c>
      <c r="BO5" s="306">
        <f t="shared" si="1"/>
        <v>0</v>
      </c>
      <c r="BP5" s="306">
        <f t="shared" si="1"/>
        <v>0</v>
      </c>
      <c r="BQ5" s="306">
        <f t="shared" si="1"/>
        <v>0</v>
      </c>
      <c r="BR5" s="306">
        <f t="shared" si="1"/>
        <v>0</v>
      </c>
      <c r="BS5" s="306">
        <f t="shared" si="1"/>
        <v>0</v>
      </c>
      <c r="BT5" s="307">
        <f t="shared" si="1"/>
        <v>1835.4699999999998</v>
      </c>
    </row>
    <row r="6" spans="1:72" s="1169" customFormat="1" ht="12.75">
      <c r="A6" s="83" t="s">
        <v>617</v>
      </c>
      <c r="B6" s="222"/>
      <c r="C6" s="222"/>
      <c r="D6" s="223"/>
      <c r="E6" s="304">
        <f>H6+AC6+AT6</f>
        <v>99160.26</v>
      </c>
      <c r="F6" s="304" t="s">
        <v>23</v>
      </c>
      <c r="G6" s="304" t="s">
        <v>25</v>
      </c>
      <c r="H6" s="308">
        <f>SUMIF(I$12:AB$12,"总值",I6:AB6)</f>
        <v>79702.53</v>
      </c>
      <c r="I6" s="304">
        <f t="shared" ref="I6:AB6" si="2">ROUND($A$3*I5/$B$3,2)</f>
        <v>79702.53</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19457.73</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19457.73</v>
      </c>
      <c r="AS6" s="304">
        <f t="shared" si="3"/>
        <v>0</v>
      </c>
      <c r="AT6" s="308">
        <f>IF(C3="是",ROUND($A$3*AT5/$B$3,2),0)</f>
        <v>0</v>
      </c>
      <c r="AU6" s="224"/>
      <c r="AV6" s="83" t="s">
        <v>617</v>
      </c>
      <c r="AW6" s="222"/>
      <c r="AX6" s="222"/>
      <c r="AY6" s="309">
        <f>IF(AY3&gt;0,AY3,ROUND($A$3*AZ5/$B$3,2))</f>
        <v>14746.3</v>
      </c>
      <c r="AZ6" s="304" t="s">
        <v>29</v>
      </c>
      <c r="BA6" s="304">
        <f>ROUND($AY$6*BA5/$AZ$5,2)</f>
        <v>14312.95</v>
      </c>
      <c r="BB6" s="304">
        <f>ROUND($AY$6*BB5/$AZ$5,2)</f>
        <v>14312.95</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433.35</v>
      </c>
      <c r="BM6" s="304">
        <f t="shared" si="5"/>
        <v>0</v>
      </c>
      <c r="BN6" s="304">
        <f t="shared" si="5"/>
        <v>0</v>
      </c>
      <c r="BO6" s="304">
        <f t="shared" si="5"/>
        <v>0</v>
      </c>
      <c r="BP6" s="304">
        <f t="shared" si="5"/>
        <v>0</v>
      </c>
      <c r="BQ6" s="304">
        <f t="shared" si="5"/>
        <v>0</v>
      </c>
      <c r="BR6" s="304">
        <f t="shared" si="5"/>
        <v>0</v>
      </c>
      <c r="BS6" s="304">
        <f t="shared" si="5"/>
        <v>0</v>
      </c>
      <c r="BT6" s="310">
        <f t="shared" si="5"/>
        <v>433.35</v>
      </c>
    </row>
    <row r="7" spans="1:72" s="1163"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
      <c r="A9" s="231"/>
      <c r="B9" s="231"/>
      <c r="C9" s="231"/>
      <c r="D9" s="231"/>
      <c r="E9" s="231"/>
      <c r="F9" s="231"/>
      <c r="G9" s="239"/>
      <c r="H9" s="242" t="s">
        <v>632</v>
      </c>
      <c r="I9" s="243" t="s">
        <v>3077</v>
      </c>
      <c r="J9" s="244"/>
      <c r="K9" s="243" t="s">
        <v>3183</v>
      </c>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
      <c r="A10" s="231"/>
      <c r="B10" s="231"/>
      <c r="C10" s="231"/>
      <c r="D10" s="231"/>
      <c r="E10" s="231"/>
      <c r="F10" s="231"/>
      <c r="G10" s="239"/>
      <c r="H10" s="79"/>
      <c r="I10" s="243" t="s">
        <v>40</v>
      </c>
      <c r="J10" s="244"/>
      <c r="K10" s="251" t="s">
        <v>3046</v>
      </c>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257"/>
      <c r="J11" s="258"/>
      <c r="K11" s="257"/>
      <c r="L11" s="258"/>
      <c r="M11" s="257"/>
      <c r="N11" s="258"/>
      <c r="O11" s="257"/>
      <c r="P11" s="258"/>
      <c r="Q11" s="257"/>
      <c r="R11" s="258"/>
      <c r="S11" s="257"/>
      <c r="T11" s="258"/>
      <c r="U11" s="257"/>
      <c r="V11" s="258"/>
      <c r="W11" s="257"/>
      <c r="X11" s="258"/>
      <c r="Y11" s="257"/>
      <c r="Z11" s="258"/>
      <c r="AA11" s="257"/>
      <c r="AB11" s="258"/>
      <c r="AC11" s="239"/>
      <c r="AD11" s="2512" t="s">
        <v>2398</v>
      </c>
      <c r="AE11" s="2491"/>
      <c r="AF11" s="2512" t="s">
        <v>2398</v>
      </c>
      <c r="AG11" s="2491"/>
      <c r="AH11" s="2512" t="s">
        <v>2399</v>
      </c>
      <c r="AI11" s="2513"/>
      <c r="AJ11" s="2512" t="s">
        <v>2399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7"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f>I11</f>
        <v>0</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24">
      <c r="A13" s="3355"/>
      <c r="B13" s="3355"/>
      <c r="C13" s="215" t="s">
        <v>3181</v>
      </c>
      <c r="D13" s="216" t="s">
        <v>3057</v>
      </c>
      <c r="E13" s="304">
        <f>IF($C$3="是",ROUND($A$3*G13/$B$3,2),ROUND($A$3*(G13-AT13)/$B$3,2))</f>
        <v>5557.74</v>
      </c>
      <c r="F13" s="320"/>
      <c r="G13" s="321">
        <f>H13+AC13+AT13</f>
        <v>28426.12</v>
      </c>
      <c r="H13" s="308">
        <f>SUMIF(I$12:AB$12,"总值",I13:AB13)</f>
        <v>27731.66</v>
      </c>
      <c r="I13" s="1416">
        <v>27731.66</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694.46</v>
      </c>
      <c r="AD13" s="1417"/>
      <c r="AE13" s="1417"/>
      <c r="AF13" s="1417"/>
      <c r="AG13" s="1417"/>
      <c r="AH13" s="1417"/>
      <c r="AI13" s="1417"/>
      <c r="AJ13" s="1417"/>
      <c r="AK13" s="1417"/>
      <c r="AL13" s="1417"/>
      <c r="AM13" s="1417"/>
      <c r="AN13" s="1417"/>
      <c r="AO13" s="1417"/>
      <c r="AP13" s="1417"/>
      <c r="AQ13" s="1417"/>
      <c r="AR13" s="1417">
        <v>694.46</v>
      </c>
      <c r="AS13" s="1417"/>
      <c r="AT13" s="1418"/>
      <c r="AU13" s="214"/>
      <c r="AV13" s="82">
        <f t="shared" ref="AV13:AX17" si="6">A13</f>
        <v>0</v>
      </c>
      <c r="AW13" s="82">
        <f t="shared" si="6"/>
        <v>0</v>
      </c>
      <c r="AX13" s="82" t="str">
        <f t="shared" si="6"/>
        <v>12#（34层）</v>
      </c>
      <c r="AY13" s="303">
        <f>ROUND($AY$6*AZ13/$AZ$5,2)</f>
        <v>6711.35</v>
      </c>
      <c r="AZ13" s="304">
        <f>BA13+BL13</f>
        <v>28426.12</v>
      </c>
      <c r="BA13" s="304">
        <f>SUM(BB13:BK13)</f>
        <v>27731.66</v>
      </c>
      <c r="BB13" s="304">
        <f>IF($D13="是",I13-J13,0)</f>
        <v>27731.66</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694.46</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694.46</v>
      </c>
    </row>
    <row r="14" spans="1:72" s="1163" customFormat="1" ht="24">
      <c r="A14" s="3355"/>
      <c r="B14" s="3355"/>
      <c r="C14" s="215" t="s">
        <v>3182</v>
      </c>
      <c r="D14" s="216" t="s">
        <v>3057</v>
      </c>
      <c r="E14" s="304">
        <f>IF($C$3="是",ROUND($A$3*G14/$B$3,2),ROUND($A$3*(G14-AT14)/$B$3,2))</f>
        <v>989.4</v>
      </c>
      <c r="F14" s="320"/>
      <c r="G14" s="321">
        <f>H14+AC14+AT14</f>
        <v>5060.49</v>
      </c>
      <c r="H14" s="308">
        <f>SUMIF(I$12:AB$12,"总值",I14:AB14)</f>
        <v>4636.6499999999996</v>
      </c>
      <c r="I14" s="1416">
        <v>4636.6499999999996</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423.84</v>
      </c>
      <c r="AD14" s="1417"/>
      <c r="AE14" s="1417"/>
      <c r="AF14" s="1417"/>
      <c r="AG14" s="1417"/>
      <c r="AH14" s="1417"/>
      <c r="AI14" s="1417"/>
      <c r="AJ14" s="1417"/>
      <c r="AK14" s="1417"/>
      <c r="AL14" s="1417"/>
      <c r="AM14" s="1417"/>
      <c r="AN14" s="1417"/>
      <c r="AO14" s="1417"/>
      <c r="AP14" s="1417"/>
      <c r="AQ14" s="1417"/>
      <c r="AR14" s="1417">
        <v>423.84</v>
      </c>
      <c r="AS14" s="1417"/>
      <c r="AT14" s="1418"/>
      <c r="AU14" s="214"/>
      <c r="AV14" s="82">
        <f t="shared" si="6"/>
        <v>0</v>
      </c>
      <c r="AW14" s="82">
        <f t="shared" si="6"/>
        <v>0</v>
      </c>
      <c r="AX14" s="82" t="str">
        <f t="shared" si="6"/>
        <v>13#（9+1层）</v>
      </c>
      <c r="AY14" s="303">
        <f>ROUND($AY$6*AZ14/$AZ$5,2)</f>
        <v>1194.77</v>
      </c>
      <c r="AZ14" s="304">
        <f>BA14+BL14</f>
        <v>5060.49</v>
      </c>
      <c r="BA14" s="304">
        <f>SUM(BB14:BK14)</f>
        <v>4636.6499999999996</v>
      </c>
      <c r="BB14" s="304">
        <f>IF($D14="是",I14-J14,0)</f>
        <v>4636.6499999999996</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423.84</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423.84</v>
      </c>
    </row>
    <row r="15" spans="1:72" s="1163" customFormat="1" ht="24">
      <c r="A15" s="3355"/>
      <c r="B15" s="3355"/>
      <c r="C15" s="215" t="s">
        <v>3178</v>
      </c>
      <c r="D15" s="216" t="s">
        <v>3057</v>
      </c>
      <c r="E15" s="304">
        <f>IF($C$3="是",ROUND($A$3*G15/$B$3,2),ROUND($A$3*(G15-AT15)/$B$3,2))</f>
        <v>5664.43</v>
      </c>
      <c r="F15" s="320"/>
      <c r="G15" s="321">
        <f>H15+AC15+AT15</f>
        <v>28971.809999999998</v>
      </c>
      <c r="H15" s="308">
        <f>SUMIF(I$12:AB$12,"总值",I15:AB15)</f>
        <v>28254.639999999999</v>
      </c>
      <c r="I15" s="1416">
        <v>28254.639999999999</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717.17</v>
      </c>
      <c r="AD15" s="1417"/>
      <c r="AE15" s="1417"/>
      <c r="AF15" s="1417"/>
      <c r="AG15" s="1417"/>
      <c r="AH15" s="1417"/>
      <c r="AI15" s="1417"/>
      <c r="AJ15" s="1417"/>
      <c r="AK15" s="1417"/>
      <c r="AL15" s="1417"/>
      <c r="AM15" s="1417"/>
      <c r="AN15" s="1417"/>
      <c r="AO15" s="1417"/>
      <c r="AP15" s="1417"/>
      <c r="AQ15" s="1417"/>
      <c r="AR15" s="1417">
        <v>717.17</v>
      </c>
      <c r="AS15" s="1417"/>
      <c r="AT15" s="1418"/>
      <c r="AU15" s="214"/>
      <c r="AV15" s="82">
        <f t="shared" si="6"/>
        <v>0</v>
      </c>
      <c r="AW15" s="82">
        <f t="shared" si="6"/>
        <v>0</v>
      </c>
      <c r="AX15" s="82" t="str">
        <f t="shared" si="6"/>
        <v>14#（34层）</v>
      </c>
      <c r="AY15" s="303">
        <f>ROUND($AY$6*AZ15/$AZ$5,2)</f>
        <v>6840.18</v>
      </c>
      <c r="AZ15" s="304">
        <f>BA15+BL15</f>
        <v>28971.809999999998</v>
      </c>
      <c r="BA15" s="304">
        <f>SUM(BB15:BK15)</f>
        <v>28254.639999999999</v>
      </c>
      <c r="BB15" s="304">
        <f>IF($D15="是",I15-J15,0)</f>
        <v>28254.639999999999</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717.17</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717.17</v>
      </c>
    </row>
    <row r="16" spans="1:72" s="1163" customFormat="1" ht="24">
      <c r="A16" s="3355"/>
      <c r="B16" s="3355"/>
      <c r="C16" s="215" t="s">
        <v>3179</v>
      </c>
      <c r="D16" s="216" t="s">
        <v>41</v>
      </c>
      <c r="E16" s="304">
        <f>IF($C$3="是",ROUND($A$3*G16/$B$3,2),ROUND($A$3*(G16-AT16)/$B$3,2))</f>
        <v>6263.38</v>
      </c>
      <c r="F16" s="320"/>
      <c r="G16" s="321">
        <f>H16+AC16+AT16</f>
        <v>32035.26</v>
      </c>
      <c r="H16" s="308">
        <f>SUMIF(I$12:AB$12,"总值",I16:AB16)</f>
        <v>31383.35</v>
      </c>
      <c r="I16" s="1416">
        <v>31383.35</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651.91</v>
      </c>
      <c r="AD16" s="1417"/>
      <c r="AE16" s="1417"/>
      <c r="AF16" s="1417"/>
      <c r="AG16" s="1417"/>
      <c r="AH16" s="1417"/>
      <c r="AI16" s="1417"/>
      <c r="AJ16" s="1417"/>
      <c r="AK16" s="1417"/>
      <c r="AL16" s="1417"/>
      <c r="AM16" s="1417"/>
      <c r="AN16" s="1417"/>
      <c r="AO16" s="1417"/>
      <c r="AP16" s="1417"/>
      <c r="AQ16" s="1417"/>
      <c r="AR16" s="1417">
        <v>651.91</v>
      </c>
      <c r="AS16" s="1417"/>
      <c r="AT16" s="1418"/>
      <c r="AU16" s="214"/>
      <c r="AV16" s="82">
        <f t="shared" si="6"/>
        <v>0</v>
      </c>
      <c r="AW16" s="82">
        <f t="shared" si="6"/>
        <v>0</v>
      </c>
      <c r="AX16" s="82" t="str">
        <f t="shared" si="6"/>
        <v>15#（44层）</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27.75" customHeight="1">
      <c r="A17" s="3355"/>
      <c r="B17" s="3355"/>
      <c r="C17" s="215" t="s">
        <v>3180</v>
      </c>
      <c r="D17" s="216" t="s">
        <v>41</v>
      </c>
      <c r="E17" s="304">
        <f>IF($C$3="是",ROUND($A$3*G17/$B$3,2),ROUND($A$3*(G17-AT17)/$B$3,2))</f>
        <v>5818.74</v>
      </c>
      <c r="F17" s="320"/>
      <c r="G17" s="321">
        <f>H17+AC17+AT17</f>
        <v>29761.07</v>
      </c>
      <c r="H17" s="308">
        <f>SUMIF(I$12:AB$12,"总值",I17:AB17)</f>
        <v>29209.48</v>
      </c>
      <c r="I17" s="1416">
        <v>29209.48</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551.59</v>
      </c>
      <c r="AD17" s="1417"/>
      <c r="AE17" s="1417"/>
      <c r="AF17" s="1417"/>
      <c r="AG17" s="1417"/>
      <c r="AH17" s="1417"/>
      <c r="AI17" s="1417"/>
      <c r="AJ17" s="1417"/>
      <c r="AK17" s="1417"/>
      <c r="AL17" s="1417"/>
      <c r="AM17" s="1417"/>
      <c r="AN17" s="1417"/>
      <c r="AO17" s="1417"/>
      <c r="AP17" s="1417"/>
      <c r="AQ17" s="1417"/>
      <c r="AR17" s="1417">
        <v>551.59</v>
      </c>
      <c r="AS17" s="1417"/>
      <c r="AT17" s="1418"/>
      <c r="AU17" s="214"/>
      <c r="AV17" s="82">
        <f t="shared" si="6"/>
        <v>0</v>
      </c>
      <c r="AW17" s="82">
        <f t="shared" si="6"/>
        <v>0</v>
      </c>
      <c r="AX17" s="82" t="str">
        <f t="shared" si="6"/>
        <v>16#（41层）</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3356"/>
      <c r="B18" s="3355"/>
      <c r="C18" s="215"/>
      <c r="D18" s="216" t="s">
        <v>41</v>
      </c>
      <c r="E18" s="323">
        <f t="shared" ref="E18:E112" si="7">IF($C$3="是",ROUND($A$3*G18/$B$3,2),ROUND($A$3*(G18-AT18)/$B$3,2))</f>
        <v>74866.559999999998</v>
      </c>
      <c r="F18" s="324"/>
      <c r="G18" s="325">
        <f t="shared" ref="G18:G109" si="8">H18+AC18+AT18</f>
        <v>382919.33999999997</v>
      </c>
      <c r="H18" s="326">
        <f t="shared" ref="H18:H109" si="9">SUMIF(I$12:AB$12,"总值",I18:AB18)</f>
        <v>286438.05</v>
      </c>
      <c r="I18" s="1416">
        <f>347061-'数据-汇总表'!F27</f>
        <v>286438.05</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96481.29</v>
      </c>
      <c r="AD18" s="328"/>
      <c r="AE18" s="328"/>
      <c r="AF18" s="328"/>
      <c r="AG18" s="328"/>
      <c r="AH18" s="328"/>
      <c r="AI18" s="328"/>
      <c r="AJ18" s="328"/>
      <c r="AK18" s="328"/>
      <c r="AL18" s="328"/>
      <c r="AM18" s="328"/>
      <c r="AN18" s="328"/>
      <c r="AO18" s="328"/>
      <c r="AP18" s="328"/>
      <c r="AQ18" s="328"/>
      <c r="AR18" s="1417">
        <f>98316.76-'数据-汇总表'!E28</f>
        <v>96481.29</v>
      </c>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hidden="1">
      <c r="A19" s="3356"/>
      <c r="B19" s="3355"/>
      <c r="C19" s="215"/>
      <c r="D19" s="216" t="s">
        <v>3057</v>
      </c>
      <c r="E19" s="323">
        <f t="shared" si="7"/>
        <v>0</v>
      </c>
      <c r="F19" s="324"/>
      <c r="G19" s="325">
        <f t="shared" si="8"/>
        <v>0</v>
      </c>
      <c r="H19" s="326">
        <f t="shared" si="9"/>
        <v>0</v>
      </c>
      <c r="I19" s="1416"/>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hidden="1">
      <c r="A20" s="3356"/>
      <c r="B20" s="3355"/>
      <c r="C20" s="215"/>
      <c r="D20" s="216" t="s">
        <v>3057</v>
      </c>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hidden="1">
      <c r="A21" s="3356"/>
      <c r="B21" s="3355"/>
      <c r="C21" s="215"/>
      <c r="D21" s="216" t="s">
        <v>3057</v>
      </c>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3356"/>
      <c r="B22" s="3355"/>
      <c r="C22" s="215"/>
      <c r="D22" s="216" t="s">
        <v>3057</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hidden="1">
      <c r="A23" s="3356"/>
      <c r="B23" s="3357"/>
      <c r="C23" s="215"/>
      <c r="D23" s="216" t="s">
        <v>3057</v>
      </c>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hidden="1">
      <c r="A24" s="3358"/>
      <c r="B24" s="322"/>
      <c r="C24" s="1415"/>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hidden="1">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hidden="1">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hidden="1">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hidden="1">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hidden="1">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hidden="1">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hidden="1">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hidden="1">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hidden="1">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hidden="1">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hidden="1">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hidden="1">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hidden="1">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hidden="1">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hidden="1">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hidden="1">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hidden="1">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hidden="1">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hidden="1">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hidden="1">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hidden="1">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hidden="1">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hidden="1">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hidden="1">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hidden="1">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hidden="1">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hidden="1">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hidden="1">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hidden="1">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hidden="1">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hidden="1">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hidden="1">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hidden="1">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hidden="1">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hidden="1">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hidden="1">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hidden="1">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hidden="1">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hidden="1">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hidden="1">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hidden="1">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hidden="1">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hidden="1">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hidden="1">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hidden="1">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hidden="1">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hidden="1">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hidden="1">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hidden="1">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hidden="1">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hidden="1">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hidden="1">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hidden="1">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hidden="1">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hidden="1">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hidden="1">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hidden="1">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hidden="1">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hidden="1">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hidden="1">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hidden="1">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hidden="1">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hidden="1">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hidden="1">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hidden="1">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hidden="1">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hidden="1">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hidden="1">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hidden="1">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hidden="1">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hidden="1">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hidden="1">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hidden="1">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hidden="1">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hidden="1">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hidden="1">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hidden="1">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hidden="1">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hidden="1">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hidden="1">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hidden="1">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hidden="1">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hidden="1">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hidden="1">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hidden="1">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hidden="1">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hidden="1">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hidden="1">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hidden="1">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hidden="1">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hidden="1">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hidden="1">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hidden="1">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hidden="1">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hidden="1">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hidden="1">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hidden="1">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hidden="1">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hidden="1">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hidden="1">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hidden="1">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hidden="1">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hidden="1">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hidden="1">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hidden="1">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hidden="1">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hidden="1">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hidden="1">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hidden="1">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hidden="1">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hidden="1">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hidden="1">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hidden="1">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hidden="1">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hidden="1">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hidden="1">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hidden="1">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hidden="1">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hidden="1">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hidden="1">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hidden="1">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hidden="1">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hidden="1">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hidden="1">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hidden="1">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hidden="1">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hidden="1">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hidden="1">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hidden="1">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hidden="1">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hidden="1">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hidden="1">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hidden="1">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hidden="1">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hidden="1">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hidden="1">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hidden="1">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hidden="1">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hidden="1">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hidden="1">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hidden="1">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hidden="1">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hidden="1">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hidden="1">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hidden="1">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hidden="1">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hidden="1">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hidden="1">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hidden="1">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hidden="1">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hidden="1">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hidden="1">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hidden="1">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hidden="1">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hidden="1">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hidden="1">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hidden="1">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hidden="1">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hidden="1">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hidden="1">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hidden="1">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hidden="1">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hidden="1">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hidden="1">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hidden="1">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hidden="1">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hidden="1">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hidden="1">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hidden="1">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hidden="1">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hidden="1">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hidden="1">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hidden="1">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hidden="1">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hidden="1">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hidden="1">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hidden="1">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hidden="1">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hidden="1">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hidden="1">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hidden="1">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hidden="1">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hidden="1">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hidden="1">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hidden="1">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hidden="1">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hidden="1">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hidden="1">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hidden="1">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hidden="1">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hidden="1">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hidden="1">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hidden="1">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hidden="1">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hidden="1">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hidden="1">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hidden="1">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hidden="1">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hidden="1">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hidden="1">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hidden="1">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hidden="1">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hidden="1">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hidden="1">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hidden="1">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hidden="1">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hidden="1">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hidden="1">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hidden="1">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hidden="1">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hidden="1">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hidden="1">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hidden="1">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hidden="1">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hidden="1">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hidden="1">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hidden="1">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hidden="1">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hidden="1">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hidden="1">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hidden="1">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hidden="1">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hidden="1">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hidden="1">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hidden="1">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hidden="1">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hidden="1">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hidden="1">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hidden="1">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hidden="1">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hidden="1">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hidden="1">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hidden="1">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hidden="1">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hidden="1">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hidden="1">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hidden="1">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hidden="1">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hidden="1">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hidden="1">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hidden="1">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hidden="1">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hidden="1">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hidden="1">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hidden="1">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hidden="1">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hidden="1">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hidden="1">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hidden="1">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hidden="1">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hidden="1">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hidden="1">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hidden="1">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hidden="1">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hidden="1">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hidden="1">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hidden="1">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hidden="1">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hidden="1">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hidden="1">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hidden="1">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hidden="1">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hidden="1">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hidden="1">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hidden="1">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hidden="1">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hidden="1">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hidden="1">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hidden="1">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hidden="1">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hidden="1">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hidden="1">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hidden="1">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hidden="1">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hidden="1">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hidden="1">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hidden="1">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hidden="1">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hidden="1">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hidden="1">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hidden="1">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hidden="1">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hidden="1">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hidden="1">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hidden="1">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hidden="1">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hidden="1">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hidden="1">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hidden="1">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hidden="1">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hidden="1">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hidden="1">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hidden="1">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hidden="1">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hidden="1">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hidden="1">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hidden="1">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hidden="1">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hidden="1">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hidden="1">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hidden="1">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hidden="1">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hidden="1">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hidden="1">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hidden="1">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hidden="1">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hidden="1">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hidden="1">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hidden="1">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hidden="1">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hidden="1">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hidden="1">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hidden="1">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hidden="1">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hidden="1">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hidden="1">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hidden="1">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hidden="1">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hidden="1">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hidden="1">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hidden="1">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hidden="1">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hidden="1">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hidden="1">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hidden="1">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hidden="1">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hidden="1">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hidden="1">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hidden="1">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hidden="1">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hidden="1">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hidden="1">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hidden="1">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hidden="1">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hidden="1">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hidden="1">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hidden="1">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hidden="1">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hidden="1">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hidden="1">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hidden="1">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hidden="1">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hidden="1">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hidden="1">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hidden="1">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hidden="1">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hidden="1">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hidden="1">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hidden="1">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hidden="1">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hidden="1">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hidden="1">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hidden="1">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hidden="1">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hidden="1">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hidden="1">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hidden="1">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hidden="1">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hidden="1">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hidden="1">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hidden="1">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hidden="1">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hidden="1">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hidden="1">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hidden="1">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hidden="1">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hidden="1">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hidden="1">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hidden="1">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hidden="1">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hidden="1">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hidden="1">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hidden="1">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hidden="1">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hidden="1">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hidden="1">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hidden="1">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hidden="1">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hidden="1">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hidden="1">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hidden="1">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hidden="1">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hidden="1">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hidden="1">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hidden="1">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hidden="1">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hidden="1">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hidden="1">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hidden="1">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hidden="1">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hidden="1">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hidden="1">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hidden="1">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hidden="1">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hidden="1">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hidden="1">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hidden="1">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hidden="1">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hidden="1">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hidden="1">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hidden="1">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hidden="1">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hidden="1">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hidden="1">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hidden="1">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hidden="1">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hidden="1">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hidden="1">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hidden="1">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hidden="1">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hidden="1">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hidden="1">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hidden="1">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hidden="1">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hidden="1">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hidden="1">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hidden="1">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hidden="1">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hidden="1">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hidden="1">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hidden="1">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hidden="1">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hidden="1">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hidden="1">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hidden="1">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hidden="1">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hidden="1">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hidden="1">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hidden="1">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hidden="1">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hidden="1">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hidden="1">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hidden="1">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hidden="1">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hidden="1">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hidden="1">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hidden="1">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hidden="1">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hidden="1">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hidden="1">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hidden="1">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hidden="1">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hidden="1">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hidden="1">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hidden="1">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hidden="1">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hidden="1">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hidden="1">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hidden="1">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hidden="1">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hidden="1">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hidden="1">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hidden="1">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hidden="1">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hidden="1">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hidden="1">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hidden="1">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hidden="1">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hidden="1">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hidden="1">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hidden="1">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hidden="1">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hidden="1">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hidden="1">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hidden="1">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hidden="1">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hidden="1">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hidden="1">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hidden="1">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hidden="1">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hidden="1">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hidden="1">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hidden="1">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hidden="1">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hidden="1">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hidden="1">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hidden="1">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hidden="1">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hidden="1">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hidden="1">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3" t="s">
        <v>2</v>
      </c>
      <c r="B1" s="3393" t="s">
        <v>37</v>
      </c>
      <c r="C1" s="3393" t="s">
        <v>38</v>
      </c>
      <c r="D1" s="3453" t="s">
        <v>200</v>
      </c>
      <c r="E1" s="3453" t="s">
        <v>201</v>
      </c>
      <c r="F1" s="3453"/>
      <c r="G1" s="3453"/>
      <c r="H1" s="3453"/>
      <c r="I1" s="3453"/>
      <c r="J1" s="3453"/>
      <c r="K1" s="3453"/>
      <c r="L1" s="3453"/>
      <c r="M1" s="3453"/>
    </row>
    <row r="2" spans="1:13" ht="27" customHeight="1">
      <c r="A2" s="3393"/>
      <c r="B2" s="3393"/>
      <c r="C2" s="3393"/>
      <c r="D2" s="3453"/>
      <c r="E2" s="3453" t="s">
        <v>184</v>
      </c>
      <c r="F2" s="3453" t="s">
        <v>185</v>
      </c>
      <c r="G2" s="3453"/>
      <c r="H2" s="3453"/>
      <c r="I2" s="3453"/>
      <c r="J2" s="3453" t="s">
        <v>186</v>
      </c>
      <c r="K2" s="3453"/>
      <c r="L2" s="3453"/>
      <c r="M2" s="3453"/>
    </row>
    <row r="3" spans="1:13" ht="28.5">
      <c r="A3" s="3393"/>
      <c r="B3" s="3393"/>
      <c r="C3" s="3393"/>
      <c r="D3" s="3453"/>
      <c r="E3" s="3453"/>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53" t="s">
        <v>202</v>
      </c>
      <c r="B9" s="3453"/>
      <c r="C9" s="345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abSelected="1" view="pageBreakPreview" zoomScale="90" zoomScaleSheetLayoutView="90" workbookViewId="0">
      <selection activeCell="K35" sqref="K35"/>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463" t="s">
        <v>641</v>
      </c>
      <c r="B2" s="3463"/>
      <c r="C2" s="3463"/>
      <c r="D2" s="2209" t="s">
        <v>642</v>
      </c>
      <c r="E2" s="19" t="s">
        <v>643</v>
      </c>
      <c r="F2" s="2225"/>
      <c r="G2" s="1178"/>
      <c r="H2" s="1179"/>
      <c r="I2" s="2217" t="s">
        <v>644</v>
      </c>
      <c r="J2" s="2225"/>
      <c r="K2" s="2225"/>
      <c r="L2" s="2225"/>
      <c r="M2" s="2225"/>
      <c r="N2" s="2234"/>
      <c r="O2" s="2225"/>
      <c r="P2" s="2225"/>
    </row>
    <row r="3" spans="1:16" ht="15.75" thickBot="1">
      <c r="A3" s="3464" t="s">
        <v>645</v>
      </c>
      <c r="B3" s="3464"/>
      <c r="C3" s="3464"/>
      <c r="D3" s="334">
        <f>'数据-基础表'!AY6</f>
        <v>14746.3</v>
      </c>
      <c r="E3" s="334">
        <f>'数据-基础表'!AZ5</f>
        <v>62458.42</v>
      </c>
      <c r="F3" s="2225"/>
      <c r="G3" s="440"/>
      <c r="H3" s="438" t="s">
        <v>646</v>
      </c>
      <c r="I3" s="343">
        <f>ROUND('数据-基础表'!B3/'数据-基础表'!A3,2)</f>
        <v>5.1100000000000003</v>
      </c>
      <c r="J3" s="2225"/>
      <c r="K3" s="2225"/>
      <c r="L3" s="2225"/>
      <c r="M3" s="2225"/>
      <c r="N3" s="2234"/>
      <c r="O3" s="2225"/>
      <c r="P3" s="2225"/>
    </row>
    <row r="4" spans="1:16" ht="14.25">
      <c r="A4" s="3465"/>
      <c r="B4" s="3466"/>
      <c r="C4" s="3467"/>
      <c r="D4" s="20" t="s">
        <v>642</v>
      </c>
      <c r="E4" s="21" t="s">
        <v>643</v>
      </c>
      <c r="F4" s="2225"/>
      <c r="G4" s="1180" t="s">
        <v>1792</v>
      </c>
      <c r="H4" s="438" t="s">
        <v>647</v>
      </c>
      <c r="I4" s="343">
        <f>ROUND(SUMIF('数据-基础表'!I9:AS9,"地上",'数据-基础表'!I5:AS5)/'数据-基础表'!A3,2)</f>
        <v>4.1100000000000003</v>
      </c>
      <c r="J4" s="2225"/>
      <c r="K4" s="2225"/>
      <c r="L4" s="2225"/>
      <c r="M4" s="2225"/>
      <c r="N4" s="2234"/>
      <c r="O4" s="2225"/>
      <c r="P4" s="2225"/>
    </row>
    <row r="5" spans="1:16" ht="14.25">
      <c r="A5" s="22" t="s">
        <v>648</v>
      </c>
      <c r="B5" s="3468" t="s">
        <v>649</v>
      </c>
      <c r="C5" s="3468"/>
      <c r="D5" s="336">
        <f>ROUND($D$3*E5/$E$3,2)</f>
        <v>14312.95</v>
      </c>
      <c r="E5" s="337">
        <f>SUMIF('数据-基础表'!$11:$11,"住宅",'数据-基础表'!$5:$5)</f>
        <v>60622.95</v>
      </c>
      <c r="F5" s="2225"/>
      <c r="G5" s="440"/>
      <c r="H5" s="438" t="s">
        <v>646</v>
      </c>
      <c r="I5" s="343">
        <f>ROUND(E31/D31,2)</f>
        <v>4.24</v>
      </c>
      <c r="J5" s="2225"/>
      <c r="K5" s="2225"/>
      <c r="L5" s="2225"/>
      <c r="M5" s="2225"/>
      <c r="N5" s="2225"/>
      <c r="O5" s="2225"/>
      <c r="P5" s="2225"/>
    </row>
    <row r="6" spans="1:16" ht="15" thickBot="1">
      <c r="A6" s="24"/>
      <c r="B6" s="3468" t="s">
        <v>650</v>
      </c>
      <c r="C6" s="3468"/>
      <c r="D6" s="336">
        <f>ROUND($D$3*E6/$E$3,2)</f>
        <v>433.35</v>
      </c>
      <c r="E6" s="337">
        <f>E3-E5</f>
        <v>1835.4700000000012</v>
      </c>
      <c r="F6" s="2225"/>
      <c r="G6" s="1759" t="s">
        <v>1793</v>
      </c>
      <c r="H6" s="440" t="s">
        <v>647</v>
      </c>
      <c r="I6" s="1760">
        <f>ROUND(F31/D31,2)</f>
        <v>4.1100000000000003</v>
      </c>
      <c r="J6" s="2225"/>
      <c r="K6" s="2225"/>
      <c r="L6" s="2225"/>
      <c r="M6" s="2225"/>
      <c r="N6" s="2225"/>
      <c r="O6" s="2225"/>
      <c r="P6" s="2225"/>
    </row>
    <row r="7" spans="1:16" ht="14.25">
      <c r="A7" s="3460"/>
      <c r="B7" s="3461"/>
      <c r="C7" s="3462"/>
      <c r="D7" s="20" t="s">
        <v>642</v>
      </c>
      <c r="E7" s="25" t="s">
        <v>643</v>
      </c>
      <c r="F7" s="2225"/>
      <c r="G7" s="1178" t="s">
        <v>1872</v>
      </c>
      <c r="H7" s="38"/>
      <c r="I7" s="761"/>
      <c r="J7" s="2225"/>
      <c r="K7" s="2225"/>
      <c r="L7" s="2225"/>
      <c r="M7" s="2225"/>
      <c r="N7" s="2225"/>
      <c r="O7" s="2225"/>
      <c r="P7" s="2225"/>
    </row>
    <row r="8" spans="1:16" ht="14.25">
      <c r="A8" s="22" t="s">
        <v>651</v>
      </c>
      <c r="B8" s="26" t="s">
        <v>652</v>
      </c>
      <c r="C8" s="23" t="s">
        <v>653</v>
      </c>
      <c r="D8" s="336">
        <f t="shared" ref="D8:D15" si="0">ROUND($D$3*E8/$E$3,2)</f>
        <v>14312.95</v>
      </c>
      <c r="E8" s="339">
        <f>SUMIF('数据-基础表'!BB10:BK10,"地上",'数据-基础表'!BB5:BK5)</f>
        <v>60622.95</v>
      </c>
      <c r="F8" s="2225"/>
      <c r="G8" s="2226"/>
      <c r="H8" s="2226"/>
      <c r="I8" s="2225"/>
      <c r="J8" s="2225"/>
      <c r="K8" s="2225"/>
      <c r="L8" s="2225"/>
      <c r="M8" s="2225"/>
      <c r="N8" s="2225"/>
      <c r="O8" s="2225"/>
      <c r="P8" s="2225"/>
    </row>
    <row r="9" spans="1:16" ht="14.25">
      <c r="A9" s="27"/>
      <c r="B9" s="28"/>
      <c r="C9" s="23" t="s">
        <v>654</v>
      </c>
      <c r="D9" s="336">
        <f t="shared" si="0"/>
        <v>0</v>
      </c>
      <c r="E9" s="340">
        <v>0</v>
      </c>
      <c r="F9" s="2225"/>
      <c r="G9" s="2226"/>
      <c r="H9" s="2226"/>
      <c r="I9" s="2225"/>
      <c r="J9" s="2225"/>
      <c r="K9" s="2225"/>
      <c r="L9" s="2225"/>
      <c r="M9" s="2225"/>
      <c r="N9" s="2225"/>
      <c r="O9" s="2225"/>
      <c r="P9" s="2225"/>
    </row>
    <row r="10" spans="1:16" ht="14.25">
      <c r="A10" s="27"/>
      <c r="B10" s="28"/>
      <c r="C10" s="23" t="s">
        <v>655</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658</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8">
        <f>SUM(D8:D15)</f>
        <v>14312.95</v>
      </c>
      <c r="E16" s="341">
        <f>SUM(E8:E15)</f>
        <v>60622.95</v>
      </c>
      <c r="F16" s="2225"/>
      <c r="G16" s="2226"/>
      <c r="H16" s="1177" t="s">
        <v>532</v>
      </c>
      <c r="I16" s="1181"/>
      <c r="J16" s="2225"/>
      <c r="K16" s="3457" t="s">
        <v>532</v>
      </c>
      <c r="L16" s="3458"/>
      <c r="M16" s="3458"/>
      <c r="N16" s="3458"/>
      <c r="O16" s="3458"/>
      <c r="P16" s="3459"/>
    </row>
    <row r="17" spans="1:19" ht="14.25">
      <c r="A17" s="29" t="s">
        <v>661</v>
      </c>
      <c r="B17" s="30" t="s">
        <v>662</v>
      </c>
      <c r="C17" s="34" t="s">
        <v>2391</v>
      </c>
      <c r="D17" s="2075" t="s">
        <v>642</v>
      </c>
      <c r="E17" s="2073" t="s">
        <v>643</v>
      </c>
      <c r="F17" s="36"/>
      <c r="G17" s="37"/>
      <c r="H17" s="1182" t="s">
        <v>663</v>
      </c>
      <c r="I17" s="1183" t="s">
        <v>205</v>
      </c>
      <c r="J17" s="2225"/>
      <c r="K17" s="3454" t="s">
        <v>669</v>
      </c>
      <c r="L17" s="3455"/>
      <c r="M17" s="3456"/>
      <c r="N17" s="3454" t="s">
        <v>2694</v>
      </c>
      <c r="O17" s="3455"/>
      <c r="P17" s="3456"/>
      <c r="R17" s="2485" t="s">
        <v>2392</v>
      </c>
      <c r="S17" s="353"/>
    </row>
    <row r="18" spans="1:19">
      <c r="A18" s="27"/>
      <c r="B18" s="31"/>
      <c r="C18" s="35"/>
      <c r="D18" s="2076"/>
      <c r="E18" s="2074" t="s">
        <v>664</v>
      </c>
      <c r="F18" s="15" t="s">
        <v>665</v>
      </c>
      <c r="G18" s="16" t="s">
        <v>666</v>
      </c>
      <c r="H18" s="1184" t="s">
        <v>667</v>
      </c>
      <c r="I18" s="1185" t="s">
        <v>668</v>
      </c>
      <c r="J18" s="2225"/>
      <c r="K18" s="1184" t="s">
        <v>2687</v>
      </c>
      <c r="L18" s="6" t="s">
        <v>2695</v>
      </c>
      <c r="M18" s="2802" t="s">
        <v>2693</v>
      </c>
      <c r="N18" s="1184" t="s">
        <v>2687</v>
      </c>
      <c r="O18" s="6" t="s">
        <v>2695</v>
      </c>
      <c r="P18" s="2802" t="s">
        <v>2693</v>
      </c>
      <c r="R18" s="2486" t="s">
        <v>2393</v>
      </c>
      <c r="S18" s="2486" t="s">
        <v>2394</v>
      </c>
    </row>
    <row r="19" spans="1:19" ht="14.25">
      <c r="A19" s="32"/>
      <c r="B19" s="26" t="s">
        <v>119</v>
      </c>
      <c r="C19" s="1419" t="s">
        <v>3080</v>
      </c>
      <c r="D19" s="336">
        <f>ROUND($D$3*E19/$E$3,2)</f>
        <v>13218.25</v>
      </c>
      <c r="E19" s="344">
        <f t="shared" ref="E19:E26" si="1">SUM(F19:G19)</f>
        <v>55986.3</v>
      </c>
      <c r="F19" s="345">
        <f>'数据-基础表'!I13+'数据-基础表'!I15</f>
        <v>55986.3</v>
      </c>
      <c r="G19" s="346"/>
      <c r="H19" s="1131">
        <f>ROUND($D$3*I19/$E$3,2)</f>
        <v>400.21</v>
      </c>
      <c r="I19" s="339">
        <f t="shared" ref="I19:I26" si="2">IF($I$17="自定义",P19,M19)</f>
        <v>1695.09</v>
      </c>
      <c r="J19" s="2225"/>
      <c r="K19" s="2803">
        <f t="shared" ref="K19:K26" si="3">ROUND(E$28*E19/E$27,2)</f>
        <v>1695.09</v>
      </c>
      <c r="L19" s="2487">
        <f t="shared" ref="L19:L26" si="4">ROUND(IF(COUNTIF(C19,"*住宅*")&gt;0,E$29*E19/E$32,0),2)</f>
        <v>0</v>
      </c>
      <c r="M19" s="2821">
        <f>K19+L19</f>
        <v>1695.09</v>
      </c>
      <c r="N19" s="2819"/>
      <c r="O19" s="2801"/>
      <c r="P19" s="2804">
        <f>N19+O19</f>
        <v>0</v>
      </c>
      <c r="R19" s="2487">
        <f t="shared" ref="R19:S26" si="5">D19+H19</f>
        <v>13618.46</v>
      </c>
      <c r="S19" s="2488">
        <f t="shared" si="5"/>
        <v>57681.39</v>
      </c>
    </row>
    <row r="20" spans="1:19" ht="14.25">
      <c r="A20" s="33"/>
      <c r="B20" s="26" t="s">
        <v>635</v>
      </c>
      <c r="C20" s="1419"/>
      <c r="D20" s="336">
        <f t="shared" ref="D20:D26" si="6">ROUND($D$3*E20/$E$3,2)</f>
        <v>0</v>
      </c>
      <c r="E20" s="344">
        <f t="shared" si="1"/>
        <v>0</v>
      </c>
      <c r="F20" s="345"/>
      <c r="G20" s="346"/>
      <c r="H20" s="1131">
        <f t="shared" ref="H20:H26" si="7">ROUND($D$3*I20/$E$3,2)</f>
        <v>0</v>
      </c>
      <c r="I20" s="339">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635</v>
      </c>
      <c r="C21" s="1419" t="s">
        <v>3082</v>
      </c>
      <c r="D21" s="336">
        <f t="shared" si="6"/>
        <v>1094.7</v>
      </c>
      <c r="E21" s="344">
        <f t="shared" si="1"/>
        <v>4636.6499999999996</v>
      </c>
      <c r="F21" s="345">
        <f>'数据-基础表'!I14</f>
        <v>4636.6499999999996</v>
      </c>
      <c r="G21" s="346"/>
      <c r="H21" s="1131">
        <f t="shared" si="7"/>
        <v>33.14</v>
      </c>
      <c r="I21" s="339">
        <f t="shared" si="2"/>
        <v>140.38</v>
      </c>
      <c r="J21" s="2225"/>
      <c r="K21" s="2803">
        <f t="shared" si="3"/>
        <v>140.38</v>
      </c>
      <c r="L21" s="2487">
        <f t="shared" si="4"/>
        <v>0</v>
      </c>
      <c r="M21" s="2821">
        <f t="shared" si="8"/>
        <v>140.38</v>
      </c>
      <c r="N21" s="2819"/>
      <c r="O21" s="2801"/>
      <c r="P21" s="2804">
        <f t="shared" si="9"/>
        <v>0</v>
      </c>
      <c r="R21" s="2487">
        <f t="shared" si="5"/>
        <v>1127.8400000000001</v>
      </c>
      <c r="S21" s="2488">
        <f t="shared" si="5"/>
        <v>4777.03</v>
      </c>
    </row>
    <row r="22" spans="1:19" ht="14.25" hidden="1">
      <c r="A22" s="33"/>
      <c r="B22" s="26" t="s">
        <v>635</v>
      </c>
      <c r="C22" s="348"/>
      <c r="D22" s="336">
        <f t="shared" si="6"/>
        <v>0</v>
      </c>
      <c r="E22" s="344">
        <f t="shared" si="1"/>
        <v>0</v>
      </c>
      <c r="F22" s="349"/>
      <c r="G22" s="350"/>
      <c r="H22" s="1131">
        <f t="shared" si="7"/>
        <v>0</v>
      </c>
      <c r="I22" s="339">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hidden="1">
      <c r="A23" s="33"/>
      <c r="B23" s="26" t="s">
        <v>635</v>
      </c>
      <c r="C23" s="348"/>
      <c r="D23" s="336">
        <f>ROUND($D$3*E23/$E$3,2)</f>
        <v>0</v>
      </c>
      <c r="E23" s="344">
        <f>SUM(F23:G23)</f>
        <v>0</v>
      </c>
      <c r="F23" s="349"/>
      <c r="G23" s="350"/>
      <c r="H23" s="1131">
        <f>ROUND($D$3*I23/$E$3,2)</f>
        <v>0</v>
      </c>
      <c r="I23" s="339">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hidden="1">
      <c r="A24" s="33"/>
      <c r="B24" s="26" t="s">
        <v>635</v>
      </c>
      <c r="C24" s="348"/>
      <c r="D24" s="336">
        <f>ROUND($D$3*E24/$E$3,2)</f>
        <v>0</v>
      </c>
      <c r="E24" s="344">
        <f>SUM(F24:G24)</f>
        <v>0</v>
      </c>
      <c r="F24" s="349"/>
      <c r="G24" s="350"/>
      <c r="H24" s="1131">
        <f>ROUND($D$3*I24/$E$3,2)</f>
        <v>0</v>
      </c>
      <c r="I24" s="339">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hidden="1">
      <c r="A25" s="33"/>
      <c r="B25" s="26" t="s">
        <v>635</v>
      </c>
      <c r="C25" s="348"/>
      <c r="D25" s="336">
        <f t="shared" si="6"/>
        <v>0</v>
      </c>
      <c r="E25" s="344">
        <f t="shared" si="1"/>
        <v>0</v>
      </c>
      <c r="F25" s="349"/>
      <c r="G25" s="350"/>
      <c r="H25" s="335">
        <f t="shared" si="7"/>
        <v>0</v>
      </c>
      <c r="I25" s="339">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hidden="1">
      <c r="A26" s="33"/>
      <c r="B26" s="26" t="s">
        <v>635</v>
      </c>
      <c r="C26" s="352"/>
      <c r="D26" s="336">
        <f t="shared" si="6"/>
        <v>0</v>
      </c>
      <c r="E26" s="344">
        <f t="shared" si="1"/>
        <v>0</v>
      </c>
      <c r="F26" s="349"/>
      <c r="G26" s="350"/>
      <c r="H26" s="335">
        <f t="shared" si="7"/>
        <v>0</v>
      </c>
      <c r="I26" s="339">
        <f t="shared" si="2"/>
        <v>0</v>
      </c>
      <c r="J26" s="2225"/>
      <c r="K26" s="2812">
        <f t="shared" si="3"/>
        <v>0</v>
      </c>
      <c r="L26" s="2813">
        <f t="shared" si="4"/>
        <v>0</v>
      </c>
      <c r="M26" s="356">
        <f t="shared" si="8"/>
        <v>0</v>
      </c>
      <c r="N26" s="2820"/>
      <c r="O26" s="2814"/>
      <c r="P26" s="2815">
        <f t="shared" si="9"/>
        <v>0</v>
      </c>
      <c r="R26" s="2487">
        <f t="shared" si="5"/>
        <v>0</v>
      </c>
      <c r="S26" s="2488">
        <f t="shared" si="5"/>
        <v>0</v>
      </c>
    </row>
    <row r="27" spans="1:19" ht="15.75" thickBot="1">
      <c r="A27" s="33"/>
      <c r="B27" s="23"/>
      <c r="C27" s="2777" t="s">
        <v>636</v>
      </c>
      <c r="D27" s="2806">
        <f>SUM(D19:D26)</f>
        <v>14312.95</v>
      </c>
      <c r="E27" s="2807">
        <f>IF(SUM(E19:E26)='数据-基础表'!BA5,SUM(E19:E26),IF(F27="地上面积有误","面积有误","地下面积有误"))</f>
        <v>60622.950000000004</v>
      </c>
      <c r="F27" s="2806">
        <f>IF(SUM(F19:F26)=E8,SUM(F19:F26),"地上面积有误")</f>
        <v>60622.950000000004</v>
      </c>
      <c r="G27" s="2808">
        <f>SUM(G19:G26)</f>
        <v>0</v>
      </c>
      <c r="H27" s="2809">
        <f>SUM(H19:H26)</f>
        <v>433.34999999999997</v>
      </c>
      <c r="I27" s="2810">
        <f>SUM(I19:I26)</f>
        <v>1835.4699999999998</v>
      </c>
      <c r="J27" s="2225"/>
      <c r="K27" s="2816">
        <f>SUM(K19:K26)</f>
        <v>1835.4699999999998</v>
      </c>
      <c r="L27" s="2817">
        <f>SUM(L19:L26)</f>
        <v>0</v>
      </c>
      <c r="M27" s="2822">
        <f>SUM(M19:M26)</f>
        <v>1835.4699999999998</v>
      </c>
      <c r="N27" s="2816">
        <f t="shared" ref="N27:O27" si="10">SUM(N19:N26)</f>
        <v>0</v>
      </c>
      <c r="O27" s="2817">
        <f t="shared" si="10"/>
        <v>0</v>
      </c>
      <c r="P27" s="2818">
        <f>SUM(P19:P26)</f>
        <v>0</v>
      </c>
      <c r="R27" s="2489">
        <f>IF(SUM(R19:R26)=$D$3,SUM(R19:R26),SUM(R19:R26)&amp;"误差"&amp;ROUND(SUM(R19:R26)-$D$3,2))</f>
        <v>14746.3</v>
      </c>
      <c r="S27" s="2487">
        <f>IF(SUM(S19:S26)=$E$3,SUM(S19:S26),SUM(S19:S26)&amp;"误差"&amp;ROUND(SUM(S19:S26)-E3,2))</f>
        <v>62458.42</v>
      </c>
    </row>
    <row r="28" spans="1:19" ht="14.25">
      <c r="A28" s="33"/>
      <c r="B28" s="26" t="s">
        <v>637</v>
      </c>
      <c r="C28" s="5" t="s">
        <v>638</v>
      </c>
      <c r="D28" s="336">
        <f>ROUND($D$3*E28/$E$3,2)</f>
        <v>433.35</v>
      </c>
      <c r="E28" s="344">
        <f>SUM(F28:G28)</f>
        <v>1835.4699999999998</v>
      </c>
      <c r="F28" s="353">
        <f>'数据-基础表'!BQ5+'数据-基础表'!BS5</f>
        <v>0</v>
      </c>
      <c r="G28" s="354">
        <f>'数据-基础表'!BR5+'数据-基础表'!BT5</f>
        <v>1835.4699999999998</v>
      </c>
      <c r="H28" s="2225"/>
      <c r="I28" s="2225"/>
      <c r="J28" s="2225"/>
      <c r="K28" s="2225"/>
      <c r="L28" s="2225"/>
      <c r="M28" s="2225"/>
      <c r="N28" s="2805"/>
      <c r="O28" s="2805"/>
      <c r="P28" s="2225"/>
    </row>
    <row r="29" spans="1:19" ht="14.25">
      <c r="A29" s="33"/>
      <c r="B29" s="26" t="s">
        <v>637</v>
      </c>
      <c r="C29" s="13" t="s">
        <v>2395</v>
      </c>
      <c r="D29" s="336">
        <f>ROUND($D$3*E29/$E$3,2)</f>
        <v>0</v>
      </c>
      <c r="E29" s="344">
        <f>SUM(F29:G29)</f>
        <v>0</v>
      </c>
      <c r="F29" s="355">
        <f>'数据-基础表'!BM5+'数据-基础表'!BO5</f>
        <v>0</v>
      </c>
      <c r="G29" s="356">
        <f>'数据-基础表'!BN5+'数据-基础表'!BP5</f>
        <v>0</v>
      </c>
      <c r="H29" s="2225"/>
      <c r="I29" s="2225"/>
      <c r="J29" s="2225"/>
      <c r="K29" s="2225"/>
      <c r="L29" s="2225"/>
      <c r="M29" s="2225"/>
      <c r="N29" s="2805"/>
      <c r="O29" s="2805"/>
      <c r="P29" s="2225"/>
    </row>
    <row r="30" spans="1:19" ht="15">
      <c r="A30" s="33"/>
      <c r="B30" s="26"/>
      <c r="C30" s="2811" t="s">
        <v>636</v>
      </c>
      <c r="D30" s="2806">
        <f>SUM(D28:D29)</f>
        <v>433.35</v>
      </c>
      <c r="E30" s="2806">
        <f>SUM(E28:E29)</f>
        <v>1835.4699999999998</v>
      </c>
      <c r="F30" s="2806">
        <f>SUM(F28:F29)</f>
        <v>0</v>
      </c>
      <c r="G30" s="2808">
        <f>SUM(G28:G29)</f>
        <v>1835.4699999999998</v>
      </c>
      <c r="H30" s="2225"/>
      <c r="I30" s="2225"/>
      <c r="J30" s="2225"/>
      <c r="K30" s="2225"/>
      <c r="L30" s="2225"/>
      <c r="M30" s="2225"/>
      <c r="N30" s="2805"/>
      <c r="O30" s="2805"/>
      <c r="P30" s="2225"/>
    </row>
    <row r="31" spans="1:19" ht="15.75" thickBot="1">
      <c r="A31" s="1186"/>
      <c r="B31" s="2525"/>
      <c r="C31" s="2526" t="s">
        <v>639</v>
      </c>
      <c r="D31" s="1187">
        <f>D27+D30</f>
        <v>14746.300000000001</v>
      </c>
      <c r="E31" s="1187">
        <f>E27+E30</f>
        <v>62458.420000000006</v>
      </c>
      <c r="F31" s="1188">
        <f>F27+F30</f>
        <v>60622.950000000004</v>
      </c>
      <c r="G31" s="1189">
        <f>G27+G30</f>
        <v>1835.4699999999998</v>
      </c>
      <c r="H31" s="2225"/>
      <c r="I31" s="2225"/>
      <c r="J31" s="2225"/>
      <c r="K31" s="2225"/>
      <c r="L31" s="2225"/>
      <c r="M31" s="2225"/>
      <c r="N31" s="2225"/>
      <c r="O31" s="2225"/>
      <c r="P31" s="2225"/>
    </row>
    <row r="32" spans="1:19" ht="14.25">
      <c r="A32" s="1180"/>
      <c r="B32" s="1180" t="s">
        <v>2708</v>
      </c>
      <c r="C32" s="1180"/>
      <c r="D32" s="1180"/>
      <c r="E32" s="2524">
        <f>SUMIF(C19:C26,"*住宅*",E19:E26)</f>
        <v>55986.3</v>
      </c>
      <c r="F32" s="1180"/>
      <c r="G32" s="1180"/>
      <c r="H32" s="2225"/>
      <c r="I32" s="2225"/>
      <c r="J32" s="2225"/>
      <c r="K32" s="2225"/>
      <c r="L32" s="2225"/>
      <c r="M32" s="2225"/>
      <c r="N32" s="2225"/>
      <c r="O32" s="2225"/>
      <c r="P32" s="2225"/>
    </row>
    <row r="33" spans="4:5">
      <c r="D33" s="2228"/>
    </row>
    <row r="35" spans="4:5">
      <c r="E35" s="3360"/>
    </row>
    <row r="36" spans="4:5">
      <c r="E36" s="2228"/>
    </row>
    <row r="37" spans="4:5">
      <c r="E37" s="2228"/>
    </row>
    <row r="38" spans="4:5">
      <c r="E38"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4" sqref="D4"/>
      <selection pane="topRight" activeCell="D4" sqref="D4"/>
      <selection pane="bottomLeft" activeCell="D4" sqref="D4"/>
      <selection pane="bottomRight" activeCell="L25" sqref="L2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hidden="1" customWidth="1"/>
    <col min="22" max="22" width="6.375" style="1192" hidden="1" customWidth="1"/>
    <col min="23" max="30" width="6.75" style="1192" hidden="1" customWidth="1"/>
    <col min="31" max="31" width="8" style="1192" hidden="1" customWidth="1"/>
    <col min="32" max="34" width="7.25" style="1192" hidden="1" customWidth="1"/>
    <col min="35" max="39" width="8" style="1192" hidden="1" customWidth="1"/>
    <col min="40" max="40" width="0" style="2238" hidden="1" customWidth="1"/>
    <col min="41" max="41" width="11.625" style="2238" hidden="1" customWidth="1"/>
    <col min="42" max="42" width="9.75" style="2238" hidden="1" customWidth="1"/>
    <col min="43" max="44" width="0" style="2238" hidden="1" customWidth="1"/>
    <col min="45" max="67" width="13.75" style="2238"/>
    <col min="68" max="16384" width="13.75" style="1192"/>
  </cols>
  <sheetData>
    <row r="1" spans="1:67" ht="19.5" thickBot="1">
      <c r="A1" s="44" t="s">
        <v>670</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671</v>
      </c>
      <c r="B2" s="2516">
        <f>项目基本情况!D3</f>
        <v>42977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672</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2397</v>
      </c>
      <c r="B5" s="48" t="s">
        <v>676</v>
      </c>
      <c r="C5" s="49" t="s">
        <v>677</v>
      </c>
      <c r="D5" s="50" t="s">
        <v>678</v>
      </c>
      <c r="E5" s="51" t="s">
        <v>679</v>
      </c>
      <c r="F5" s="52" t="s">
        <v>680</v>
      </c>
      <c r="G5" s="51" t="s">
        <v>681</v>
      </c>
      <c r="H5" s="51" t="s">
        <v>682</v>
      </c>
      <c r="I5" s="51" t="s">
        <v>683</v>
      </c>
      <c r="J5" s="53" t="s">
        <v>684</v>
      </c>
      <c r="K5" s="54" t="s">
        <v>685</v>
      </c>
      <c r="L5" s="55" t="s">
        <v>686</v>
      </c>
      <c r="M5" s="56" t="s">
        <v>687</v>
      </c>
      <c r="N5" s="1200" t="s">
        <v>3078</v>
      </c>
      <c r="O5" s="55" t="s">
        <v>688</v>
      </c>
      <c r="P5" s="57" t="s">
        <v>689</v>
      </c>
      <c r="Q5" s="58" t="s">
        <v>690</v>
      </c>
      <c r="R5" s="272" t="s">
        <v>691</v>
      </c>
      <c r="S5" s="59" t="s">
        <v>2688</v>
      </c>
      <c r="T5" s="273" t="s">
        <v>692</v>
      </c>
      <c r="U5" s="2517" t="s">
        <v>2403</v>
      </c>
      <c r="V5" s="51" t="s">
        <v>693</v>
      </c>
      <c r="W5" s="2518" t="s">
        <v>2404</v>
      </c>
      <c r="X5" s="62"/>
      <c r="Y5" s="60" t="s">
        <v>694</v>
      </c>
      <c r="Z5" s="61" t="s">
        <v>695</v>
      </c>
      <c r="AA5" s="51" t="s">
        <v>693</v>
      </c>
      <c r="AB5" s="2518" t="s">
        <v>2404</v>
      </c>
      <c r="AC5" s="62"/>
      <c r="AD5" s="62" t="s">
        <v>694</v>
      </c>
      <c r="AE5" s="14" t="s">
        <v>537</v>
      </c>
      <c r="AF5" s="51" t="s">
        <v>696</v>
      </c>
      <c r="AG5" s="60" t="s">
        <v>697</v>
      </c>
      <c r="AH5" s="14" t="s">
        <v>2408</v>
      </c>
      <c r="AI5" s="61" t="s">
        <v>2325</v>
      </c>
      <c r="AJ5" s="61" t="s">
        <v>698</v>
      </c>
      <c r="AK5" s="2518" t="s">
        <v>2405</v>
      </c>
      <c r="AL5" s="2518" t="s">
        <v>2406</v>
      </c>
      <c r="AM5" s="359" t="s">
        <v>2407</v>
      </c>
      <c r="AN5" s="2574" t="s">
        <v>2447</v>
      </c>
      <c r="AO5" s="2012" t="s">
        <v>2679</v>
      </c>
      <c r="AP5" s="2890" t="s">
        <v>2689</v>
      </c>
      <c r="AQ5" s="2891" t="s">
        <v>2799</v>
      </c>
      <c r="AR5" s="2891" t="s">
        <v>2800</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高层住宅</v>
      </c>
      <c r="B6" s="2493" t="str">
        <f>IF(A6=0,"","经营性")</f>
        <v>经营性</v>
      </c>
      <c r="C6" s="39" t="s">
        <v>40</v>
      </c>
      <c r="D6" s="2056">
        <f>SUMIF(项目基本情况!D$12:I$12,C6,项目基本情况!D$14:I$14)</f>
        <v>70</v>
      </c>
      <c r="E6" s="2050">
        <f>IF(B6="","",SUMIF(项目基本情况!D$12:I$12,C6,项目基本情况!D$13:I$13))</f>
        <v>66644</v>
      </c>
      <c r="F6" s="361">
        <f>SUMIF(项目基本情况!D$12:I$12,C6,项目基本情况!D$15:I$15)</f>
        <v>64.84</v>
      </c>
      <c r="G6" s="362">
        <f>IF(ISERROR(ROUND(POWER(1+H6,D6-F6)*(POWER(1+H6,F6)-1)/(POWER(1+H6,D6)-1),3)),0,ROUND(POWER(1+H6,D6-F6)*(POWER(1+H6,F6)-1)/(POWER(1+H6,D6)-1),3))</f>
        <v>0.98799999999999999</v>
      </c>
      <c r="H6" s="1474">
        <v>4.4999999999999998E-2</v>
      </c>
      <c r="I6" s="1474">
        <v>0.05</v>
      </c>
      <c r="J6" s="363">
        <v>8.5000000000000006E-2</v>
      </c>
      <c r="K6" s="2496">
        <f>SUMIF('数据-汇总表'!C$19:C$33,A6,'数据-汇总表'!E$19:E$33)</f>
        <v>55986.3</v>
      </c>
      <c r="L6" s="1475">
        <v>2600</v>
      </c>
      <c r="M6" s="364">
        <f t="shared" ref="M6:M14" si="0">ROUND(K6*L6/10000,0)</f>
        <v>14556</v>
      </c>
      <c r="N6" s="3375">
        <v>0.01</v>
      </c>
      <c r="O6" s="364">
        <f>IF($N$5="成新度","——",ROUND(M6*N6,0))</f>
        <v>146</v>
      </c>
      <c r="P6" s="365">
        <f>IF($N$5="成新度","——",M6-O6)</f>
        <v>14410</v>
      </c>
      <c r="Q6" s="1476">
        <v>0.15</v>
      </c>
      <c r="R6" s="366">
        <f ca="1">SUMIF('数据-汇总表'!C$19:C$33,A6,'数据-汇总表'!R$19:R$27)</f>
        <v>13618.46</v>
      </c>
      <c r="S6" s="342">
        <f>IF('数据-汇总表'!$I$17="按面积比例",SUMIF('数据-汇总表'!C$19:C$33,A6,'数据-汇总表'!K$19:K$33),SUMIF('数据-汇总表'!C$19:C$33,A6,'数据-汇总表'!N$19:N$33))</f>
        <v>1695.09</v>
      </c>
      <c r="T6" s="2889">
        <f>ROUND($L$14*S6/10000,0)</f>
        <v>339</v>
      </c>
      <c r="U6" s="367"/>
      <c r="V6" s="368"/>
      <c r="W6" s="368"/>
      <c r="X6" s="2506"/>
      <c r="Y6" s="369"/>
      <c r="Z6" s="370"/>
      <c r="AA6" s="363"/>
      <c r="AB6" s="363"/>
      <c r="AC6" s="2506"/>
      <c r="AD6" s="371"/>
      <c r="AE6" s="2507">
        <f ca="1">IF(AN6="",0,SUMIF(INDIRECT("'"&amp;AN6&amp;"'"&amp;"!E:E"),$AE$5,INDIRECT("'"&amp;AN6&amp;"'"&amp;"!F:F")))</f>
        <v>0</v>
      </c>
      <c r="AF6" s="351"/>
      <c r="AG6" s="476">
        <f>IF(AF6="",0,AE6-AF6)</f>
        <v>0</v>
      </c>
      <c r="AH6" s="372"/>
      <c r="AI6" s="374"/>
      <c r="AJ6" s="375"/>
      <c r="AK6" s="376"/>
      <c r="AL6" s="377"/>
      <c r="AM6" s="378"/>
      <c r="AN6" s="2575"/>
      <c r="AO6" s="343" t="e">
        <f ca="1">SUMIF(INDIRECT("'"&amp;AN6&amp;"'"&amp;"!A:A"),"总价",INDIRECT("'"&amp;AN6&amp;"'"&amp;"!B:B"))</f>
        <v>#REF!</v>
      </c>
      <c r="AP6" s="2892">
        <f>IF(C6="住宅",K6*L6,0)</f>
        <v>145564380</v>
      </c>
      <c r="AQ6" s="343">
        <f>ROUND($L$14*$N$14*S6/10000,0)</f>
        <v>3</v>
      </c>
      <c r="AR6" s="343">
        <f>ROUND($L$14*(1-$N$14)*S6/10000,0)</f>
        <v>336</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f t="shared" ref="O7:O14" si="3">IF($N$5="成新度","——",ROUND(M7*N7,0))</f>
        <v>0</v>
      </c>
      <c r="P7" s="365">
        <f t="shared" ref="P7:P14" si="4">IF($N$5="成新度","——",M7-O7)</f>
        <v>0</v>
      </c>
      <c r="Q7" s="1476"/>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6">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t="str">
        <f>'数据-汇总表'!C21</f>
        <v>洋房</v>
      </c>
      <c r="B8" s="2493" t="str">
        <f t="shared" si="1"/>
        <v>经营性</v>
      </c>
      <c r="C8" s="39" t="s">
        <v>40</v>
      </c>
      <c r="D8" s="2056">
        <f>SUMIF(项目基本情况!D$12:I$12,C8,项目基本情况!D$14:I$14)</f>
        <v>70</v>
      </c>
      <c r="E8" s="2050">
        <f>IF(B8="","",SUMIF(项目基本情况!D$12:I$12,C8,项目基本情况!D$13:I$13))</f>
        <v>66644</v>
      </c>
      <c r="F8" s="361">
        <f>SUMIF(项目基本情况!D$12:I$12,C8,项目基本情况!D$15:I$15)</f>
        <v>64.84</v>
      </c>
      <c r="G8" s="362">
        <f t="shared" si="2"/>
        <v>0.98799999999999999</v>
      </c>
      <c r="H8" s="1474">
        <v>4.4999999999999998E-2</v>
      </c>
      <c r="I8" s="1474">
        <v>0.05</v>
      </c>
      <c r="J8" s="363">
        <v>8.5000000000000006E-2</v>
      </c>
      <c r="K8" s="2496">
        <f>SUMIF('数据-汇总表'!C$19:C$33,A8,'数据-汇总表'!E$19:E$33)</f>
        <v>4636.6499999999996</v>
      </c>
      <c r="L8" s="1475">
        <v>2600</v>
      </c>
      <c r="M8" s="364">
        <f>ROUND(K8*L8/10000,0)</f>
        <v>1206</v>
      </c>
      <c r="N8" s="1473">
        <v>0.05</v>
      </c>
      <c r="O8" s="364">
        <f t="shared" si="3"/>
        <v>60</v>
      </c>
      <c r="P8" s="365">
        <f t="shared" si="4"/>
        <v>1146</v>
      </c>
      <c r="Q8" s="1476">
        <v>0.15</v>
      </c>
      <c r="R8" s="366">
        <f ca="1">SUMIF('数据-汇总表'!C$19:C$33,A8,'数据-汇总表'!R$19:R$27)</f>
        <v>1127.8400000000001</v>
      </c>
      <c r="S8" s="342">
        <f>IF('数据-汇总表'!$I$17="按面积比例",SUMIF('数据-汇总表'!C$19:C$33,A8,'数据-汇总表'!K$19:K$33),SUMIF('数据-汇总表'!C$19:C$33,A8,'数据-汇总表'!N$19:N$33))</f>
        <v>140.38</v>
      </c>
      <c r="T8" s="2889">
        <f t="shared" si="5"/>
        <v>28</v>
      </c>
      <c r="U8" s="1477"/>
      <c r="V8" s="1478"/>
      <c r="W8" s="1478"/>
      <c r="X8" s="2506"/>
      <c r="Y8" s="1479"/>
      <c r="Z8" s="370"/>
      <c r="AA8" s="363"/>
      <c r="AB8" s="363"/>
      <c r="AC8" s="2506"/>
      <c r="AD8" s="371"/>
      <c r="AE8" s="2507">
        <f t="shared" ca="1" si="6"/>
        <v>0</v>
      </c>
      <c r="AF8" s="351"/>
      <c r="AG8" s="476">
        <f t="shared" si="7"/>
        <v>0</v>
      </c>
      <c r="AH8" s="1480"/>
      <c r="AI8" s="374"/>
      <c r="AJ8" s="375"/>
      <c r="AK8" s="1481"/>
      <c r="AL8" s="1482"/>
      <c r="AM8" s="1483"/>
      <c r="AN8" s="2575"/>
      <c r="AO8" s="343" t="e">
        <f t="shared" ca="1" si="8"/>
        <v>#REF!</v>
      </c>
      <c r="AP8" s="2892">
        <f t="shared" si="9"/>
        <v>12055289.999999998</v>
      </c>
      <c r="AQ8" s="343">
        <f t="shared" si="10"/>
        <v>0</v>
      </c>
      <c r="AR8" s="343">
        <f t="shared" si="11"/>
        <v>28</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v>1800</v>
      </c>
      <c r="M9" s="364">
        <f t="shared" si="0"/>
        <v>0</v>
      </c>
      <c r="N9" s="1473"/>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6"/>
      <c r="Y9" s="369"/>
      <c r="Z9" s="370"/>
      <c r="AA9" s="363"/>
      <c r="AB9" s="363"/>
      <c r="AC9" s="2506"/>
      <c r="AD9" s="371"/>
      <c r="AE9" s="2507">
        <f t="shared" ca="1" si="6"/>
        <v>0</v>
      </c>
      <c r="AF9" s="351"/>
      <c r="AG9" s="476">
        <f t="shared" si="7"/>
        <v>0</v>
      </c>
      <c r="AH9" s="372"/>
      <c r="AI9" s="374"/>
      <c r="AJ9" s="375"/>
      <c r="AK9" s="376"/>
      <c r="AL9" s="377"/>
      <c r="AM9" s="378"/>
      <c r="AN9" s="2575"/>
      <c r="AO9" s="343" t="e">
        <f t="shared" ca="1" si="8"/>
        <v>#REF!</v>
      </c>
      <c r="AP9" s="2892">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v>1800</v>
      </c>
      <c r="M10" s="364">
        <f t="shared" si="0"/>
        <v>0</v>
      </c>
      <c r="N10" s="1473"/>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6"/>
      <c r="Y10" s="369"/>
      <c r="Z10" s="370"/>
      <c r="AA10" s="363"/>
      <c r="AB10" s="363"/>
      <c r="AC10" s="2506"/>
      <c r="AD10" s="371"/>
      <c r="AE10" s="2507">
        <f t="shared" ca="1" si="6"/>
        <v>0</v>
      </c>
      <c r="AF10" s="351"/>
      <c r="AG10" s="476">
        <f t="shared" si="7"/>
        <v>0</v>
      </c>
      <c r="AH10" s="372"/>
      <c r="AI10" s="374"/>
      <c r="AJ10" s="375"/>
      <c r="AK10" s="376"/>
      <c r="AL10" s="377"/>
      <c r="AM10" s="378"/>
      <c r="AN10" s="2575"/>
      <c r="AO10" s="343" t="e">
        <f t="shared" ca="1" si="8"/>
        <v>#REF!</v>
      </c>
      <c r="AP10" s="2892">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1475">
        <v>1800</v>
      </c>
      <c r="M11" s="364">
        <f t="shared" si="0"/>
        <v>0</v>
      </c>
      <c r="N11" s="380"/>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6"/>
      <c r="Y11" s="369"/>
      <c r="Z11" s="381"/>
      <c r="AA11" s="363"/>
      <c r="AB11" s="363"/>
      <c r="AC11" s="2506"/>
      <c r="AD11" s="371"/>
      <c r="AE11" s="2507">
        <f t="shared" ca="1" si="6"/>
        <v>0</v>
      </c>
      <c r="AF11" s="351"/>
      <c r="AG11" s="476">
        <f t="shared" si="7"/>
        <v>0</v>
      </c>
      <c r="AH11" s="372"/>
      <c r="AI11" s="374"/>
      <c r="AJ11" s="375"/>
      <c r="AK11" s="382"/>
      <c r="AL11" s="383"/>
      <c r="AM11" s="384"/>
      <c r="AN11" s="2575"/>
      <c r="AO11" s="343" t="e">
        <f t="shared" ca="1" si="8"/>
        <v>#REF!</v>
      </c>
      <c r="AP11" s="2892">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1475">
        <v>1800</v>
      </c>
      <c r="M12" s="364">
        <f>ROUND(K12*L12/10000,0)</f>
        <v>0</v>
      </c>
      <c r="N12" s="380"/>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6"/>
      <c r="Y12" s="369"/>
      <c r="Z12" s="381"/>
      <c r="AA12" s="363"/>
      <c r="AB12" s="363"/>
      <c r="AC12" s="2506"/>
      <c r="AD12" s="371"/>
      <c r="AE12" s="2507">
        <f t="shared" ca="1" si="6"/>
        <v>0</v>
      </c>
      <c r="AF12" s="351"/>
      <c r="AG12" s="476">
        <f t="shared" si="7"/>
        <v>0</v>
      </c>
      <c r="AH12" s="372"/>
      <c r="AI12" s="374"/>
      <c r="AJ12" s="375"/>
      <c r="AK12" s="382"/>
      <c r="AL12" s="383"/>
      <c r="AM12" s="384"/>
      <c r="AN12" s="2575"/>
      <c r="AO12" s="343" t="e">
        <f t="shared" ca="1" si="8"/>
        <v>#REF!</v>
      </c>
      <c r="AP12" s="2892">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1475">
        <v>1800</v>
      </c>
      <c r="M13" s="364">
        <f>ROUND(K13*L13/10000,0)</f>
        <v>0</v>
      </c>
      <c r="N13" s="380"/>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6"/>
      <c r="Y13" s="369"/>
      <c r="Z13" s="370"/>
      <c r="AA13" s="363"/>
      <c r="AB13" s="363"/>
      <c r="AC13" s="2506"/>
      <c r="AD13" s="371"/>
      <c r="AE13" s="2507">
        <f t="shared" ca="1" si="6"/>
        <v>0</v>
      </c>
      <c r="AF13" s="351"/>
      <c r="AG13" s="476">
        <f t="shared" si="7"/>
        <v>0</v>
      </c>
      <c r="AH13" s="372"/>
      <c r="AI13" s="374"/>
      <c r="AJ13" s="375"/>
      <c r="AK13" s="376"/>
      <c r="AL13" s="377"/>
      <c r="AM13" s="378"/>
      <c r="AN13" s="2575"/>
      <c r="AO13" s="343" t="e">
        <f t="shared" ca="1" si="8"/>
        <v>#REF!</v>
      </c>
      <c r="AP13" s="2892">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5">
      <c r="A14" s="2490" t="s">
        <v>534</v>
      </c>
      <c r="B14" s="2493" t="s">
        <v>533</v>
      </c>
      <c r="C14" s="2494" t="s">
        <v>534</v>
      </c>
      <c r="D14" s="2056"/>
      <c r="E14" s="2050"/>
      <c r="F14" s="361"/>
      <c r="G14" s="362"/>
      <c r="H14" s="2495"/>
      <c r="I14" s="2495"/>
      <c r="J14" s="2495"/>
      <c r="K14" s="2496">
        <f>SUMIF('数据-汇总表'!C$19:C$33,A14,'数据-汇总表'!E$19:E$33)</f>
        <v>1835.4699999999998</v>
      </c>
      <c r="L14" s="1475">
        <v>2000</v>
      </c>
      <c r="M14" s="364">
        <f t="shared" si="0"/>
        <v>367</v>
      </c>
      <c r="N14" s="3376">
        <v>0.01</v>
      </c>
      <c r="O14" s="364">
        <f t="shared" si="3"/>
        <v>4</v>
      </c>
      <c r="P14" s="365">
        <f t="shared" si="4"/>
        <v>363</v>
      </c>
      <c r="Q14" s="2499"/>
      <c r="R14" s="366"/>
      <c r="S14" s="342"/>
      <c r="T14" s="2889"/>
      <c r="U14" s="1131"/>
      <c r="V14" s="2501"/>
      <c r="W14" s="2501"/>
      <c r="X14" s="2502"/>
      <c r="Y14" s="2503"/>
      <c r="Z14" s="2504"/>
      <c r="AA14" s="2505"/>
      <c r="AB14" s="2505"/>
      <c r="AC14" s="2506"/>
      <c r="AD14" s="2502"/>
      <c r="AE14" s="2507"/>
      <c r="AF14" s="343"/>
      <c r="AG14" s="476"/>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hidden="1">
      <c r="A15" s="2490" t="s">
        <v>2396</v>
      </c>
      <c r="B15" s="2493" t="s">
        <v>533</v>
      </c>
      <c r="C15" s="2494" t="s">
        <v>2100</v>
      </c>
      <c r="D15" s="2056"/>
      <c r="E15" s="2050"/>
      <c r="F15" s="361"/>
      <c r="G15" s="362"/>
      <c r="H15" s="2495"/>
      <c r="I15" s="2495"/>
      <c r="J15" s="2495"/>
      <c r="K15" s="2496">
        <f>SUMIF('数据-汇总表'!C$19:C$33,A15,'数据-汇总表'!E$19:E$33)</f>
        <v>0</v>
      </c>
      <c r="L15" s="2497"/>
      <c r="M15" s="364"/>
      <c r="N15" s="2498"/>
      <c r="O15" s="364"/>
      <c r="P15" s="365"/>
      <c r="Q15" s="2499"/>
      <c r="R15" s="366"/>
      <c r="S15" s="342"/>
      <c r="T15" s="2889"/>
      <c r="U15" s="1131"/>
      <c r="V15" s="2501"/>
      <c r="W15" s="2501"/>
      <c r="X15" s="2502"/>
      <c r="Y15" s="2503"/>
      <c r="Z15" s="2504"/>
      <c r="AA15" s="2505"/>
      <c r="AB15" s="2505"/>
      <c r="AC15" s="2506"/>
      <c r="AD15" s="2502"/>
      <c r="AE15" s="2507"/>
      <c r="AF15" s="343"/>
      <c r="AG15" s="476"/>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5"/>
      <c r="G16" s="386">
        <f>ROUND(SUMPRODUCT(G6:G13,K6:K13)/SUMPRODUCT((G6:G13&gt;0)*(K6:K13)),3)</f>
        <v>0.98799999999999999</v>
      </c>
      <c r="H16" s="387">
        <f>ROUND(SUMPRODUCT(H6:H13,K6:K13)/SUMPRODUCT((H6:H13&gt;0)*(K6:K13)),3)</f>
        <v>4.4999999999999998E-2</v>
      </c>
      <c r="I16" s="388"/>
      <c r="J16" s="388"/>
      <c r="K16" s="389">
        <f>SUM(K6:K15)</f>
        <v>62458.420000000006</v>
      </c>
      <c r="L16" s="390">
        <f>ROUND(M16*10000/SUM(K6:K14),0)</f>
        <v>2582</v>
      </c>
      <c r="M16" s="390">
        <f>SUM(M6:M14)</f>
        <v>16129</v>
      </c>
      <c r="N16" s="391">
        <f>ROUND(SUMPRODUCT(M6:M14,N6:N14)/M16,3)</f>
        <v>1.2999999999999999E-2</v>
      </c>
      <c r="O16" s="390">
        <f>SUM(O6:O14)</f>
        <v>210</v>
      </c>
      <c r="P16" s="390">
        <f>SUM(P6:P14)</f>
        <v>15919</v>
      </c>
      <c r="Q16" s="392">
        <f>ROUND(SUMPRODUCT(Q6:Q13,K6:K13)/SUMPRODUCT((Q6:Q13&gt;0)*(K6:K13)),2)</f>
        <v>0.15</v>
      </c>
      <c r="R16" s="2500">
        <f ca="1">SUM(R6:R13)</f>
        <v>14746.3</v>
      </c>
      <c r="S16" s="393">
        <f>SUM(S6:S13)</f>
        <v>1835.4699999999998</v>
      </c>
      <c r="T16" s="394">
        <f>IF(SUMIF(T6:T13,"&lt;9E307")=M14,SUMIF(T6:T13,"&lt;9E307"),"有误，请检查")</f>
        <v>367</v>
      </c>
      <c r="U16" s="395"/>
      <c r="V16" s="396"/>
      <c r="W16" s="396"/>
      <c r="X16" s="399"/>
      <c r="Y16" s="397"/>
      <c r="Z16" s="398"/>
      <c r="AA16" s="396"/>
      <c r="AB16" s="396"/>
      <c r="AC16" s="399"/>
      <c r="AD16" s="399"/>
      <c r="AE16" s="395"/>
      <c r="AF16" s="396"/>
      <c r="AG16" s="397"/>
      <c r="AH16" s="395"/>
      <c r="AI16" s="398"/>
      <c r="AJ16" s="398"/>
      <c r="AK16" s="396"/>
      <c r="AL16" s="396"/>
      <c r="AM16" s="397"/>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0">
        <v>0</v>
      </c>
      <c r="C19" s="2232" t="s">
        <v>2412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1">
        <v>2</v>
      </c>
      <c r="C20" s="2232" t="s">
        <v>2413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1">
        <v>0.1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2">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2">
        <f>B19+B21</f>
        <v>0.1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3">
        <f>B20-B21</f>
        <v>1.9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707</v>
      </c>
      <c r="B27" s="404">
        <v>240</v>
      </c>
      <c r="C27" s="2527" t="s">
        <v>708</v>
      </c>
      <c r="D27" s="2236"/>
      <c r="E27" s="2234"/>
      <c r="F27" s="2234"/>
      <c r="G27" s="2232"/>
      <c r="H27" s="2232" t="s">
        <v>3169</v>
      </c>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709</v>
      </c>
      <c r="B28" s="407">
        <v>240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79" t="s">
        <v>2691</v>
      </c>
      <c r="B29" s="409">
        <f ca="1">成本法!C9+成本法!C10</f>
        <v>1499</v>
      </c>
      <c r="C29" s="2527" t="s">
        <v>2692</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8" t="s">
        <v>710</v>
      </c>
      <c r="B30" s="1132">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711</v>
      </c>
      <c r="B31" s="408">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712</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713</v>
      </c>
      <c r="B33" s="1134">
        <v>0.03</v>
      </c>
      <c r="C33" s="3287"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714</v>
      </c>
      <c r="B34" s="410">
        <v>0.05</v>
      </c>
      <c r="C34" s="3287" t="s">
        <v>3004</v>
      </c>
      <c r="D34" s="2233" t="s">
        <v>715</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716</v>
      </c>
      <c r="B35" s="407">
        <v>200</v>
      </c>
      <c r="C35" s="3287"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717</v>
      </c>
      <c r="B36" s="411">
        <v>1.4999999999999999E-2</v>
      </c>
      <c r="C36" s="3287"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718</v>
      </c>
      <c r="B37" s="412">
        <v>1.4999999999999999E-2</v>
      </c>
      <c r="C37" s="3287"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87"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2541</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2617</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721</v>
      </c>
      <c r="B42" s="414">
        <v>0.05</v>
      </c>
      <c r="C42" s="3312">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87"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88"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88"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726</v>
      </c>
      <c r="B47" s="417"/>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728</v>
      </c>
      <c r="B48" s="418">
        <v>0.03</v>
      </c>
      <c r="C48" s="3310"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0"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732</v>
      </c>
      <c r="B52" s="421">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1226</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v>
      </c>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hidden="1">
      <c r="A55" s="42" t="s">
        <v>166</v>
      </c>
      <c r="B55" s="373"/>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hidden="1">
      <c r="A56" s="42" t="s">
        <v>161</v>
      </c>
      <c r="B56" s="373"/>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hidden="1">
      <c r="A57" s="42" t="s">
        <v>162</v>
      </c>
      <c r="B57" s="373"/>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hidden="1">
      <c r="A58" s="42" t="s">
        <v>163</v>
      </c>
      <c r="B58" s="373"/>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hidden="1">
      <c r="A59" s="42" t="s">
        <v>164</v>
      </c>
      <c r="B59" s="373"/>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hidden="1">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hidden="1">
      <c r="A61" s="42" t="s">
        <v>3011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hidden="1">
      <c r="A62" s="42" t="s">
        <v>3012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hidden="1" thickBot="1">
      <c r="A63" s="43" t="s">
        <v>3013</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59"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G21"/>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69" t="s">
        <v>750</v>
      </c>
      <c r="B1" s="3470"/>
      <c r="C1" s="3470"/>
      <c r="D1" s="3470"/>
      <c r="E1" s="3470"/>
      <c r="F1" s="3470"/>
      <c r="G1" s="347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54">
      <c r="A3" s="1019" t="s">
        <v>753</v>
      </c>
      <c r="B3" s="51" t="s">
        <v>52</v>
      </c>
      <c r="C3" s="3289" t="s">
        <v>754</v>
      </c>
      <c r="D3" s="2256"/>
      <c r="E3" s="1028" t="s">
        <v>753</v>
      </c>
      <c r="F3" s="1212" t="s">
        <v>99</v>
      </c>
      <c r="G3" s="3293" t="s">
        <v>3016</v>
      </c>
      <c r="H3" s="2255"/>
      <c r="I3" s="2255"/>
      <c r="J3" s="2255"/>
      <c r="K3" s="2255"/>
      <c r="L3" s="2255"/>
      <c r="M3" s="2255"/>
      <c r="N3" s="2255"/>
      <c r="O3" s="2255"/>
      <c r="P3" s="2255"/>
      <c r="Q3" s="2255"/>
      <c r="R3" s="2255"/>
    </row>
    <row r="4" spans="1:29" ht="40.5">
      <c r="A4" s="1028"/>
      <c r="B4" s="2211" t="s">
        <v>755</v>
      </c>
      <c r="C4" s="3290" t="s">
        <v>756</v>
      </c>
      <c r="D4" s="2256"/>
      <c r="E4" s="1213"/>
      <c r="F4" s="2215" t="s">
        <v>757</v>
      </c>
      <c r="G4" s="3291" t="s">
        <v>758</v>
      </c>
      <c r="H4" s="2255"/>
      <c r="I4" s="2255"/>
      <c r="J4" s="2255"/>
      <c r="K4" s="2255"/>
      <c r="L4" s="2255"/>
      <c r="M4" s="2255"/>
      <c r="N4" s="2255"/>
      <c r="O4" s="2255"/>
      <c r="P4" s="2255"/>
      <c r="Q4" s="2255"/>
      <c r="R4" s="2255"/>
    </row>
    <row r="5" spans="1:29" ht="40.5">
      <c r="A5" s="1028"/>
      <c r="B5" s="2211" t="s">
        <v>759</v>
      </c>
      <c r="C5" s="3290" t="s">
        <v>760</v>
      </c>
      <c r="D5" s="2256"/>
      <c r="E5" s="1213"/>
      <c r="F5" s="2743" t="s">
        <v>2634</v>
      </c>
      <c r="G5" s="3291" t="s">
        <v>2636</v>
      </c>
      <c r="H5" s="2255"/>
      <c r="I5" s="2255"/>
      <c r="J5" s="2255"/>
      <c r="K5" s="2255"/>
      <c r="L5" s="2255"/>
      <c r="M5" s="2255"/>
      <c r="N5" s="2255"/>
      <c r="O5" s="2255"/>
      <c r="P5" s="2255"/>
      <c r="Q5" s="2255"/>
      <c r="R5" s="2255"/>
    </row>
    <row r="6" spans="1:29" ht="54">
      <c r="A6" s="1028"/>
      <c r="B6" s="2211" t="s">
        <v>72</v>
      </c>
      <c r="C6" s="3291" t="s">
        <v>734</v>
      </c>
      <c r="D6" s="2256"/>
      <c r="E6" s="1213"/>
      <c r="F6" s="2743" t="s">
        <v>2633</v>
      </c>
      <c r="G6" s="3291" t="s">
        <v>2635</v>
      </c>
      <c r="H6" s="2255"/>
      <c r="I6" s="2255"/>
      <c r="J6" s="2255"/>
      <c r="K6" s="2255"/>
      <c r="L6" s="2255"/>
      <c r="M6" s="2255"/>
      <c r="N6" s="2255"/>
      <c r="O6" s="2255"/>
      <c r="P6" s="2255"/>
      <c r="Q6" s="2255"/>
      <c r="R6" s="2255"/>
    </row>
    <row r="7" spans="1:29" ht="41.25" thickBot="1">
      <c r="A7" s="1028"/>
      <c r="B7" s="2211" t="s">
        <v>2634</v>
      </c>
      <c r="C7" s="3291" t="s">
        <v>2636</v>
      </c>
      <c r="D7" s="2257"/>
      <c r="E7" s="1214"/>
      <c r="F7" s="1215" t="s">
        <v>735</v>
      </c>
      <c r="G7" s="3294" t="s">
        <v>3017</v>
      </c>
      <c r="H7" s="2255"/>
      <c r="I7" s="2255"/>
      <c r="J7" s="2255"/>
      <c r="K7" s="2255"/>
      <c r="L7" s="2255"/>
      <c r="M7" s="2255"/>
      <c r="N7" s="2255"/>
      <c r="O7" s="2255"/>
      <c r="P7" s="2255"/>
      <c r="Q7" s="2255"/>
      <c r="R7" s="2255"/>
    </row>
    <row r="8" spans="1:29" ht="27">
      <c r="A8" s="1028"/>
      <c r="B8" s="2743" t="s">
        <v>2633</v>
      </c>
      <c r="C8" s="3291" t="s">
        <v>2635</v>
      </c>
      <c r="D8" s="2257"/>
      <c r="E8" s="2257"/>
      <c r="F8" s="2258"/>
      <c r="G8" s="2258"/>
      <c r="H8" s="2255"/>
      <c r="I8" s="2255"/>
      <c r="J8" s="2255"/>
      <c r="K8" s="2255"/>
      <c r="L8" s="2255"/>
      <c r="M8" s="2255"/>
      <c r="N8" s="2255"/>
      <c r="O8" s="2255"/>
      <c r="P8" s="2255"/>
      <c r="Q8" s="2255"/>
      <c r="R8" s="2255"/>
    </row>
    <row r="9" spans="1:29" ht="40.5">
      <c r="A9" s="1028"/>
      <c r="B9" s="2211" t="s">
        <v>73</v>
      </c>
      <c r="C9" s="3290" t="s">
        <v>736</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2"/>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9"/>
      <c r="B14" s="1220"/>
      <c r="C14" s="1221" t="s">
        <v>739</v>
      </c>
      <c r="D14" s="2256"/>
      <c r="E14" s="1222"/>
      <c r="F14" s="1222"/>
      <c r="G14" s="1209" t="s">
        <v>740</v>
      </c>
    </row>
    <row r="15" spans="1:29" ht="54">
      <c r="A15" s="46" t="s">
        <v>741</v>
      </c>
      <c r="B15" s="14" t="s">
        <v>52</v>
      </c>
      <c r="C15" s="1223" t="str">
        <f>C3</f>
        <v>估价对象周边居住用地比例、居住小区规模和社区发展完善程度，综合评价居住社区成熟度一般</v>
      </c>
      <c r="D15" s="2256"/>
      <c r="E15" s="2756" t="s">
        <v>742</v>
      </c>
      <c r="F15" s="14" t="s">
        <v>743</v>
      </c>
      <c r="G15" s="1021" t="str">
        <f>G3</f>
        <v>估价对象位于XX开发区，园区建设成熟度XX，产业集聚程度XX</v>
      </c>
    </row>
    <row r="16" spans="1:29" ht="40.5">
      <c r="A16" s="2759"/>
      <c r="B16" s="1224" t="s">
        <v>744</v>
      </c>
      <c r="C16" s="1225" t="str">
        <f>C4</f>
        <v>估价对象位于XX商圈，周边商业氛围成熟，人流量大，商业繁华度好</v>
      </c>
      <c r="D16" s="2256"/>
      <c r="E16" s="2757"/>
      <c r="F16" s="1226" t="s">
        <v>745</v>
      </c>
      <c r="G16" s="1023" t="str">
        <f>G4</f>
        <v>估价对象周边道路状况、公共交通通达情况、停车便捷程度，综合评价交通便捷度较好</v>
      </c>
    </row>
    <row r="17" spans="1:18" ht="40.5">
      <c r="A17" s="2759"/>
      <c r="B17" s="1224" t="s">
        <v>746</v>
      </c>
      <c r="C17" s="1225" t="str">
        <f>C5</f>
        <v>估价对象位于XX商圈，周边办公楼项目较多，入驻率高，办公集聚程度较好</v>
      </c>
      <c r="D17" s="2257"/>
      <c r="E17" s="2757"/>
      <c r="F17" s="1226" t="s">
        <v>747</v>
      </c>
      <c r="G17" s="270"/>
    </row>
    <row r="18" spans="1:18" ht="54">
      <c r="A18" s="2759"/>
      <c r="B18" s="1226" t="s">
        <v>72</v>
      </c>
      <c r="C18" s="1023" t="str">
        <f>C6</f>
        <v>估价对象周边道路状况、公共交通通达情况、停车便捷程度，综合评价交通便捷度较好</v>
      </c>
      <c r="D18" s="2257"/>
      <c r="E18" s="2757"/>
      <c r="F18" s="1226" t="s">
        <v>735</v>
      </c>
      <c r="G18" s="1023" t="str">
        <f>G7</f>
        <v>该园区内是否有污染型企业，绿化情况，卫生条件，整体环境状况判断</v>
      </c>
    </row>
    <row r="19" spans="1:18" ht="27">
      <c r="A19" s="2759"/>
      <c r="B19" s="1226" t="s">
        <v>91</v>
      </c>
      <c r="C19" s="270"/>
      <c r="D19" s="2256"/>
      <c r="E19" s="2757"/>
      <c r="F19" s="2743" t="s">
        <v>2634</v>
      </c>
      <c r="G19" s="1023" t="str">
        <f>G5</f>
        <v>估价对象所在区域公共配套设施齐备情况</v>
      </c>
    </row>
    <row r="20" spans="1:18" ht="40.5">
      <c r="A20" s="2759"/>
      <c r="B20" s="1226" t="s">
        <v>90</v>
      </c>
      <c r="C20" s="1225" t="str">
        <f>C9</f>
        <v>区域自然环境：；人文环境；综合评价环境状况一般</v>
      </c>
      <c r="D20" s="2257"/>
      <c r="E20" s="2757"/>
      <c r="F20" s="2743" t="s">
        <v>2633</v>
      </c>
      <c r="G20" s="1023" t="str">
        <f>G6</f>
        <v>估价对象所在区域基础设施水平</v>
      </c>
    </row>
    <row r="21" spans="1:18" ht="27">
      <c r="A21" s="2759"/>
      <c r="B21" s="2743" t="s">
        <v>2634</v>
      </c>
      <c r="C21" s="1023" t="str">
        <f>C7</f>
        <v>估价对象所在区域公共配套设施齐备情况</v>
      </c>
      <c r="D21" s="2256"/>
      <c r="E21" s="2757"/>
      <c r="F21" s="1226" t="s">
        <v>89</v>
      </c>
      <c r="G21" s="282"/>
    </row>
    <row r="22" spans="1:18" ht="13.5" customHeight="1">
      <c r="A22" s="2759"/>
      <c r="B22" s="2743" t="s">
        <v>2633</v>
      </c>
      <c r="C22" s="1023" t="str">
        <f>C8</f>
        <v>估价对象所在区域基础设施水平</v>
      </c>
      <c r="D22" s="2256"/>
      <c r="E22" s="2757"/>
      <c r="F22" s="1226" t="s">
        <v>748</v>
      </c>
      <c r="G22" s="270"/>
    </row>
    <row r="23" spans="1:18" s="2255" customFormat="1" ht="14.25" thickBot="1">
      <c r="A23" s="2759"/>
      <c r="B23" s="1226" t="s">
        <v>89</v>
      </c>
      <c r="C23" s="282"/>
      <c r="D23" s="2268"/>
      <c r="E23" s="2758"/>
      <c r="F23" s="1227" t="s">
        <v>749</v>
      </c>
      <c r="G23" s="283"/>
      <c r="H23" s="2268"/>
      <c r="I23" s="2269"/>
      <c r="J23" s="2268"/>
      <c r="K23" s="2268"/>
      <c r="L23" s="2269"/>
      <c r="M23" s="2268"/>
      <c r="N23" s="2268"/>
      <c r="O23" s="2269"/>
      <c r="P23" s="2268"/>
      <c r="Q23" s="2268"/>
      <c r="R23" s="2270"/>
    </row>
    <row r="24" spans="1:18" s="2255" customFormat="1" ht="14.25" thickBot="1">
      <c r="A24" s="2760"/>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3248" customWidth="1"/>
    <col min="2" max="9" width="15.75" style="3248" customWidth="1"/>
    <col min="10" max="16384" width="9" style="3248"/>
  </cols>
  <sheetData>
    <row r="1" spans="1:10" ht="16.5">
      <c r="A1" s="3253" t="s">
        <v>2986</v>
      </c>
      <c r="B1" s="3253">
        <f>SUM(B14:B23)</f>
        <v>62458.42</v>
      </c>
      <c r="C1" s="3252"/>
      <c r="D1" s="3252"/>
      <c r="E1" s="3252"/>
      <c r="F1" s="3252"/>
      <c r="G1" s="3250"/>
    </row>
    <row r="2" spans="1:10" ht="16.5">
      <c r="A2" s="3253" t="s">
        <v>2974</v>
      </c>
      <c r="B2" s="3253">
        <f>SUM(C14:C23)</f>
        <v>14746.3</v>
      </c>
      <c r="C2" s="3252"/>
      <c r="D2" s="3252"/>
      <c r="E2" s="3252"/>
      <c r="F2" s="3252"/>
      <c r="G2" s="3250"/>
    </row>
    <row r="3" spans="1:10" ht="16.5">
      <c r="A3" s="3253" t="s">
        <v>2983</v>
      </c>
      <c r="B3" s="3254">
        <f>项目基本情况!D3</f>
        <v>42977</v>
      </c>
      <c r="C3" s="3252"/>
      <c r="D3" s="3252"/>
      <c r="E3" s="3252"/>
      <c r="F3" s="3252"/>
      <c r="G3" s="3250"/>
    </row>
    <row r="4" spans="1:10" ht="33">
      <c r="A4" s="3253" t="s">
        <v>2982</v>
      </c>
      <c r="B4" s="3253" t="s">
        <v>2981</v>
      </c>
      <c r="C4" s="3253" t="s">
        <v>2980</v>
      </c>
      <c r="D4" s="3253" t="s">
        <v>2979</v>
      </c>
      <c r="E4" s="3252"/>
      <c r="F4" s="3250"/>
      <c r="G4" s="3250"/>
    </row>
    <row r="5" spans="1:10" ht="16.5">
      <c r="A5" s="3253" t="s">
        <v>2978</v>
      </c>
      <c r="B5" s="3253">
        <f ca="1">SUM(D14:D23)</f>
        <v>114714</v>
      </c>
      <c r="C5" s="3253">
        <f ca="1">ROUND(B5*10000/$B$1,0)</f>
        <v>18366</v>
      </c>
      <c r="D5" s="3253">
        <f ca="1">ROUND(B5*10000/$B$2,0)</f>
        <v>77792</v>
      </c>
      <c r="E5" s="3252"/>
      <c r="F5" s="3250"/>
      <c r="G5" s="3250"/>
    </row>
    <row r="6" spans="1:10" ht="16.5">
      <c r="A6" s="3253" t="s">
        <v>2977</v>
      </c>
      <c r="B6" s="3253">
        <f ca="1">SUM(G14:G23)</f>
        <v>32896</v>
      </c>
      <c r="C6" s="3253">
        <f ca="1">ROUND(B6*10000/$B$1,0)</f>
        <v>5267</v>
      </c>
      <c r="D6" s="3253">
        <f ca="1">ROUND(B6*10000/$B$2,0)</f>
        <v>22308</v>
      </c>
      <c r="E6" s="3252"/>
      <c r="F6" s="3250"/>
      <c r="G6" s="3250"/>
    </row>
    <row r="7" spans="1:10" ht="16.5">
      <c r="A7" s="3253" t="s">
        <v>2985</v>
      </c>
      <c r="B7" s="3253">
        <f>SUM(H14:H23)</f>
        <v>0</v>
      </c>
      <c r="C7" s="3253">
        <f>ROUND(B7*10000/$B$1,0)</f>
        <v>0</v>
      </c>
      <c r="D7" s="3253">
        <f>ROUND(B7*10000/$B$2,0)</f>
        <v>0</v>
      </c>
      <c r="E7" s="3252"/>
      <c r="F7" s="3250"/>
      <c r="G7" s="3250"/>
    </row>
    <row r="8" spans="1:10" ht="16.5">
      <c r="A8" s="3253" t="s">
        <v>2874</v>
      </c>
      <c r="B8" s="3253">
        <f>SUM(I14:I23)</f>
        <v>0</v>
      </c>
      <c r="C8" s="3253">
        <f>ROUND(B8*10000/$B$1,0)</f>
        <v>0</v>
      </c>
      <c r="D8" s="3253">
        <f>ROUND(B8*10000/$B$2,0)</f>
        <v>0</v>
      </c>
      <c r="E8" s="3252"/>
      <c r="F8" s="3250"/>
      <c r="G8" s="3250"/>
    </row>
    <row r="9" spans="1:10" ht="16.5">
      <c r="A9" s="3253" t="s">
        <v>2976</v>
      </c>
      <c r="B9" s="3255"/>
      <c r="C9" s="3252"/>
      <c r="D9" s="3252"/>
      <c r="E9" s="3252"/>
      <c r="F9" s="3250"/>
      <c r="G9" s="3250"/>
    </row>
    <row r="10" spans="1:10" ht="16.5">
      <c r="A10" s="3253" t="s">
        <v>2975</v>
      </c>
      <c r="B10" s="3255"/>
      <c r="C10" s="3252"/>
      <c r="D10" s="3252"/>
      <c r="E10" s="3252"/>
      <c r="F10" s="3250"/>
      <c r="G10" s="3250"/>
    </row>
    <row r="11" spans="1:10" ht="16.5">
      <c r="A11" s="3253" t="s">
        <v>2991</v>
      </c>
      <c r="B11" s="3255"/>
      <c r="C11" s="3252"/>
      <c r="D11" s="3252"/>
      <c r="E11" s="3252"/>
      <c r="F11" s="3250"/>
      <c r="G11" s="3250"/>
    </row>
    <row r="12" spans="1:10" ht="16.5">
      <c r="A12" s="3252"/>
      <c r="B12" s="3252"/>
      <c r="C12" s="3252"/>
      <c r="D12" s="3252"/>
      <c r="E12" s="3252"/>
      <c r="F12" s="3250"/>
      <c r="G12" s="3250"/>
    </row>
    <row r="13" spans="1:10" ht="33">
      <c r="A13" s="3258" t="s">
        <v>2990</v>
      </c>
      <c r="B13" s="3251" t="s">
        <v>2987</v>
      </c>
      <c r="C13" s="3251" t="s">
        <v>2989</v>
      </c>
      <c r="D13" s="3251" t="s">
        <v>2988</v>
      </c>
      <c r="E13" s="3253" t="s">
        <v>2980</v>
      </c>
      <c r="F13" s="3253" t="s">
        <v>2979</v>
      </c>
      <c r="G13" s="3251" t="s">
        <v>2973</v>
      </c>
      <c r="H13" s="3251" t="s">
        <v>2984</v>
      </c>
      <c r="I13" s="3251" t="s">
        <v>2972</v>
      </c>
      <c r="J13" s="3250"/>
    </row>
    <row r="14" spans="1:10" ht="16.5">
      <c r="A14" s="3249" t="s">
        <v>2971</v>
      </c>
      <c r="B14" s="3251">
        <f>'数据-汇总表'!E3</f>
        <v>62458.42</v>
      </c>
      <c r="C14" s="3251">
        <f>'数据-汇总表'!D3</f>
        <v>14746.3</v>
      </c>
      <c r="D14" s="3251">
        <f ca="1">结果表!H118</f>
        <v>32896</v>
      </c>
      <c r="E14" s="3251">
        <f ca="1">ROUND(D14*10000/B14,0)</f>
        <v>5267</v>
      </c>
      <c r="F14" s="3251">
        <f ca="1">ROUND(D14*10000/C14,0)</f>
        <v>22308</v>
      </c>
      <c r="G14" s="3251">
        <f ca="1">结果表!D122</f>
        <v>32896</v>
      </c>
      <c r="H14" s="3251" t="str">
        <f>结果表!D124</f>
        <v>——</v>
      </c>
      <c r="I14" s="3251" t="str">
        <f>结果表!D126</f>
        <v>——</v>
      </c>
      <c r="J14" s="3250"/>
    </row>
    <row r="15" spans="1:10" ht="16.5">
      <c r="A15" s="3249" t="s">
        <v>2970</v>
      </c>
      <c r="B15" s="3256"/>
      <c r="C15" s="3256"/>
      <c r="D15" s="3256">
        <f>[1]结果表!$G$19</f>
        <v>46703</v>
      </c>
      <c r="E15" s="3251" t="e">
        <f t="shared" ref="E15:E23" si="0">ROUND(D15*10000/B15,0)</f>
        <v>#DIV/0!</v>
      </c>
      <c r="F15" s="3251" t="e">
        <f t="shared" ref="F15:F23" si="1">ROUND(D15*10000/C15,0)</f>
        <v>#DIV/0!</v>
      </c>
      <c r="G15" s="3257"/>
      <c r="H15" s="3257"/>
      <c r="I15" s="3256"/>
      <c r="J15" s="3250"/>
    </row>
    <row r="16" spans="1:10" ht="16.5">
      <c r="A16" s="3249" t="s">
        <v>2969</v>
      </c>
      <c r="B16" s="3256"/>
      <c r="C16" s="3256"/>
      <c r="D16" s="3256">
        <f>[2]结果表!$G$19</f>
        <v>29112</v>
      </c>
      <c r="E16" s="3251" t="e">
        <f t="shared" si="0"/>
        <v>#DIV/0!</v>
      </c>
      <c r="F16" s="3251" t="e">
        <f t="shared" si="1"/>
        <v>#DIV/0!</v>
      </c>
      <c r="G16" s="3257"/>
      <c r="H16" s="3257"/>
      <c r="I16" s="3256"/>
    </row>
    <row r="17" spans="1:9" ht="16.5">
      <c r="A17" s="3249" t="s">
        <v>2968</v>
      </c>
      <c r="B17" s="3256"/>
      <c r="C17" s="3256"/>
      <c r="D17" s="3256">
        <f>[3]结果表!$G$19</f>
        <v>6003</v>
      </c>
      <c r="E17" s="3251" t="e">
        <f t="shared" si="0"/>
        <v>#DIV/0!</v>
      </c>
      <c r="F17" s="3251" t="e">
        <f t="shared" si="1"/>
        <v>#DIV/0!</v>
      </c>
      <c r="G17" s="3257"/>
      <c r="H17" s="3257"/>
      <c r="I17" s="3256"/>
    </row>
    <row r="18" spans="1:9" ht="16.5">
      <c r="A18" s="3249" t="s">
        <v>2967</v>
      </c>
      <c r="B18" s="3256"/>
      <c r="C18" s="3256"/>
      <c r="D18" s="3256"/>
      <c r="E18" s="3251" t="e">
        <f t="shared" si="0"/>
        <v>#DIV/0!</v>
      </c>
      <c r="F18" s="3251" t="e">
        <f t="shared" si="1"/>
        <v>#DIV/0!</v>
      </c>
      <c r="G18" s="3256"/>
      <c r="H18" s="3256"/>
      <c r="I18" s="3256"/>
    </row>
    <row r="19" spans="1:9" ht="16.5">
      <c r="A19" s="3249" t="s">
        <v>2966</v>
      </c>
      <c r="B19" s="3256"/>
      <c r="C19" s="3256"/>
      <c r="D19" s="3256"/>
      <c r="E19" s="3251" t="e">
        <f t="shared" si="0"/>
        <v>#DIV/0!</v>
      </c>
      <c r="F19" s="3251" t="e">
        <f t="shared" si="1"/>
        <v>#DIV/0!</v>
      </c>
      <c r="G19" s="3256"/>
      <c r="H19" s="3256"/>
      <c r="I19" s="3256"/>
    </row>
    <row r="20" spans="1:9" ht="16.5">
      <c r="A20" s="3249" t="s">
        <v>2965</v>
      </c>
      <c r="B20" s="3256"/>
      <c r="C20" s="3256"/>
      <c r="D20" s="3256"/>
      <c r="E20" s="3251" t="e">
        <f t="shared" si="0"/>
        <v>#DIV/0!</v>
      </c>
      <c r="F20" s="3251" t="e">
        <f t="shared" si="1"/>
        <v>#DIV/0!</v>
      </c>
      <c r="G20" s="3256"/>
      <c r="H20" s="3256"/>
      <c r="I20" s="3256"/>
    </row>
    <row r="21" spans="1:9" ht="16.5">
      <c r="A21" s="3249" t="s">
        <v>2964</v>
      </c>
      <c r="B21" s="3256"/>
      <c r="C21" s="3256"/>
      <c r="D21" s="3256"/>
      <c r="E21" s="3251" t="e">
        <f t="shared" si="0"/>
        <v>#DIV/0!</v>
      </c>
      <c r="F21" s="3251" t="e">
        <f t="shared" si="1"/>
        <v>#DIV/0!</v>
      </c>
      <c r="G21" s="3256"/>
      <c r="H21" s="3256"/>
      <c r="I21" s="3256"/>
    </row>
    <row r="22" spans="1:9" ht="16.5">
      <c r="A22" s="3249" t="s">
        <v>2963</v>
      </c>
      <c r="B22" s="3256"/>
      <c r="C22" s="3256"/>
      <c r="D22" s="3256"/>
      <c r="E22" s="3251" t="e">
        <f t="shared" si="0"/>
        <v>#DIV/0!</v>
      </c>
      <c r="F22" s="3251" t="e">
        <f t="shared" si="1"/>
        <v>#DIV/0!</v>
      </c>
      <c r="G22" s="3256"/>
      <c r="H22" s="3256"/>
      <c r="I22" s="3256"/>
    </row>
    <row r="23" spans="1:9" ht="16.5">
      <c r="A23" s="3249" t="s">
        <v>2962</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zoomScalePageLayoutView="80" workbookViewId="0">
      <selection activeCell="F26" sqref="F26"/>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7"/>
      <c r="D1" s="1241"/>
      <c r="E1" s="1241"/>
      <c r="F1" s="2081" t="s">
        <v>2109</v>
      </c>
      <c r="G1" s="2054" t="s">
        <v>3069</v>
      </c>
      <c r="H1" s="2110" t="str">
        <f>IF(G1="现房","——","估价对象范围")</f>
        <v>估价对象范围</v>
      </c>
      <c r="I1" s="2087"/>
    </row>
    <row r="2" spans="1:12" ht="21.75" customHeight="1" thickBot="1">
      <c r="A2" s="3548" t="str">
        <f>项目基本情况!S2</f>
        <v>陕西省西安市西安曲江新区南三环以北、公园南路以西出让国有建设用地使用权及在建建筑物房地产</v>
      </c>
      <c r="B2" s="3549"/>
      <c r="C2" s="3549"/>
      <c r="D2" s="3549"/>
      <c r="E2" s="3549"/>
      <c r="F2" s="3549"/>
      <c r="G2" s="3549"/>
      <c r="H2" s="3549"/>
      <c r="I2" s="3550"/>
    </row>
    <row r="3" spans="1:12" ht="12">
      <c r="A3" s="3552" t="s">
        <v>10</v>
      </c>
      <c r="B3" s="3553"/>
      <c r="C3" s="3553"/>
      <c r="D3" s="3553"/>
      <c r="E3" s="3553"/>
      <c r="F3" s="3553"/>
      <c r="G3" s="3553"/>
      <c r="H3" s="3553"/>
      <c r="I3" s="3553"/>
    </row>
    <row r="4" spans="1:12" ht="13.5">
      <c r="A4" s="427" t="s">
        <v>11</v>
      </c>
      <c r="B4" s="428" t="s">
        <v>12</v>
      </c>
      <c r="C4" s="429" t="s">
        <v>3111</v>
      </c>
      <c r="D4" s="429" t="s">
        <v>3112</v>
      </c>
      <c r="E4" s="3557" t="s">
        <v>762</v>
      </c>
      <c r="F4" s="3558"/>
      <c r="G4" s="3558"/>
      <c r="H4" s="3558"/>
      <c r="I4" s="355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23" t="s">
        <v>13</v>
      </c>
      <c r="B5" s="3551">
        <v>25</v>
      </c>
      <c r="C5" s="3554"/>
      <c r="D5" s="3541"/>
      <c r="E5" s="469" t="s">
        <v>806</v>
      </c>
      <c r="F5" s="430"/>
      <c r="G5" s="430"/>
      <c r="H5" s="430"/>
      <c r="I5" s="431"/>
    </row>
    <row r="6" spans="1:12" ht="12.75" hidden="1">
      <c r="A6" s="3523"/>
      <c r="B6" s="3551"/>
      <c r="C6" s="3556"/>
      <c r="D6" s="3541"/>
      <c r="E6" s="469" t="s">
        <v>807</v>
      </c>
      <c r="F6" s="430"/>
      <c r="G6" s="430"/>
      <c r="H6" s="430"/>
      <c r="I6" s="431"/>
    </row>
    <row r="7" spans="1:12" ht="12.75" hidden="1">
      <c r="A7" s="3523"/>
      <c r="B7" s="3551"/>
      <c r="C7" s="3555"/>
      <c r="D7" s="3541"/>
      <c r="E7" s="469" t="s">
        <v>808</v>
      </c>
      <c r="F7" s="430"/>
      <c r="G7" s="430"/>
      <c r="H7" s="430"/>
      <c r="I7" s="431"/>
    </row>
    <row r="8" spans="1:12" ht="12.75" hidden="1">
      <c r="A8" s="3523" t="s">
        <v>14</v>
      </c>
      <c r="B8" s="3551">
        <v>15</v>
      </c>
      <c r="C8" s="3554"/>
      <c r="D8" s="3541"/>
      <c r="E8" s="469" t="s">
        <v>809</v>
      </c>
      <c r="F8" s="430"/>
      <c r="G8" s="430"/>
      <c r="H8" s="430"/>
      <c r="I8" s="431"/>
    </row>
    <row r="9" spans="1:12" ht="12.75" hidden="1">
      <c r="A9" s="3523"/>
      <c r="B9" s="3551"/>
      <c r="C9" s="3555"/>
      <c r="D9" s="3541"/>
      <c r="E9" s="469" t="s">
        <v>810</v>
      </c>
      <c r="F9" s="430"/>
      <c r="G9" s="430"/>
      <c r="H9" s="430"/>
      <c r="I9" s="431"/>
    </row>
    <row r="10" spans="1:12" ht="12.75" hidden="1">
      <c r="A10" s="3523" t="s">
        <v>15</v>
      </c>
      <c r="B10" s="3551">
        <v>15</v>
      </c>
      <c r="C10" s="3554"/>
      <c r="D10" s="3541"/>
      <c r="E10" s="469" t="s">
        <v>811</v>
      </c>
      <c r="F10" s="430"/>
      <c r="G10" s="430"/>
      <c r="H10" s="430"/>
      <c r="I10" s="431"/>
    </row>
    <row r="11" spans="1:12" ht="12.75" hidden="1">
      <c r="A11" s="3523"/>
      <c r="B11" s="3551"/>
      <c r="C11" s="3555"/>
      <c r="D11" s="3541"/>
      <c r="E11" s="469" t="s">
        <v>812</v>
      </c>
      <c r="F11" s="430"/>
      <c r="G11" s="430"/>
      <c r="H11" s="430"/>
      <c r="I11" s="431"/>
    </row>
    <row r="12" spans="1:12" ht="12.75" hidden="1">
      <c r="A12" s="3523" t="s">
        <v>16</v>
      </c>
      <c r="B12" s="3551">
        <v>15</v>
      </c>
      <c r="C12" s="3554"/>
      <c r="D12" s="3541"/>
      <c r="E12" s="469" t="s">
        <v>813</v>
      </c>
      <c r="F12" s="430"/>
      <c r="G12" s="430"/>
      <c r="H12" s="430"/>
      <c r="I12" s="431"/>
    </row>
    <row r="13" spans="1:12" ht="12.75" hidden="1">
      <c r="A13" s="3523"/>
      <c r="B13" s="3551"/>
      <c r="C13" s="3555"/>
      <c r="D13" s="3541"/>
      <c r="E13" s="469" t="s">
        <v>814</v>
      </c>
      <c r="F13" s="430"/>
      <c r="G13" s="430"/>
      <c r="H13" s="430"/>
      <c r="I13" s="431"/>
    </row>
    <row r="14" spans="1:12" ht="12.75">
      <c r="A14" s="3523" t="s">
        <v>17</v>
      </c>
      <c r="B14" s="3551">
        <v>30</v>
      </c>
      <c r="C14" s="3554">
        <v>4</v>
      </c>
      <c r="D14" s="3541">
        <v>6</v>
      </c>
      <c r="E14" s="469" t="s">
        <v>815</v>
      </c>
      <c r="F14" s="430"/>
      <c r="G14" s="430"/>
      <c r="H14" s="430"/>
      <c r="I14" s="431"/>
    </row>
    <row r="15" spans="1:12" ht="12.75">
      <c r="A15" s="3523"/>
      <c r="B15" s="3551"/>
      <c r="C15" s="3556"/>
      <c r="D15" s="3541"/>
      <c r="E15" s="469" t="s">
        <v>816</v>
      </c>
      <c r="F15" s="430"/>
      <c r="G15" s="430"/>
      <c r="H15" s="430"/>
      <c r="I15" s="431"/>
    </row>
    <row r="16" spans="1:12" ht="12.75">
      <c r="A16" s="3523"/>
      <c r="B16" s="3551"/>
      <c r="C16" s="3555"/>
      <c r="D16" s="3541"/>
      <c r="E16" s="469" t="s">
        <v>817</v>
      </c>
      <c r="F16" s="430"/>
      <c r="G16" s="430"/>
      <c r="H16" s="430"/>
      <c r="I16" s="431"/>
    </row>
    <row r="17" spans="1:35" ht="14.25">
      <c r="A17" s="432" t="s">
        <v>18</v>
      </c>
      <c r="B17" s="38"/>
      <c r="C17" s="470">
        <f>SUM(C5:C16)</f>
        <v>4</v>
      </c>
      <c r="D17" s="470">
        <f>SUM(D5:D16)</f>
        <v>6</v>
      </c>
      <c r="E17" s="2276"/>
      <c r="F17" s="2276"/>
      <c r="G17" s="2276"/>
      <c r="H17" s="2276"/>
      <c r="I17" s="2276"/>
      <c r="K17" s="2183"/>
      <c r="L17" s="2184" t="s">
        <v>2317</v>
      </c>
      <c r="M17" s="2184" t="s">
        <v>2318</v>
      </c>
    </row>
    <row r="18" spans="1:35" ht="15" thickBot="1">
      <c r="A18" s="433" t="s">
        <v>19</v>
      </c>
      <c r="B18" s="18"/>
      <c r="C18" s="471">
        <f>ROUND(C17/SUM(C17:D17),2)</f>
        <v>0.4</v>
      </c>
      <c r="D18" s="471">
        <f>1-C18</f>
        <v>0.6</v>
      </c>
      <c r="E18" s="2276"/>
      <c r="F18" s="2276"/>
      <c r="G18" s="2276"/>
      <c r="H18" s="2276"/>
      <c r="I18" s="2276"/>
      <c r="K18" s="2183" t="s">
        <v>2131</v>
      </c>
      <c r="L18" s="2183">
        <f>IF(C1="",'数据-汇总表'!E3,SUMIF(项目类型,C1,'数据-汇总表'!E17:E26)+SUMIF(项目类型,C1,'数据-汇总表'!I17:I26))</f>
        <v>62458.42</v>
      </c>
      <c r="M18" s="2183">
        <f>IF(C1="",'数据-汇总表'!E3,SUMIF(项目类型,C1,'数据-汇总表'!E17:E26))</f>
        <v>62458.42</v>
      </c>
    </row>
    <row r="19" spans="1:35" ht="14.25">
      <c r="A19" s="434" t="s">
        <v>180</v>
      </c>
      <c r="B19" s="435" t="s">
        <v>20</v>
      </c>
      <c r="C19" s="472">
        <f ca="1">SUMIF(INDIRECT("'"&amp;C4&amp;"'"&amp;"!A:A"),结果表!B19,INDIRECT("'"&amp;C4&amp;"'"&amp;"!B:B"))</f>
        <v>25386</v>
      </c>
      <c r="D19" s="473">
        <f ca="1">SUMIF(INDIRECT("'"&amp;D4&amp;"'"&amp;"!A:A"),结果表!B19,INDIRECT("'"&amp;D4&amp;"'"&amp;"!B:B"))</f>
        <v>37902</v>
      </c>
      <c r="E19" s="434" t="s">
        <v>179</v>
      </c>
      <c r="F19" s="435" t="s">
        <v>20</v>
      </c>
      <c r="G19" s="474">
        <f ca="1">ROUND(C19*$C$18+D19*$D$18,0)</f>
        <v>32896</v>
      </c>
      <c r="H19" s="436" t="s">
        <v>226</v>
      </c>
      <c r="I19" s="2276"/>
      <c r="K19" s="2183" t="s">
        <v>2132</v>
      </c>
      <c r="L19" s="2183">
        <f>IF(C1="",'数据-汇总表'!D3,SUMIF(项目类型,C1,'数据-汇总表'!D17:D26)+SUMIF(项目类型,C1,'数据-汇总表'!H17:H27))</f>
        <v>14746.3</v>
      </c>
      <c r="M19" s="2183">
        <f>IF(C1="",'数据-汇总表'!D3,SUMIF(项目类型,C1,'数据-汇总表'!D17:D26))</f>
        <v>14746.3</v>
      </c>
    </row>
    <row r="20" spans="1:35" ht="14.25">
      <c r="A20" s="437"/>
      <c r="B20" s="438" t="s">
        <v>21</v>
      </c>
      <c r="C20" s="475">
        <f ca="1">SUMIF(INDIRECT("'"&amp;C4&amp;"'"&amp;"!A:A"),结果表!B20,INDIRECT("'"&amp;C4&amp;"'"&amp;"!B:B"))</f>
        <v>4064</v>
      </c>
      <c r="D20" s="476">
        <f ca="1">SUMIF(INDIRECT("'"&amp;D4&amp;"'"&amp;"!A:A"),结果表!B20,INDIRECT("'"&amp;D4&amp;"'"&amp;"!B:B"))</f>
        <v>6068</v>
      </c>
      <c r="E20" s="437"/>
      <c r="F20" s="438" t="s">
        <v>21</v>
      </c>
      <c r="G20" s="477">
        <f ca="1">ROUND(C20*$C$18+D20*$D$18,0)</f>
        <v>5266</v>
      </c>
      <c r="H20" s="439" t="s">
        <v>225</v>
      </c>
      <c r="I20" s="2276"/>
    </row>
    <row r="21" spans="1:35" ht="15" customHeight="1" thickBot="1">
      <c r="A21" s="441"/>
      <c r="B21" s="442" t="s">
        <v>22</v>
      </c>
      <c r="C21" s="1420">
        <f ca="1">ROUND(C19*10000/L19,0)</f>
        <v>17215</v>
      </c>
      <c r="D21" s="1421">
        <f ca="1">ROUND(D19*10000/L19,0)</f>
        <v>25703</v>
      </c>
      <c r="E21" s="441"/>
      <c r="F21" s="442" t="s">
        <v>22</v>
      </c>
      <c r="G21" s="478">
        <f ca="1">ROUND(G19*10000/L19,0)</f>
        <v>22308</v>
      </c>
      <c r="H21" s="443" t="s">
        <v>225</v>
      </c>
      <c r="I21" s="2276"/>
    </row>
    <row r="22" spans="1:35" ht="15" thickBot="1">
      <c r="A22" s="274" t="s">
        <v>181</v>
      </c>
      <c r="B22" s="1422"/>
      <c r="C22" s="1423"/>
      <c r="D22" s="1424">
        <f ca="1">IF(C19&lt;D19,D19/C19-1,C19/D19-1)</f>
        <v>0.49302765303710716</v>
      </c>
      <c r="E22" s="2276"/>
      <c r="F22" s="2276"/>
      <c r="G22" s="2276"/>
      <c r="H22" s="2276"/>
      <c r="I22" s="2276"/>
    </row>
    <row r="23" spans="1:35" ht="12.75" thickBot="1">
      <c r="A23" s="1241"/>
      <c r="B23" s="1241"/>
      <c r="C23" s="1241"/>
      <c r="D23" s="1241"/>
      <c r="E23" s="2276"/>
      <c r="F23" s="2276"/>
      <c r="G23" s="2276"/>
      <c r="H23" s="2276"/>
      <c r="I23" s="2276"/>
    </row>
    <row r="24" spans="1:35" ht="14.25">
      <c r="A24" s="3566" t="s">
        <v>177</v>
      </c>
      <c r="B24" s="435" t="s">
        <v>20</v>
      </c>
      <c r="C24" s="474">
        <f>IF(B30=0,0,D30)</f>
        <v>0</v>
      </c>
      <c r="D24" s="444"/>
      <c r="E24" s="2276"/>
      <c r="F24" s="2276"/>
      <c r="G24" s="2276"/>
      <c r="H24" s="2276"/>
      <c r="I24" s="2276"/>
    </row>
    <row r="25" spans="1:35" ht="14.25">
      <c r="A25" s="3567"/>
      <c r="B25" s="438" t="s">
        <v>21</v>
      </c>
      <c r="C25" s="479">
        <f>IF(B30=0,0,C30)</f>
        <v>0</v>
      </c>
      <c r="D25" s="445"/>
      <c r="E25" s="2276"/>
      <c r="F25" s="2276"/>
      <c r="G25" s="2276"/>
      <c r="H25" s="2276"/>
      <c r="I25" s="2276"/>
    </row>
    <row r="26" spans="1:35" ht="13.5" customHeight="1">
      <c r="A26" s="446" t="s">
        <v>178</v>
      </c>
      <c r="B26" s="447" t="s">
        <v>120</v>
      </c>
      <c r="C26" s="447" t="s">
        <v>121</v>
      </c>
      <c r="D26" s="448" t="s">
        <v>122</v>
      </c>
      <c r="E26" s="2276"/>
      <c r="F26" s="2276"/>
      <c r="G26" s="2276"/>
      <c r="H26" s="2276"/>
      <c r="I26" s="2276"/>
    </row>
    <row r="27" spans="1:35" ht="14.25">
      <c r="A27" s="446"/>
      <c r="B27" s="480"/>
      <c r="C27" s="480"/>
      <c r="D27" s="481"/>
      <c r="E27" s="2276"/>
      <c r="F27" s="2276"/>
      <c r="G27" s="2276"/>
      <c r="H27" s="2276"/>
      <c r="I27" s="2276"/>
    </row>
    <row r="28" spans="1:35" ht="14.25">
      <c r="A28" s="446"/>
      <c r="B28" s="480"/>
      <c r="C28" s="480"/>
      <c r="D28" s="481"/>
      <c r="E28" s="2276"/>
      <c r="F28" s="2276"/>
      <c r="G28" s="2276"/>
      <c r="H28" s="2276"/>
      <c r="I28" s="2276"/>
    </row>
    <row r="29" spans="1:35" ht="14.25">
      <c r="A29" s="446"/>
      <c r="B29" s="480"/>
      <c r="C29" s="480"/>
      <c r="D29" s="481"/>
      <c r="E29" s="2276"/>
      <c r="F29" s="2276"/>
      <c r="G29" s="2276"/>
      <c r="H29" s="2276"/>
      <c r="I29" s="2276"/>
    </row>
    <row r="30" spans="1:35" ht="14.25">
      <c r="A30" s="449" t="s">
        <v>176</v>
      </c>
      <c r="B30" s="482">
        <f>SUM(B27:B29)</f>
        <v>0</v>
      </c>
      <c r="C30" s="482" t="e">
        <f>ROUND(D30*10000/B30,0)</f>
        <v>#DIV/0!</v>
      </c>
      <c r="D30" s="482">
        <f>SUM(D27:D29)</f>
        <v>0</v>
      </c>
      <c r="E30" s="2276"/>
      <c r="F30" s="2276"/>
      <c r="G30" s="2276"/>
      <c r="H30" s="2276"/>
      <c r="I30" s="2276"/>
    </row>
    <row r="31" spans="1:35" s="1243" customFormat="1" ht="14.25" thickBot="1">
      <c r="A31" s="450"/>
      <c r="B31" s="450"/>
      <c r="C31" s="450"/>
      <c r="D31" s="450"/>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32896</v>
      </c>
      <c r="D32" s="2091" t="s">
        <v>208</v>
      </c>
      <c r="E32" s="2276"/>
      <c r="F32" s="2276"/>
      <c r="G32" s="2276"/>
      <c r="H32" s="2276"/>
      <c r="I32" s="2276"/>
    </row>
    <row r="33" spans="1:15" ht="13.5">
      <c r="A33" s="455" t="s">
        <v>763</v>
      </c>
      <c r="B33" s="2090"/>
      <c r="C33" s="2872"/>
      <c r="D33" s="2875"/>
      <c r="E33" s="2088" t="s">
        <v>2111</v>
      </c>
      <c r="F33" s="2089" t="str">
        <f>IF(D32="楼面单价","取值（单价）","取值（总价）")</f>
        <v>取值（总价）</v>
      </c>
      <c r="G33" s="2276"/>
      <c r="H33" s="2276"/>
      <c r="I33" s="2276"/>
    </row>
    <row r="34" spans="1:15" ht="15">
      <c r="A34" s="456"/>
      <c r="B34" s="457" t="s">
        <v>766</v>
      </c>
      <c r="C34" s="487" t="e">
        <f ca="1">IF(C33="自定义",F34,C32-C35)</f>
        <v>#REF!</v>
      </c>
      <c r="D34" s="2092" t="e">
        <f ca="1">IF(C33="自定义",ROUND(C34/C32,3),IF(C33="收益比率",SUMIF(INDIRECT("'"&amp;D33&amp;"'"&amp;"!b:b"),"土地收益比率",INDIRECT("'"&amp;D33&amp;"'"&amp;"!c:c")),SUMIF(INDIRECT("'"&amp;D33&amp;"'"&amp;"!b:b"),"土地成本比率",INDIRECT("'"&amp;D33&amp;"'"&amp;"!c:c"))))</f>
        <v>#REF!</v>
      </c>
      <c r="E34" s="2873" t="s">
        <v>2112</v>
      </c>
      <c r="F34" s="3246"/>
      <c r="G34" s="2276"/>
      <c r="H34" s="2276"/>
      <c r="I34" s="2276"/>
    </row>
    <row r="35" spans="1:15" ht="15.75" thickBot="1">
      <c r="A35" s="459"/>
      <c r="B35" s="2876" t="s">
        <v>768</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2113</v>
      </c>
      <c r="F35" s="493"/>
      <c r="G35" s="2276"/>
      <c r="H35" s="2276"/>
      <c r="I35" s="2276"/>
    </row>
    <row r="36" spans="1:15" ht="15.75" thickBot="1">
      <c r="A36" s="3542" t="s">
        <v>764</v>
      </c>
      <c r="B36" s="453" t="s">
        <v>765</v>
      </c>
      <c r="C36" s="484"/>
      <c r="D36" s="454"/>
      <c r="E36" s="1244"/>
      <c r="F36" s="2277"/>
      <c r="G36" s="2276"/>
      <c r="H36" s="2276"/>
      <c r="I36" s="2276"/>
    </row>
    <row r="37" spans="1:15" ht="15.75" thickBot="1">
      <c r="A37" s="3543"/>
      <c r="B37" s="13" t="s">
        <v>767</v>
      </c>
      <c r="C37" s="486"/>
      <c r="D37" s="2225"/>
      <c r="E37" s="2225"/>
      <c r="F37" s="2277"/>
      <c r="G37" s="2276"/>
      <c r="H37" s="2276"/>
      <c r="I37" s="2276"/>
    </row>
    <row r="38" spans="1:15" ht="15.75" thickBot="1">
      <c r="A38" s="3544"/>
      <c r="B38" s="458" t="s">
        <v>769</v>
      </c>
      <c r="C38" s="1135"/>
      <c r="D38" s="1245" t="s">
        <v>770</v>
      </c>
      <c r="E38" s="2225"/>
      <c r="F38" s="2277"/>
      <c r="G38" s="2276"/>
      <c r="H38" s="2276"/>
      <c r="I38" s="2276"/>
    </row>
    <row r="39" spans="1:15" ht="13.5">
      <c r="A39" s="437" t="s">
        <v>771</v>
      </c>
      <c r="B39" s="460" t="s">
        <v>772</v>
      </c>
      <c r="C39" s="461" t="s">
        <v>773</v>
      </c>
      <c r="D39" s="461" t="s">
        <v>774</v>
      </c>
      <c r="E39" s="462" t="s">
        <v>775</v>
      </c>
      <c r="F39" s="2277"/>
      <c r="G39" s="2276"/>
      <c r="H39" s="2276"/>
      <c r="I39" s="2276"/>
    </row>
    <row r="40" spans="1:15" ht="13.5">
      <c r="A40" s="1246" t="s">
        <v>776</v>
      </c>
      <c r="B40" s="488"/>
      <c r="C40" s="489"/>
      <c r="D40" s="489"/>
      <c r="E40" s="490"/>
      <c r="F40" s="2277"/>
      <c r="G40" s="2276"/>
      <c r="H40" s="2276"/>
      <c r="I40" s="2276"/>
    </row>
    <row r="41" spans="1:15" ht="13.5">
      <c r="A41" s="1246" t="s">
        <v>777</v>
      </c>
      <c r="B41" s="488"/>
      <c r="C41" s="489"/>
      <c r="D41" s="489"/>
      <c r="E41" s="490"/>
      <c r="F41" s="2277"/>
      <c r="G41" s="2276"/>
      <c r="H41" s="2276"/>
      <c r="I41" s="2276"/>
    </row>
    <row r="42" spans="1:15" ht="14.25" thickBot="1">
      <c r="A42" s="1247"/>
      <c r="B42" s="491"/>
      <c r="C42" s="492"/>
      <c r="D42" s="492"/>
      <c r="E42" s="493"/>
      <c r="F42" s="2277"/>
      <c r="G42" s="2276"/>
      <c r="H42" s="2276"/>
      <c r="I42" s="2276"/>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3" t="s">
        <v>212</v>
      </c>
      <c r="K44" s="3264"/>
      <c r="L44" s="3264"/>
      <c r="M44" s="3264"/>
      <c r="N44" s="3264"/>
      <c r="O44" s="3264"/>
    </row>
    <row r="45" spans="1:15" ht="14.25" hidden="1" customHeight="1" thickBot="1">
      <c r="A45" s="3563" t="s">
        <v>798</v>
      </c>
      <c r="B45" s="3564"/>
      <c r="C45" s="3565"/>
      <c r="D45" s="494">
        <f ca="1">ROUND(H101*F45,0)</f>
        <v>32896</v>
      </c>
      <c r="E45" s="495" t="s">
        <v>799</v>
      </c>
      <c r="F45" s="496">
        <v>1</v>
      </c>
      <c r="G45" s="497" t="s">
        <v>800</v>
      </c>
      <c r="H45" s="2276"/>
      <c r="I45" s="2276"/>
      <c r="J45" s="3473" t="s">
        <v>213</v>
      </c>
      <c r="K45" s="3473"/>
      <c r="L45" s="3473"/>
      <c r="M45" s="3473"/>
      <c r="N45" s="3473"/>
      <c r="O45" s="3473"/>
    </row>
    <row r="46" spans="1:15" ht="14.25" hidden="1" customHeight="1">
      <c r="A46" s="3560" t="s">
        <v>285</v>
      </c>
      <c r="B46" s="3561"/>
      <c r="C46" s="3561"/>
      <c r="D46" s="3561"/>
      <c r="E46" s="3561"/>
      <c r="F46" s="3561"/>
      <c r="G46" s="3562"/>
      <c r="H46" s="2278"/>
      <c r="I46" s="2231"/>
      <c r="J46" s="1499">
        <v>1</v>
      </c>
      <c r="K46" s="3473" t="s">
        <v>214</v>
      </c>
      <c r="L46" s="3473"/>
      <c r="M46" s="3474"/>
      <c r="N46" s="3474"/>
      <c r="O46" s="3474"/>
    </row>
    <row r="47" spans="1:15" ht="12" hidden="1" customHeight="1">
      <c r="A47" s="499" t="s">
        <v>286</v>
      </c>
      <c r="B47" s="500"/>
      <c r="C47" s="501"/>
      <c r="D47" s="502" t="s">
        <v>287</v>
      </c>
      <c r="E47" s="312" t="s">
        <v>288</v>
      </c>
      <c r="F47" s="503" t="s">
        <v>801</v>
      </c>
      <c r="G47" s="504" t="s">
        <v>802</v>
      </c>
      <c r="H47" s="2278"/>
      <c r="I47" s="2231"/>
      <c r="J47" s="1499">
        <v>2</v>
      </c>
      <c r="K47" s="3473" t="s">
        <v>215</v>
      </c>
      <c r="L47" s="3473"/>
      <c r="M47" s="3475">
        <f>'数据-取费表'!B2</f>
        <v>42977</v>
      </c>
      <c r="N47" s="3475"/>
      <c r="O47" s="3475"/>
    </row>
    <row r="48" spans="1:15" ht="25.5" hidden="1">
      <c r="A48" s="3546" t="s">
        <v>289</v>
      </c>
      <c r="B48" s="3547"/>
      <c r="C48" s="3547"/>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30" t="s">
        <v>2414</v>
      </c>
      <c r="I48" s="2278"/>
      <c r="J48" s="1499">
        <v>3</v>
      </c>
      <c r="K48" s="3473" t="s">
        <v>780</v>
      </c>
      <c r="L48" s="3473"/>
      <c r="M48" s="3476">
        <f ca="1">H101</f>
        <v>32896</v>
      </c>
      <c r="N48" s="3476"/>
      <c r="O48" s="3476"/>
    </row>
    <row r="49" spans="1:35" ht="25.5" hidden="1" customHeight="1">
      <c r="A49" s="506" t="s">
        <v>803</v>
      </c>
      <c r="B49" s="3526" t="s">
        <v>804</v>
      </c>
      <c r="C49" s="3526"/>
      <c r="D49" s="507">
        <v>0</v>
      </c>
      <c r="E49" s="311" t="s">
        <v>805</v>
      </c>
      <c r="F49" s="316" t="s">
        <v>171</v>
      </c>
      <c r="G49" s="3505"/>
      <c r="H49" s="2276"/>
      <c r="I49" s="2279"/>
      <c r="J49" s="1499">
        <v>4</v>
      </c>
      <c r="K49" s="3473" t="str">
        <f>IF(项目基本情况!E8="房地产抵押价值","房地产抵押价值","抵押担保权已注销时的房地产抵押价值")</f>
        <v>房地产抵押价值</v>
      </c>
      <c r="L49" s="3473"/>
      <c r="M49" s="3476">
        <f ca="1">IF(项目基本情况!E8="房地产抵押价值",H107,H109)</f>
        <v>32896</v>
      </c>
      <c r="N49" s="3476"/>
      <c r="O49" s="3476"/>
    </row>
    <row r="50" spans="1:35" ht="25.5" hidden="1" customHeight="1">
      <c r="A50" s="508"/>
      <c r="B50" s="3526" t="s">
        <v>292</v>
      </c>
      <c r="C50" s="3526"/>
      <c r="D50" s="509"/>
      <c r="E50" s="319"/>
      <c r="F50" s="510"/>
      <c r="G50" s="3506"/>
      <c r="H50" s="2276"/>
      <c r="I50" s="2279"/>
      <c r="J50" s="3473" t="s">
        <v>216</v>
      </c>
      <c r="K50" s="3473"/>
      <c r="L50" s="3473"/>
      <c r="M50" s="3473"/>
      <c r="N50" s="3473"/>
      <c r="O50" s="3473"/>
    </row>
    <row r="51" spans="1:35" ht="12" hidden="1" customHeight="1">
      <c r="A51" s="511"/>
      <c r="B51" s="3526" t="s">
        <v>293</v>
      </c>
      <c r="C51" s="3526"/>
      <c r="D51" s="512"/>
      <c r="E51" s="318"/>
      <c r="F51" s="510"/>
      <c r="G51" s="3507"/>
      <c r="H51" s="2276"/>
      <c r="I51" s="2279"/>
      <c r="J51" s="3265" t="s">
        <v>217</v>
      </c>
      <c r="K51" s="3473" t="s">
        <v>218</v>
      </c>
      <c r="L51" s="3473"/>
      <c r="M51" s="3265" t="s">
        <v>2999</v>
      </c>
      <c r="N51" s="3265" t="s">
        <v>219</v>
      </c>
      <c r="O51" s="3265" t="s">
        <v>220</v>
      </c>
    </row>
    <row r="52" spans="1:35" ht="24" hidden="1" customHeight="1">
      <c r="A52" s="513" t="s">
        <v>294</v>
      </c>
      <c r="B52" s="3526" t="s">
        <v>295</v>
      </c>
      <c r="C52" s="3526"/>
      <c r="D52" s="512">
        <f ca="1">ROUND(D45*'数据-取费表'!B41/(1+'数据-取费表'!C42),0)</f>
        <v>1754</v>
      </c>
      <c r="E52" s="298" t="s">
        <v>296</v>
      </c>
      <c r="F52" s="514">
        <f>'数据-取费表'!B41</f>
        <v>5.6000000000000001E-2</v>
      </c>
      <c r="G52" s="464"/>
      <c r="H52" s="2276"/>
      <c r="I52" s="2279"/>
      <c r="J52" s="1499">
        <v>1</v>
      </c>
      <c r="K52" s="3499" t="s">
        <v>781</v>
      </c>
      <c r="L52" s="3499"/>
      <c r="M52" s="3266">
        <f>D48</f>
        <v>0</v>
      </c>
      <c r="N52" s="1498" t="str">
        <f>E48</f>
        <v>销售额×税（费）率</v>
      </c>
      <c r="O52" s="3267" t="str">
        <f>F48</f>
        <v>免征</v>
      </c>
    </row>
    <row r="53" spans="1:35" ht="12" hidden="1" customHeight="1">
      <c r="A53" s="513" t="s">
        <v>297</v>
      </c>
      <c r="B53" s="3527" t="s">
        <v>298</v>
      </c>
      <c r="C53" s="3528"/>
      <c r="D53" s="512">
        <f ca="1">ROUND(D45*'数据-取费表'!B41/(1+'数据-取费表'!C42),0)</f>
        <v>1754</v>
      </c>
      <c r="E53" s="298" t="s">
        <v>296</v>
      </c>
      <c r="F53" s="514">
        <f>'数据-取费表'!B41</f>
        <v>5.6000000000000001E-2</v>
      </c>
      <c r="G53" s="464"/>
      <c r="H53" s="2276"/>
      <c r="I53" s="2279"/>
      <c r="J53" s="1499">
        <v>2</v>
      </c>
      <c r="K53" s="3499" t="s">
        <v>782</v>
      </c>
      <c r="L53" s="3499"/>
      <c r="M53" s="3266">
        <f t="shared" ref="M53:O54" ca="1" si="0">D55</f>
        <v>16</v>
      </c>
      <c r="N53" s="1498" t="str">
        <f t="shared" si="0"/>
        <v>销售额×税（费）率</v>
      </c>
      <c r="O53" s="3267">
        <f t="shared" si="0"/>
        <v>5.0000000000000001E-4</v>
      </c>
    </row>
    <row r="54" spans="1:35" ht="12" hidden="1" customHeight="1">
      <c r="A54" s="513" t="s">
        <v>299</v>
      </c>
      <c r="B54" s="3527" t="s">
        <v>300</v>
      </c>
      <c r="C54" s="3528"/>
      <c r="D54" s="512">
        <f ca="1">C68</f>
        <v>1754</v>
      </c>
      <c r="E54" s="318" t="s">
        <v>301</v>
      </c>
      <c r="F54" s="514">
        <f>'数据-取费表'!B41</f>
        <v>5.6000000000000001E-2</v>
      </c>
      <c r="G54" s="464"/>
      <c r="H54" s="2280"/>
      <c r="I54" s="2279"/>
      <c r="J54" s="1499">
        <v>3</v>
      </c>
      <c r="K54" s="3499" t="s">
        <v>783</v>
      </c>
      <c r="L54" s="3499"/>
      <c r="M54" s="3266">
        <f t="shared" ca="1" si="0"/>
        <v>18619</v>
      </c>
      <c r="N54" s="1498" t="str">
        <f t="shared" si="0"/>
        <v>增值额×税（费）率</v>
      </c>
      <c r="O54" s="3268" t="str">
        <f t="shared" si="0"/>
        <v>——</v>
      </c>
    </row>
    <row r="55" spans="1:35" ht="24" hidden="1" customHeight="1">
      <c r="A55" s="3569" t="s">
        <v>302</v>
      </c>
      <c r="B55" s="3547"/>
      <c r="C55" s="3547"/>
      <c r="D55" s="515">
        <f ca="1">IF(H55="个人住宅",0,ROUND(D45*I55,0))</f>
        <v>16</v>
      </c>
      <c r="E55" s="298" t="s">
        <v>303</v>
      </c>
      <c r="F55" s="514">
        <f>IF(H55="正常",I55,"免征")</f>
        <v>5.0000000000000001E-4</v>
      </c>
      <c r="G55" s="464"/>
      <c r="H55" s="1430" t="s">
        <v>155</v>
      </c>
      <c r="I55" s="516">
        <f>'数据-取费表'!B49</f>
        <v>5.0000000000000001E-4</v>
      </c>
      <c r="J55" s="1499" t="str">
        <f>IF(H59="非个人房产","",4)</f>
        <v/>
      </c>
      <c r="K55" s="3499" t="str">
        <f>IF(H59="非个人房产","——","个人所得税")</f>
        <v>——</v>
      </c>
      <c r="L55" s="3499"/>
      <c r="M55" s="3269" t="str">
        <f>D59</f>
        <v>——</v>
      </c>
      <c r="N55" s="3270" t="str">
        <f>E59</f>
        <v>——</v>
      </c>
      <c r="O55" s="3271" t="str">
        <f>F59</f>
        <v>——</v>
      </c>
    </row>
    <row r="56" spans="1:35" ht="24.75" hidden="1">
      <c r="A56" s="3569" t="s">
        <v>304</v>
      </c>
      <c r="B56" s="3547"/>
      <c r="C56" s="3547"/>
      <c r="D56" s="515">
        <f ca="1">IF(H56="个人住宅",D57,D58)</f>
        <v>18619</v>
      </c>
      <c r="E56" s="298" t="s">
        <v>305</v>
      </c>
      <c r="F56" s="514" t="str">
        <f>IF(H56="正常",F58,"免征")</f>
        <v>——</v>
      </c>
      <c r="G56" s="1254" t="s">
        <v>784</v>
      </c>
      <c r="H56" s="1429" t="s">
        <v>155</v>
      </c>
      <c r="I56" s="2281"/>
      <c r="J56" s="1499" t="str">
        <f>IF(项目基本情况!K6="上海银行",IF(J55="",4,J55+1),"")</f>
        <v/>
      </c>
      <c r="K56" s="3479" t="str">
        <f>IF(项目基本情况!K6="上海银行","其他处置费用","")</f>
        <v/>
      </c>
      <c r="L56" s="3480"/>
      <c r="M56" s="3266" t="str">
        <f>IF(项目基本情况!K6="上海银行",M69,"")</f>
        <v/>
      </c>
      <c r="N56" s="3482" t="str">
        <f>IF(项目基本情况!K6="上海银行","包含处置中涉及的律师、诉讼、拍卖、评估等费用","")</f>
        <v/>
      </c>
      <c r="O56" s="3483"/>
    </row>
    <row r="57" spans="1:35" ht="12.75" hidden="1">
      <c r="A57" s="513" t="s">
        <v>290</v>
      </c>
      <c r="B57" s="3532" t="s">
        <v>306</v>
      </c>
      <c r="C57" s="3533"/>
      <c r="D57" s="517">
        <v>0</v>
      </c>
      <c r="E57" s="311" t="s">
        <v>291</v>
      </c>
      <c r="F57" s="485"/>
      <c r="G57" s="464"/>
      <c r="H57" s="2281"/>
      <c r="I57" s="2281"/>
      <c r="J57" s="3511">
        <f>IF(AND(J55="",J56=""),4,IF(项目基本情况!K6="上海银行",结果表!J56+1,结果表!J55+1))</f>
        <v>4</v>
      </c>
      <c r="K57" s="3499" t="s">
        <v>785</v>
      </c>
      <c r="L57" s="3272" t="s">
        <v>221</v>
      </c>
      <c r="M57" s="3273"/>
      <c r="N57" s="3274">
        <f ca="1">SUMIF(M52:M56,"&lt;9e307")</f>
        <v>18635</v>
      </c>
      <c r="O57" s="3275"/>
      <c r="P57" s="3262">
        <f ca="1">N57/M49</f>
        <v>0.56648224708171202</v>
      </c>
    </row>
    <row r="58" spans="1:35" ht="24.75" hidden="1">
      <c r="A58" s="513" t="s">
        <v>294</v>
      </c>
      <c r="B58" s="3532" t="s">
        <v>307</v>
      </c>
      <c r="C58" s="3545"/>
      <c r="D58" s="515">
        <f ca="1">IF(H58="转让取得",C81,C97)</f>
        <v>18619</v>
      </c>
      <c r="E58" s="298" t="s">
        <v>305</v>
      </c>
      <c r="F58" s="312" t="s">
        <v>171</v>
      </c>
      <c r="G58" s="464"/>
      <c r="H58" s="1429" t="s">
        <v>1133</v>
      </c>
      <c r="I58" s="2281"/>
      <c r="J58" s="3511"/>
      <c r="K58" s="3499"/>
      <c r="L58" s="3272" t="s">
        <v>222</v>
      </c>
      <c r="M58" s="3276"/>
      <c r="N58" s="3277" t="str">
        <f ca="1">NUMBERSTRING(INT(N57*10000),2)&amp;"元整"</f>
        <v>壹亿捌仟陆佰叁拾伍万元整</v>
      </c>
      <c r="O58" s="3278"/>
    </row>
    <row r="59" spans="1:35" ht="24.75" hidden="1" thickBot="1">
      <c r="A59" s="3503" t="s">
        <v>308</v>
      </c>
      <c r="B59" s="3504"/>
      <c r="C59" s="3504"/>
      <c r="D59" s="518" t="str">
        <f>IF(H59="非个人房产","——",IF(H59="个人住宅",0,ROUND(D45*I59,0)))</f>
        <v>——</v>
      </c>
      <c r="E59" s="519" t="str">
        <f>IF(H59="非个人房产","——","销售额×税（费）率")</f>
        <v>——</v>
      </c>
      <c r="F59" s="520" t="str">
        <f>IF(H59="非个人房产","——",IF(H59="个人住宅","免征",I59))</f>
        <v>——</v>
      </c>
      <c r="G59" s="1255" t="s">
        <v>170</v>
      </c>
      <c r="H59" s="1429" t="s">
        <v>1132</v>
      </c>
      <c r="I59" s="521">
        <v>0.01</v>
      </c>
      <c r="J59" s="3501">
        <f>J57+1</f>
        <v>5</v>
      </c>
      <c r="K59" s="3499" t="s">
        <v>172</v>
      </c>
      <c r="L59" s="1498" t="s">
        <v>221</v>
      </c>
      <c r="M59" s="3279"/>
      <c r="N59" s="3280">
        <f ca="1">M49-N57</f>
        <v>14261</v>
      </c>
      <c r="O59" s="3281"/>
    </row>
    <row r="60" spans="1:35" ht="12" hidden="1" customHeight="1">
      <c r="A60" s="1256"/>
      <c r="B60" s="1241"/>
      <c r="C60" s="1241"/>
      <c r="D60" s="1241"/>
      <c r="E60" s="228"/>
      <c r="F60" s="2281"/>
      <c r="G60" s="2281"/>
      <c r="H60" s="2282"/>
      <c r="I60" s="2276"/>
      <c r="J60" s="3502"/>
      <c r="K60" s="3499"/>
      <c r="L60" s="3272" t="s">
        <v>222</v>
      </c>
      <c r="M60" s="3276"/>
      <c r="N60" s="3277" t="str">
        <f ca="1">NUMBERSTRING(INT(N59*10000),2)&amp;"元整"</f>
        <v>壹亿肆仟贰佰陆拾壹万元整</v>
      </c>
      <c r="O60" s="3278"/>
    </row>
    <row r="61" spans="1:35" ht="13.5" hidden="1" thickBot="1">
      <c r="A61" s="3568" t="s">
        <v>309</v>
      </c>
      <c r="B61" s="3568"/>
      <c r="C61" s="3568"/>
      <c r="D61" s="3568"/>
      <c r="E61" s="3568"/>
      <c r="F61" s="2281"/>
      <c r="G61" s="2281"/>
      <c r="H61" s="2282"/>
      <c r="I61" s="2276"/>
      <c r="J61" s="1499">
        <f>J59+1</f>
        <v>6</v>
      </c>
      <c r="K61" s="3499" t="s">
        <v>223</v>
      </c>
      <c r="L61" s="3499"/>
      <c r="M61" s="3282"/>
      <c r="N61" s="3283">
        <f ca="1">ROUND(N59*10000/'数据-汇总表'!E3,0)</f>
        <v>2283</v>
      </c>
      <c r="O61" s="3284"/>
    </row>
    <row r="62" spans="1:35" ht="12.75" hidden="1">
      <c r="A62" s="3520" t="s">
        <v>310</v>
      </c>
      <c r="B62" s="3521"/>
      <c r="C62" s="1916"/>
      <c r="D62" s="1916" t="s">
        <v>318</v>
      </c>
      <c r="E62" s="522" t="s">
        <v>319</v>
      </c>
      <c r="F62" s="2281"/>
      <c r="G62" s="2281"/>
      <c r="H62" s="2282"/>
      <c r="I62" s="2276"/>
    </row>
    <row r="63" spans="1:35" ht="12.75" hidden="1">
      <c r="A63" s="533" t="s">
        <v>1895</v>
      </c>
      <c r="B63" s="523" t="s">
        <v>311</v>
      </c>
      <c r="C63" s="524">
        <f ca="1">ROUND((C64+C65)/(1+'数据-取费表'!C42),0)</f>
        <v>31330</v>
      </c>
      <c r="D63" s="525"/>
      <c r="E63" s="526"/>
      <c r="F63" s="2281"/>
      <c r="G63" s="2281"/>
      <c r="H63" s="2282"/>
      <c r="I63" s="2276"/>
      <c r="J63" s="3481" t="s">
        <v>2992</v>
      </c>
      <c r="K63" s="3261" t="s">
        <v>2993</v>
      </c>
      <c r="L63" s="3259">
        <f ca="1">IF(M49&gt;10000,M49*0.5%,IF(AND(M49&gt;1000,M49&lt;=10000),M49*1%,IF(AND(M49&gt;100,M49&lt;=1000),M49*3%,IF(AND(M49&gt;10,M49&lt;=100),M49*5%,M49*8%))))</f>
        <v>164.48</v>
      </c>
      <c r="M63" s="312">
        <f ca="1">ROUND(L63,1)</f>
        <v>164.5</v>
      </c>
      <c r="Z63" s="1432"/>
      <c r="AI63" s="1242"/>
    </row>
    <row r="64" spans="1:35" ht="14.25" hidden="1" customHeight="1">
      <c r="A64" s="527" t="s">
        <v>1890</v>
      </c>
      <c r="B64" s="528" t="s">
        <v>312</v>
      </c>
      <c r="C64" s="529">
        <f ca="1">D45</f>
        <v>32896</v>
      </c>
      <c r="D64" s="530" t="s">
        <v>167</v>
      </c>
      <c r="E64" s="531"/>
      <c r="F64" s="2281"/>
      <c r="G64" s="2281"/>
      <c r="H64" s="2282"/>
      <c r="I64" s="2276"/>
      <c r="J64" s="3481"/>
      <c r="K64" s="3261" t="s">
        <v>2994</v>
      </c>
      <c r="L64" s="3259">
        <f ca="1">IF(M49&gt;2000,M49*0.5%,IF(AND(M49&gt;1000,M49&lt;=2000),M49*0.6%,IF(AND(M49&gt;500,M49&lt;=1000),M49*0.7%,IF(AND(M49&gt;200,M49&lt;=500),M49*0.8%,IF(AND(M49&gt;100,M49&lt;=200),M49*0.9%,IF(AND(M49&gt;50,M49&lt;=100),M49*1%,IF(AND(M49&gt;20,M49&lt;=50),M49*1.5%,IF(AND(M49&gt;10,M49&lt;=20),M49*2%,IF(AND(M49&gt;1,M49&lt;=10),M49*2.5%)))))))))</f>
        <v>164.48</v>
      </c>
      <c r="M64" s="312">
        <f t="shared" ref="M64:M65" ca="1" si="1">ROUND(L64,1)</f>
        <v>164.5</v>
      </c>
      <c r="N64" s="467" t="s">
        <v>3000</v>
      </c>
      <c r="Z64" s="1432"/>
      <c r="AI64" s="1242"/>
    </row>
    <row r="65" spans="1:35" ht="14.25" hidden="1" customHeight="1">
      <c r="A65" s="527" t="s">
        <v>1891</v>
      </c>
      <c r="B65" s="528" t="s">
        <v>313</v>
      </c>
      <c r="C65" s="532"/>
      <c r="D65" s="530"/>
      <c r="E65" s="531"/>
      <c r="F65" s="2281"/>
      <c r="G65" s="2281"/>
      <c r="H65" s="2282"/>
      <c r="I65" s="2276"/>
      <c r="J65" s="3481"/>
      <c r="K65" s="3261" t="s">
        <v>2995</v>
      </c>
      <c r="L65" s="3259">
        <f ca="1">IF(M49&gt;1000,M49*0.1%,IF(AND(M49&gt;500,M49&lt;=1000),M49*0.5%,IF(AND(M49&gt;50,M49&lt;=500),M49*1%,IF(AND(M49&gt;1,M49&lt;=50),M49*1.5%))))</f>
        <v>32.896000000000001</v>
      </c>
      <c r="M65" s="312">
        <f t="shared" ca="1" si="1"/>
        <v>32.9</v>
      </c>
      <c r="N65" s="467" t="s">
        <v>3001</v>
      </c>
      <c r="Z65" s="1432"/>
      <c r="AI65" s="1242"/>
    </row>
    <row r="66" spans="1:35" ht="14.25" hidden="1" customHeight="1">
      <c r="A66" s="533" t="s">
        <v>1892</v>
      </c>
      <c r="B66" s="534" t="s">
        <v>314</v>
      </c>
      <c r="C66" s="535"/>
      <c r="D66" s="536" t="s">
        <v>167</v>
      </c>
      <c r="E66" s="3313" t="s">
        <v>3039</v>
      </c>
      <c r="F66" s="2281"/>
      <c r="G66" s="2281"/>
      <c r="H66" s="2282"/>
      <c r="I66" s="2276"/>
      <c r="J66" s="3481"/>
      <c r="K66" s="3261" t="s">
        <v>2996</v>
      </c>
      <c r="L66" s="3259">
        <f ca="1">M49*0.5%</f>
        <v>164.48</v>
      </c>
      <c r="M66" s="312">
        <f ca="1">IF(L66&gt;0.5,0.5,ROUND(L66,0))</f>
        <v>0.5</v>
      </c>
      <c r="N66" s="467" t="s">
        <v>3002</v>
      </c>
      <c r="Z66" s="1432"/>
      <c r="AI66" s="1242"/>
    </row>
    <row r="67" spans="1:35" ht="14.25" hidden="1" customHeight="1">
      <c r="A67" s="533" t="s">
        <v>1893</v>
      </c>
      <c r="B67" s="534" t="s">
        <v>315</v>
      </c>
      <c r="C67" s="537">
        <f ca="1">C63-C66</f>
        <v>31330</v>
      </c>
      <c r="D67" s="530" t="s">
        <v>167</v>
      </c>
      <c r="E67" s="531"/>
      <c r="F67" s="2281"/>
      <c r="G67" s="2281"/>
      <c r="H67" s="2282"/>
      <c r="I67" s="2276"/>
      <c r="J67" s="3481"/>
      <c r="K67" s="3261" t="s">
        <v>2997</v>
      </c>
      <c r="L67" s="3259">
        <f ca="1">IF(M49&gt;=10000,(8.25+(M49-10000)*0.01%),IF(AND(M49&gt;=8000,M49&lt;10000),(7.85+(M49-8000)*0.02%),IF(AND(M49&gt;=5000,M49&lt;8000),(6.65+(M49-5000)*0.04%),IF(AND(M49&gt;=2000,M49&lt;5000),(4.25+(PM49-2000)*0.08%),IF(AND(M49&gt;=1000,M49&lt;2000),(2.75+(M49-1000)*0.15%),IF(AND(M49&gt;=100,M49&lt;1000),(0.5+(M49-100)*0.25%),IF(AND(M49&gt;0,M49&lt;100),M49*0.5%)))))))</f>
        <v>10.5396</v>
      </c>
      <c r="M67" s="312">
        <f ca="1">ROUND(L67*0.9,1)</f>
        <v>9.5</v>
      </c>
      <c r="Z67" s="1432"/>
      <c r="AI67" s="1242"/>
    </row>
    <row r="68" spans="1:35" ht="14.25" hidden="1" customHeight="1" thickBot="1">
      <c r="A68" s="538" t="s">
        <v>1894</v>
      </c>
      <c r="B68" s="539" t="s">
        <v>316</v>
      </c>
      <c r="C68" s="540">
        <f ca="1">IF(C67&lt;=0,0,ROUND(C67*D68,0))</f>
        <v>1754</v>
      </c>
      <c r="D68" s="541">
        <f>'数据-取费表'!B41</f>
        <v>5.6000000000000001E-2</v>
      </c>
      <c r="E68" s="542"/>
      <c r="F68" s="2281"/>
      <c r="G68" s="2281"/>
      <c r="H68" s="2282"/>
      <c r="I68" s="2276"/>
      <c r="J68" s="3481"/>
      <c r="K68" s="3261" t="s">
        <v>2998</v>
      </c>
      <c r="L68" s="3259">
        <f ca="1">IF(M49&gt;10000,M49*0.5%,IF(AND(M49&gt;5000,M49&lt;=10000),M49*1%,IF(AND(M49&gt;1000,M49&lt;=5000),M49*2%,IF(AND(M49&gt;200,M49&lt;=1000),M49*3%,M49*5%))))</f>
        <v>164.48</v>
      </c>
      <c r="M68" s="312">
        <f ca="1">ROUND(L68,1)</f>
        <v>164.5</v>
      </c>
      <c r="Z68" s="1432"/>
      <c r="AI68" s="1242"/>
    </row>
    <row r="69" spans="1:35" s="1243" customFormat="1" ht="16.5" hidden="1" customHeight="1">
      <c r="A69" s="1257"/>
      <c r="B69" s="1258"/>
      <c r="C69" s="1259"/>
      <c r="D69" s="1260"/>
      <c r="E69" s="1261"/>
      <c r="F69" s="228"/>
      <c r="G69" s="228"/>
      <c r="H69" s="240"/>
      <c r="I69" s="1241"/>
      <c r="J69" s="3481"/>
      <c r="K69" s="3261" t="s">
        <v>187</v>
      </c>
      <c r="L69" s="3260"/>
      <c r="M69" s="312">
        <f ca="1">ROUND(SUM(M63:M68),0)</f>
        <v>536</v>
      </c>
      <c r="N69" s="3262">
        <f ca="1">M69/M49</f>
        <v>1.6293774319066149E-2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30" t="s">
        <v>317</v>
      </c>
      <c r="B70" s="3531"/>
      <c r="C70" s="3531"/>
      <c r="D70" s="3531"/>
      <c r="E70" s="3531"/>
      <c r="F70" s="3531"/>
      <c r="G70" s="3531"/>
      <c r="H70" s="3531"/>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20" t="s">
        <v>310</v>
      </c>
      <c r="B71" s="3521"/>
      <c r="C71" s="1916"/>
      <c r="D71" s="1916" t="s">
        <v>318</v>
      </c>
      <c r="E71" s="543" t="s">
        <v>319</v>
      </c>
      <c r="F71" s="544"/>
      <c r="G71" s="544"/>
      <c r="H71" s="545"/>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3" t="s">
        <v>1895</v>
      </c>
      <c r="B72" s="534" t="s">
        <v>320</v>
      </c>
      <c r="C72" s="537">
        <f ca="1">ROUND(D45/(1+'数据-取费表'!C42),0)</f>
        <v>31330</v>
      </c>
      <c r="D72" s="530" t="s">
        <v>167</v>
      </c>
      <c r="E72" s="1919"/>
      <c r="F72" s="1920"/>
      <c r="G72" s="1920"/>
      <c r="H72" s="546"/>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3" t="s">
        <v>1892</v>
      </c>
      <c r="B73" s="503" t="s">
        <v>321</v>
      </c>
      <c r="C73" s="537">
        <f ca="1">C74+C78</f>
        <v>188</v>
      </c>
      <c r="D73" s="530" t="s">
        <v>167</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7" t="s">
        <v>1896</v>
      </c>
      <c r="B74" s="528" t="s">
        <v>322</v>
      </c>
      <c r="C74" s="530">
        <f>ROUND(IF(G77="2016年5月1日后购买",C75/(1+'数据-取费表'!C42)+C76+C77,C75+C76+C77),0)</f>
        <v>0</v>
      </c>
      <c r="D74" s="530" t="s">
        <v>167</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7" t="s">
        <v>1897</v>
      </c>
      <c r="B75" s="528" t="s">
        <v>323</v>
      </c>
      <c r="C75" s="548"/>
      <c r="D75" s="530" t="s">
        <v>167</v>
      </c>
      <c r="E75" s="549" t="s">
        <v>324</v>
      </c>
      <c r="F75" s="1425" t="s">
        <v>2415</v>
      </c>
      <c r="G75" s="549" t="s">
        <v>795</v>
      </c>
      <c r="H75" s="550"/>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7" t="s">
        <v>1899</v>
      </c>
      <c r="B76" s="551" t="s">
        <v>325</v>
      </c>
      <c r="C76" s="530">
        <f>IF(F75="购房发票",ROUND(C75*H75*D76,0),0)</f>
        <v>0</v>
      </c>
      <c r="D76" s="552">
        <v>0.05</v>
      </c>
      <c r="E76" s="3527" t="s">
        <v>326</v>
      </c>
      <c r="F76" s="3526"/>
      <c r="G76" s="3526"/>
      <c r="H76" s="3529"/>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7" t="s">
        <v>1900</v>
      </c>
      <c r="B77" s="528" t="s">
        <v>327</v>
      </c>
      <c r="C77" s="530">
        <f>ROUND(IF(G77="个人住宅",0,IF(G77="2016年5月1日前购买",C75*D77,C75*D77/(1+'数据-取费表'!C42))),0)</f>
        <v>0</v>
      </c>
      <c r="D77" s="553">
        <f>'数据-取费表'!B48+'数据-取费表'!B49</f>
        <v>3.0499999999999999E-2</v>
      </c>
      <c r="E77" s="302" t="s">
        <v>796</v>
      </c>
      <c r="F77" s="554"/>
      <c r="G77" s="1426" t="s">
        <v>2506</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7" t="s">
        <v>1898</v>
      </c>
      <c r="B78" s="528" t="s">
        <v>328</v>
      </c>
      <c r="C78" s="555">
        <f ca="1">ROUND(D45*D78/(1+'数据-取费表'!C42),0)</f>
        <v>188</v>
      </c>
      <c r="D78" s="556">
        <f>'数据-取费表'!B43</f>
        <v>6.000000000000001E-3</v>
      </c>
      <c r="E78" s="3522" t="s">
        <v>2507</v>
      </c>
      <c r="F78" s="3518"/>
      <c r="G78" s="3518"/>
      <c r="H78" s="351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1901</v>
      </c>
      <c r="B79" s="534" t="s">
        <v>329</v>
      </c>
      <c r="C79" s="537">
        <f ca="1">C72-C73</f>
        <v>31142</v>
      </c>
      <c r="D79" s="530" t="s">
        <v>167</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1902</v>
      </c>
      <c r="B80" s="534" t="s">
        <v>330</v>
      </c>
      <c r="C80" s="557">
        <f ca="1">IF(C79&lt;=0,0,C79/C73)</f>
        <v>165.64893617021278</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1903</v>
      </c>
      <c r="B81" s="539" t="s">
        <v>331</v>
      </c>
      <c r="C81" s="558">
        <f ca="1">ROUND(IF(C79&lt;=0,0,IF(C80&gt;=200%,C79*60%-C73*35%,IF(C80&gt;=100%,C79*50%-C73*15%,IF(C80&gt;=50%,C79*40%-C73*5%,IF(C80&lt;50%,C79*30%,0))))),0)</f>
        <v>18619</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3"/>
      <c r="D82" s="293"/>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30" t="s">
        <v>332</v>
      </c>
      <c r="B83" s="3531"/>
      <c r="C83" s="3531"/>
      <c r="D83" s="3531"/>
      <c r="E83" s="3531"/>
      <c r="F83" s="3531"/>
      <c r="G83" s="3531"/>
      <c r="H83" s="3531"/>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20" t="s">
        <v>310</v>
      </c>
      <c r="B84" s="3521"/>
      <c r="C84" s="1916"/>
      <c r="D84" s="1916" t="s">
        <v>318</v>
      </c>
      <c r="E84" s="543" t="s">
        <v>319</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3" t="s">
        <v>1895</v>
      </c>
      <c r="B85" s="534" t="s">
        <v>320</v>
      </c>
      <c r="C85" s="537">
        <f ca="1">ROUND(D45/(1+'数据-取费表'!C42),0)</f>
        <v>31330</v>
      </c>
      <c r="D85" s="530" t="s">
        <v>167</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3" t="s">
        <v>1892</v>
      </c>
      <c r="B86" s="503" t="s">
        <v>321</v>
      </c>
      <c r="C86" s="537">
        <f ca="1">IF(H88="仅含出让金",C87+C90+C91+C92+C93+C94,C87+C91+C92+C93+C94)</f>
        <v>188</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7" t="s">
        <v>1896</v>
      </c>
      <c r="B87" s="528" t="s">
        <v>333</v>
      </c>
      <c r="C87" s="555">
        <f>C88+C89</f>
        <v>0</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7" t="s">
        <v>1897</v>
      </c>
      <c r="B88" s="528" t="s">
        <v>334</v>
      </c>
      <c r="C88" s="566"/>
      <c r="D88" s="556"/>
      <c r="E88" s="567" t="s">
        <v>335</v>
      </c>
      <c r="F88" s="1915"/>
      <c r="G88" s="568"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7" t="s">
        <v>1899</v>
      </c>
      <c r="B89" s="528" t="s">
        <v>327</v>
      </c>
      <c r="C89" s="555">
        <f>ROUND(C88*D89,0)</f>
        <v>0</v>
      </c>
      <c r="D89" s="556">
        <f>'数据-取费表'!B48+'数据-取费表'!B49</f>
        <v>3.0499999999999999E-2</v>
      </c>
      <c r="E89" s="567"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7" t="s">
        <v>1898</v>
      </c>
      <c r="B90" s="528" t="s">
        <v>338</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1904</v>
      </c>
      <c r="B91" s="528" t="s">
        <v>339</v>
      </c>
      <c r="C91" s="555">
        <f>IF(H91="——",成本法!C33,I91)</f>
        <v>0</v>
      </c>
      <c r="D91" s="556"/>
      <c r="E91" s="3517" t="s">
        <v>797</v>
      </c>
      <c r="F91" s="3518"/>
      <c r="G91" s="3518"/>
      <c r="H91" s="1428" t="s">
        <v>2316</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1905</v>
      </c>
      <c r="B92" s="528" t="s">
        <v>340</v>
      </c>
      <c r="C92" s="555">
        <f>ROUND((C87+C90+C91)*D92,0)</f>
        <v>0</v>
      </c>
      <c r="D92" s="556">
        <v>0.1</v>
      </c>
      <c r="E92" s="3517" t="s">
        <v>341</v>
      </c>
      <c r="F92" s="3518"/>
      <c r="G92" s="3518"/>
      <c r="H92" s="351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1906</v>
      </c>
      <c r="B93" s="528" t="s">
        <v>328</v>
      </c>
      <c r="C93" s="555">
        <f ca="1">ROUND(D45*D93/(1+'数据-取费表'!C42),0)</f>
        <v>188</v>
      </c>
      <c r="D93" s="556">
        <f>'数据-取费表'!B43</f>
        <v>6.000000000000001E-3</v>
      </c>
      <c r="E93" s="3522" t="s">
        <v>2507</v>
      </c>
      <c r="F93" s="3518"/>
      <c r="G93" s="3518"/>
      <c r="H93" s="351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1907</v>
      </c>
      <c r="B94" s="528" t="s">
        <v>342</v>
      </c>
      <c r="C94" s="566">
        <f>ROUND((C87+C90+C91)*D94,0)</f>
        <v>0</v>
      </c>
      <c r="D94" s="556">
        <v>0.2</v>
      </c>
      <c r="E94" s="3570" t="s">
        <v>3054</v>
      </c>
      <c r="F94" s="3571"/>
      <c r="G94" s="3571"/>
      <c r="H94" s="357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1901</v>
      </c>
      <c r="B95" s="534" t="s">
        <v>329</v>
      </c>
      <c r="C95" s="537">
        <f ca="1">ROUND(C85-C86,0)</f>
        <v>31142</v>
      </c>
      <c r="D95" s="530" t="s">
        <v>167</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1902</v>
      </c>
      <c r="B96" s="534" t="s">
        <v>330</v>
      </c>
      <c r="C96" s="557">
        <f ca="1">IF(C95&lt;=0,0,C95/C86)</f>
        <v>165.64893617021278</v>
      </c>
      <c r="D96" s="530"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1903</v>
      </c>
      <c r="B97" s="539" t="s">
        <v>331</v>
      </c>
      <c r="C97" s="558">
        <f ca="1">ROUND(IF(C95&lt;=0,0,IF(C96&gt;=200%,C95*60%-C86*35%,IF(C96&gt;=100%,C95*50%-C86*15%,IF(C96&gt;=50%,C95*40%-C86*5%,IF(C96&lt;50%,C95*30%,0))))),0)</f>
        <v>18619</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hidden="1" customHeight="1">
      <c r="A98" s="1256"/>
      <c r="B98" s="1241"/>
      <c r="C98" s="1241"/>
      <c r="D98" s="1241"/>
      <c r="E98" s="228"/>
      <c r="F98" s="228"/>
      <c r="G98" s="228"/>
      <c r="H98" s="240"/>
      <c r="I98" s="2276"/>
    </row>
    <row r="99" spans="1:35" ht="21.75" hidden="1" customHeight="1" thickBot="1">
      <c r="A99" s="1250" t="s">
        <v>227</v>
      </c>
      <c r="B99" s="1241"/>
      <c r="C99" s="1241"/>
      <c r="D99" s="1241"/>
      <c r="E99" s="228"/>
      <c r="F99" s="228"/>
      <c r="G99" s="228"/>
      <c r="H99" s="240"/>
      <c r="I99" s="2276"/>
    </row>
    <row r="100" spans="1:35" ht="18.75" hidden="1" customHeight="1">
      <c r="A100" s="3465" t="s">
        <v>228</v>
      </c>
      <c r="B100" s="3466"/>
      <c r="C100" s="3466"/>
      <c r="D100" s="3500"/>
      <c r="E100" s="3466" t="s">
        <v>2905</v>
      </c>
      <c r="F100" s="3466"/>
      <c r="G100" s="3466"/>
      <c r="H100" s="3500"/>
      <c r="I100" s="2276"/>
    </row>
    <row r="101" spans="1:35" ht="18.75" hidden="1" customHeight="1">
      <c r="A101" s="3508" t="s">
        <v>206</v>
      </c>
      <c r="B101" s="3509"/>
      <c r="C101" s="1264" t="str">
        <f>C4</f>
        <v>成本法</v>
      </c>
      <c r="D101" s="1265" t="str">
        <f>D4</f>
        <v>假设开发法</v>
      </c>
      <c r="E101" s="3477" t="s">
        <v>1909</v>
      </c>
      <c r="F101" s="3478"/>
      <c r="G101" s="1266" t="s">
        <v>208</v>
      </c>
      <c r="H101" s="1984">
        <f ca="1">H118</f>
        <v>32896</v>
      </c>
      <c r="I101" s="2276"/>
    </row>
    <row r="102" spans="1:35" ht="18.75" hidden="1" customHeight="1">
      <c r="A102" s="3510" t="s">
        <v>207</v>
      </c>
      <c r="B102" s="1266" t="s">
        <v>208</v>
      </c>
      <c r="C102" s="1233">
        <f ca="1">C19</f>
        <v>25386</v>
      </c>
      <c r="D102" s="1234">
        <f ca="1">D19</f>
        <v>37902</v>
      </c>
      <c r="E102" s="3477"/>
      <c r="F102" s="3478"/>
      <c r="G102" s="1266" t="s">
        <v>209</v>
      </c>
      <c r="H102" s="709">
        <f ca="1">I118</f>
        <v>5267</v>
      </c>
      <c r="I102" s="2276"/>
    </row>
    <row r="103" spans="1:35" ht="42.75" hidden="1" customHeight="1">
      <c r="A103" s="3510"/>
      <c r="B103" s="1266" t="s">
        <v>209</v>
      </c>
      <c r="C103" s="1235">
        <f ca="1">C20</f>
        <v>4064</v>
      </c>
      <c r="D103" s="1236">
        <f ca="1">D20</f>
        <v>6068</v>
      </c>
      <c r="E103" s="3471" t="s">
        <v>3015</v>
      </c>
      <c r="F103" s="3472"/>
      <c r="G103" s="1267" t="s">
        <v>211</v>
      </c>
      <c r="H103" s="1984">
        <f>IF(D36="正常操作",H104+H105+H106,H105+H106)</f>
        <v>0</v>
      </c>
      <c r="I103" s="2276"/>
    </row>
    <row r="104" spans="1:35" ht="18.75" hidden="1" customHeight="1">
      <c r="A104" s="3510" t="s">
        <v>210</v>
      </c>
      <c r="B104" s="1268" t="s">
        <v>208</v>
      </c>
      <c r="C104" s="1237">
        <f ca="1">H118</f>
        <v>32896</v>
      </c>
      <c r="D104" s="1238"/>
      <c r="E104" s="13" t="s">
        <v>1908</v>
      </c>
      <c r="F104" s="6"/>
      <c r="G104" s="1267" t="s">
        <v>211</v>
      </c>
      <c r="H104" s="1985">
        <f>IF(D36="同一抵押权人同一抵押物续贷",C36&amp;"（未扣减，详见特别提示）",C36)</f>
        <v>0</v>
      </c>
      <c r="I104" s="2276"/>
    </row>
    <row r="105" spans="1:35" ht="18.75" hidden="1" customHeight="1" thickBot="1">
      <c r="A105" s="3524"/>
      <c r="B105" s="1269" t="s">
        <v>209</v>
      </c>
      <c r="C105" s="1239">
        <f ca="1">I118</f>
        <v>5267</v>
      </c>
      <c r="D105" s="1240"/>
      <c r="E105" s="13" t="s">
        <v>1910</v>
      </c>
      <c r="F105" s="6"/>
      <c r="G105" s="1267" t="s">
        <v>211</v>
      </c>
      <c r="H105" s="1985">
        <f>C37</f>
        <v>0</v>
      </c>
      <c r="I105" s="2276"/>
    </row>
    <row r="106" spans="1:35" ht="18.75" hidden="1" customHeight="1">
      <c r="A106" s="1241" t="s">
        <v>2006</v>
      </c>
      <c r="B106" s="1241"/>
      <c r="C106" s="1241"/>
      <c r="D106" s="1241"/>
      <c r="E106" s="465" t="s">
        <v>1911</v>
      </c>
      <c r="F106" s="6"/>
      <c r="G106" s="1267" t="s">
        <v>211</v>
      </c>
      <c r="H106" s="1985">
        <f>C38</f>
        <v>0</v>
      </c>
      <c r="I106" s="2276"/>
    </row>
    <row r="107" spans="1:35" ht="18.75" hidden="1" customHeight="1">
      <c r="A107" s="2276"/>
      <c r="B107" s="2276"/>
      <c r="C107" s="2276"/>
      <c r="D107" s="2276"/>
      <c r="E107" s="3512" t="str">
        <f>IF(项目基本情况!E8="已注销","——","3.房地产抵押价值")</f>
        <v>3.房地产抵押价值</v>
      </c>
      <c r="F107" s="3478"/>
      <c r="G107" s="1266" t="s">
        <v>208</v>
      </c>
      <c r="H107" s="1984">
        <f ca="1">IF(E107="——","——",H101-H103)</f>
        <v>32896</v>
      </c>
      <c r="I107" s="2276"/>
    </row>
    <row r="108" spans="1:35" ht="18.75" hidden="1" customHeight="1">
      <c r="A108" s="2276"/>
      <c r="B108" s="2276"/>
      <c r="C108" s="2276"/>
      <c r="D108" s="2276"/>
      <c r="E108" s="3512"/>
      <c r="F108" s="3478"/>
      <c r="G108" s="1266" t="s">
        <v>209</v>
      </c>
      <c r="H108" s="709">
        <f ca="1">ROUND(H107*10000/'数据-汇总表'!E3,0)</f>
        <v>5267</v>
      </c>
      <c r="I108" s="2276"/>
    </row>
    <row r="109" spans="1:35" ht="18.75" hidden="1" customHeight="1">
      <c r="A109" s="2276"/>
      <c r="B109" s="2276"/>
      <c r="C109" s="2276"/>
      <c r="D109" s="2276"/>
      <c r="E109" s="3512" t="str">
        <f>IF(项目基本情况!E8="已注销及未注销","4.抵押担保权已注销时的房地产抵押价值",IF(项目基本情况!E8="已注销","3.抵押担保权已注销时的房地产抵押价值","——"))</f>
        <v>——</v>
      </c>
      <c r="F109" s="3478"/>
      <c r="G109" s="1266" t="s">
        <v>208</v>
      </c>
      <c r="H109" s="683" t="str">
        <f>IF(E109="——","——",H101-H105-H106)</f>
        <v>——</v>
      </c>
      <c r="I109" s="2276"/>
    </row>
    <row r="110" spans="1:35" ht="18.75" hidden="1" customHeight="1">
      <c r="A110" s="2276"/>
      <c r="B110" s="2276"/>
      <c r="C110" s="2276"/>
      <c r="D110" s="2276"/>
      <c r="E110" s="3512"/>
      <c r="F110" s="3478"/>
      <c r="G110" s="1266" t="s">
        <v>209</v>
      </c>
      <c r="H110" s="709" t="str">
        <f>IF(H109="——","——",ROUND(H109*10000/'数据-汇总表'!E3,0))</f>
        <v>——</v>
      </c>
      <c r="I110" s="2276"/>
    </row>
    <row r="111" spans="1:35" ht="18.75" hidden="1" customHeight="1">
      <c r="A111" s="2276"/>
      <c r="B111" s="2276"/>
      <c r="C111" s="2276"/>
      <c r="D111" s="2276"/>
      <c r="E111" s="3513" t="str">
        <f>IF(项目基本情况!E9="抵押净值",IF(OR(项目基本情况!E8="已注销",项目基本情况!E8="房地产抵押价值"),"4.抵押净值","5.抵押净值"),"——")</f>
        <v>——</v>
      </c>
      <c r="F111" s="3514"/>
      <c r="G111" s="1266" t="s">
        <v>208</v>
      </c>
      <c r="H111" s="1984" t="str">
        <f>IF(E111="——","——",N59)</f>
        <v>——</v>
      </c>
      <c r="I111" s="2276"/>
    </row>
    <row r="112" spans="1:35" ht="18.75" hidden="1" customHeight="1" thickBot="1">
      <c r="A112" s="2276"/>
      <c r="B112" s="2276"/>
      <c r="C112" s="2276"/>
      <c r="D112" s="2276"/>
      <c r="E112" s="3515"/>
      <c r="F112" s="3516"/>
      <c r="G112" s="1270" t="s">
        <v>209</v>
      </c>
      <c r="H112" s="1421" t="str">
        <f>IF(E111="——","——",N61)</f>
        <v>——</v>
      </c>
      <c r="I112" s="2276"/>
    </row>
    <row r="113" spans="1:11" ht="18.75" hidden="1" customHeight="1">
      <c r="A113" s="2276"/>
      <c r="B113" s="2276"/>
      <c r="C113" s="2276"/>
      <c r="D113" s="2276"/>
      <c r="E113" s="3525" t="s">
        <v>2006</v>
      </c>
      <c r="F113" s="3525"/>
      <c r="G113" s="3525"/>
      <c r="H113" s="3525"/>
      <c r="I113" s="2276"/>
    </row>
    <row r="114" spans="1:11" ht="3.75" customHeight="1">
      <c r="A114" s="1241"/>
      <c r="B114" s="1241"/>
      <c r="C114" s="1241"/>
      <c r="D114" s="1241"/>
      <c r="E114" s="1256"/>
      <c r="F114" s="1256"/>
      <c r="G114" s="1256"/>
      <c r="H114" s="1256"/>
      <c r="I114" s="1241"/>
    </row>
    <row r="115" spans="1:11" ht="18.75" customHeight="1">
      <c r="A115" s="3538" t="s">
        <v>224</v>
      </c>
      <c r="B115" s="3539"/>
      <c r="C115" s="3539"/>
      <c r="D115" s="3539"/>
      <c r="E115" s="3539"/>
      <c r="F115" s="3539"/>
      <c r="G115" s="3539"/>
      <c r="H115" s="3539"/>
      <c r="I115" s="3540"/>
    </row>
    <row r="116" spans="1:11" ht="27" customHeight="1">
      <c r="A116" s="3445" t="s">
        <v>5</v>
      </c>
      <c r="B116" s="3487" t="s">
        <v>786</v>
      </c>
      <c r="C116" s="3487" t="s">
        <v>787</v>
      </c>
      <c r="D116" s="3496" t="s">
        <v>204</v>
      </c>
      <c r="E116" s="3497"/>
      <c r="F116" s="3534" t="s">
        <v>2384</v>
      </c>
      <c r="G116" s="3534"/>
      <c r="H116" s="3445" t="s">
        <v>6</v>
      </c>
      <c r="I116" s="3445"/>
    </row>
    <row r="117" spans="1:11" ht="18.75" customHeight="1">
      <c r="A117" s="3445"/>
      <c r="B117" s="3488"/>
      <c r="C117" s="3488"/>
      <c r="D117" s="1913" t="s">
        <v>7</v>
      </c>
      <c r="E117" s="1913" t="s">
        <v>788</v>
      </c>
      <c r="F117" s="1913" t="s">
        <v>7</v>
      </c>
      <c r="G117" s="1913" t="s">
        <v>8</v>
      </c>
      <c r="H117" s="1913" t="s">
        <v>7</v>
      </c>
      <c r="I117" s="1913" t="s">
        <v>8</v>
      </c>
    </row>
    <row r="118" spans="1:11" ht="24.75" customHeight="1">
      <c r="A118" s="2031" t="str">
        <f>项目基本情况!S2</f>
        <v>陕西省西安市西安曲江新区南三环以北、公园南路以西出让国有建设用地使用权及在建建筑物房地产</v>
      </c>
      <c r="B118" s="1918">
        <f>M18</f>
        <v>62458.42</v>
      </c>
      <c r="C118" s="1918">
        <f>M19</f>
        <v>14746.3</v>
      </c>
      <c r="D118" s="1918" t="e">
        <f ca="1">ROUND(IF(D32="总价",C34,E118*B118/10000),0)</f>
        <v>#REF!</v>
      </c>
      <c r="E118" s="1918" t="e">
        <f ca="1">ROUND(IF(C33="自定义",IF(D32="楼面单价",C34,D118*10000/B118),I118-G118),0)</f>
        <v>#REF!</v>
      </c>
      <c r="F118" s="1918" t="e">
        <f ca="1">ROUND(IF(D32="总价",C35,G118*B118/10000),0)</f>
        <v>#REF!</v>
      </c>
      <c r="G118" s="1918" t="e">
        <f ca="1">ROUND(IF(D32="楼面单价",C35,F118*10000/B118),0)</f>
        <v>#REF!</v>
      </c>
      <c r="H118" s="1918">
        <f ca="1">ROUND(IF(D32="总价",C32,I118*B118/10000),0)</f>
        <v>32896</v>
      </c>
      <c r="I118" s="1918">
        <f ca="1">ROUND(IF(D32="楼面单价",C32,H118*10000/B118),0)</f>
        <v>5267</v>
      </c>
    </row>
    <row r="119" spans="1:11" ht="18.75" customHeight="1">
      <c r="A119" s="3445" t="s">
        <v>9</v>
      </c>
      <c r="B119" s="3445"/>
      <c r="C119" s="3445"/>
      <c r="D119" s="3489" t="e">
        <f ca="1">NUMBERSTRING(INT(D118*10000),2)&amp;"元整"</f>
        <v>#REF!</v>
      </c>
      <c r="E119" s="3490"/>
      <c r="F119" s="3489" t="e">
        <f ca="1">NUMBERSTRING(INT(F118*10000),2)&amp;"元整"</f>
        <v>#REF!</v>
      </c>
      <c r="G119" s="3490"/>
      <c r="H119" s="3489" t="str">
        <f ca="1">NUMBERSTRING(INT(H118*10000),2)&amp;"元整"</f>
        <v>叁亿贰仟捌佰玖拾陆万元整</v>
      </c>
      <c r="I119" s="3490"/>
    </row>
    <row r="120" spans="1:11" ht="18.75" customHeight="1">
      <c r="A120" s="3491" t="str">
        <f>IF(项目基本情况!B9="房地产市场价值","",MID(E103,3,LEN(E103)-2))</f>
        <v>估价师知悉的法定优先受偿款</v>
      </c>
      <c r="B120" s="3492"/>
      <c r="C120" s="3493"/>
      <c r="D120" s="3484">
        <f>H103</f>
        <v>0</v>
      </c>
      <c r="E120" s="3485"/>
      <c r="F120" s="3485"/>
      <c r="G120" s="3485"/>
      <c r="H120" s="3485"/>
      <c r="I120" s="3486"/>
      <c r="K120" s="1432" t="str">
        <f>IF(D120=0,"故，本次评估不存在"&amp;A120,"故，本次评估"&amp;A120&amp;"为人民币"&amp;D120&amp;"万元整。")</f>
        <v>故，本次评估不存在估价师知悉的法定优先受偿款</v>
      </c>
    </row>
    <row r="121" spans="1:11" ht="18.75" customHeight="1">
      <c r="A121" s="3535" t="s">
        <v>9</v>
      </c>
      <c r="B121" s="3536"/>
      <c r="C121" s="3537"/>
      <c r="D121" s="3489" t="str">
        <f>IF(D120=0,"零元整",NUMBERSTRING(INT(D120*10000),2)&amp;"元整")</f>
        <v>零元整</v>
      </c>
      <c r="E121" s="3494"/>
      <c r="F121" s="3494"/>
      <c r="G121" s="3494"/>
      <c r="H121" s="3494"/>
      <c r="I121" s="3490"/>
    </row>
    <row r="122" spans="1:11" ht="18.75" customHeight="1">
      <c r="A122" s="3498" t="str">
        <f>IF(项目基本情况!B9="房地产市场价值","",MID(E107,3,LEN(E107)-2))</f>
        <v>房地产抵押价值</v>
      </c>
      <c r="B122" s="3498"/>
      <c r="C122" s="3498"/>
      <c r="D122" s="3484">
        <f ca="1">H107</f>
        <v>32896</v>
      </c>
      <c r="E122" s="3485"/>
      <c r="F122" s="3485"/>
      <c r="G122" s="3485"/>
      <c r="H122" s="3485"/>
      <c r="I122" s="3486"/>
    </row>
    <row r="123" spans="1:11" ht="18.75" customHeight="1">
      <c r="A123" s="3445" t="s">
        <v>9</v>
      </c>
      <c r="B123" s="3445"/>
      <c r="C123" s="3445"/>
      <c r="D123" s="3489" t="str">
        <f ca="1">NUMBERSTRING(INT(D122*10000),2)&amp;"元整"</f>
        <v>叁亿贰仟捌佰玖拾陆万元整</v>
      </c>
      <c r="E123" s="3494"/>
      <c r="F123" s="3494"/>
      <c r="G123" s="3494"/>
      <c r="H123" s="3494"/>
      <c r="I123" s="3490"/>
    </row>
    <row r="124" spans="1:11" ht="18.75" customHeight="1">
      <c r="A124" s="3498" t="str">
        <f>IF(项目基本情况!B9="房地产市场价值","",MID(E109,3,LEN(E109)-2))</f>
        <v/>
      </c>
      <c r="B124" s="3498"/>
      <c r="C124" s="3498"/>
      <c r="D124" s="3484" t="str">
        <f>H109</f>
        <v>——</v>
      </c>
      <c r="E124" s="3485"/>
      <c r="F124" s="3485"/>
      <c r="G124" s="3485"/>
      <c r="H124" s="3485"/>
      <c r="I124" s="3486"/>
    </row>
    <row r="125" spans="1:11" ht="18.75" customHeight="1">
      <c r="A125" s="3445" t="s">
        <v>9</v>
      </c>
      <c r="B125" s="3445"/>
      <c r="C125" s="3445"/>
      <c r="D125" s="3489" t="e">
        <f>NUMBERSTRING(INT(D124*10000),2)&amp;"元整"</f>
        <v>#VALUE!</v>
      </c>
      <c r="E125" s="3494"/>
      <c r="F125" s="3494"/>
      <c r="G125" s="3494"/>
      <c r="H125" s="3494"/>
      <c r="I125" s="3490"/>
    </row>
    <row r="126" spans="1:11" ht="18.75" customHeight="1">
      <c r="A126" s="3498" t="str">
        <f>IF(项目基本情况!B9="房地产市场价值","",MID(E111,3,LEN(E111)-2))</f>
        <v/>
      </c>
      <c r="B126" s="3498"/>
      <c r="C126" s="3498"/>
      <c r="D126" s="3484" t="str">
        <f>H111</f>
        <v>——</v>
      </c>
      <c r="E126" s="3485"/>
      <c r="F126" s="3485"/>
      <c r="G126" s="3485"/>
      <c r="H126" s="3485"/>
      <c r="I126" s="3486"/>
    </row>
    <row r="127" spans="1:11" ht="18.75" customHeight="1">
      <c r="A127" s="3445" t="s">
        <v>9</v>
      </c>
      <c r="B127" s="3445"/>
      <c r="C127" s="3445"/>
      <c r="D127" s="3489" t="e">
        <f>NUMBERSTRING(INT(D126*10000),2)&amp;"元整"</f>
        <v>#VALUE!</v>
      </c>
      <c r="E127" s="3494"/>
      <c r="F127" s="3494"/>
      <c r="G127" s="3494"/>
      <c r="H127" s="3494"/>
      <c r="I127" s="3490"/>
    </row>
    <row r="128" spans="1:11" ht="21.75" customHeight="1">
      <c r="A128" s="3495" t="s">
        <v>2005</v>
      </c>
      <c r="B128" s="3495"/>
      <c r="C128" s="3495"/>
      <c r="D128" s="3495"/>
      <c r="E128" s="3495"/>
      <c r="F128" s="3495"/>
      <c r="G128" s="3495"/>
      <c r="H128" s="3495"/>
      <c r="I128" s="3495"/>
    </row>
    <row r="129" spans="1:35" ht="21.75" customHeight="1">
      <c r="A129" s="2026" t="s">
        <v>789</v>
      </c>
      <c r="B129" s="2027"/>
      <c r="C129" s="466"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5" workbookViewId="0">
      <selection activeCell="D4" sqref="D4"/>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7</v>
      </c>
    </row>
    <row r="2" spans="1:9" s="574" customFormat="1" ht="18" customHeight="1">
      <c r="A2" s="575" t="s">
        <v>444</v>
      </c>
      <c r="B2" s="576">
        <f ca="1">IF(D2="——",C52,C52-E2)</f>
        <v>25386</v>
      </c>
      <c r="C2" s="85" t="s">
        <v>868</v>
      </c>
      <c r="D2" s="2868" t="s">
        <v>529</v>
      </c>
      <c r="E2" s="2866" t="e">
        <f ca="1">SUMIF(INDIRECT("'"&amp;G2&amp;"'"&amp;"!A:A"),"承租人权益价值",INDIRECT("'"&amp;G2&amp;"'"&amp;"!c:c"))</f>
        <v>#REF!</v>
      </c>
      <c r="F2" s="2864" t="s">
        <v>868</v>
      </c>
      <c r="G2" s="2867"/>
    </row>
    <row r="3" spans="1:9" s="574" customFormat="1" ht="18" customHeight="1" thickBot="1">
      <c r="A3" s="577" t="s">
        <v>445</v>
      </c>
      <c r="B3" s="578">
        <f ca="1">ROUND(B2*10000/(IF(B1="",'数据-汇总表'!E3,INDIRECT("'数据-取费表'!k"&amp;$G$1))),0)</f>
        <v>4064</v>
      </c>
      <c r="C3" s="85" t="s">
        <v>869</v>
      </c>
      <c r="D3" s="573"/>
      <c r="E3" s="573"/>
      <c r="F3" s="573"/>
      <c r="G3" s="573"/>
    </row>
    <row r="4" spans="1:9" s="582" customFormat="1" ht="15.75">
      <c r="A4" s="579" t="s">
        <v>821</v>
      </c>
      <c r="B4" s="580"/>
      <c r="C4" s="580"/>
      <c r="D4" s="580"/>
      <c r="E4" s="580"/>
      <c r="F4" s="580"/>
      <c r="G4" s="581"/>
    </row>
    <row r="5" spans="1:9" s="588" customFormat="1" ht="13.5" customHeight="1">
      <c r="A5" s="629" t="s">
        <v>2508</v>
      </c>
      <c r="B5" s="584" t="s">
        <v>822</v>
      </c>
      <c r="C5" s="585">
        <f ca="1">C6+C7+C8</f>
        <v>22615</v>
      </c>
      <c r="D5" s="585" t="s">
        <v>823</v>
      </c>
      <c r="E5" s="586" t="s">
        <v>824</v>
      </c>
      <c r="F5" s="586" t="s">
        <v>825</v>
      </c>
      <c r="G5" s="587"/>
    </row>
    <row r="6" spans="1:9" s="588" customFormat="1" ht="13.5" customHeight="1">
      <c r="A6" s="1802" t="s">
        <v>1921</v>
      </c>
      <c r="B6" s="589" t="s">
        <v>826</v>
      </c>
      <c r="C6" s="590">
        <f>'土地比较法-住宅'!F56</f>
        <v>20491</v>
      </c>
      <c r="D6" s="591"/>
      <c r="E6" s="592"/>
      <c r="F6" s="592"/>
      <c r="G6" s="593"/>
    </row>
    <row r="7" spans="1:9" s="588" customFormat="1" ht="13.5" customHeight="1">
      <c r="A7" s="1802" t="s">
        <v>1922</v>
      </c>
      <c r="B7" s="589" t="s">
        <v>345</v>
      </c>
      <c r="C7" s="594">
        <f>ROUND(C6*F7,0)</f>
        <v>625</v>
      </c>
      <c r="D7" s="594"/>
      <c r="E7" s="592"/>
      <c r="F7" s="595">
        <f>'数据-取费表'!B48+'数据-取费表'!B49</f>
        <v>3.0499999999999999E-2</v>
      </c>
      <c r="G7" s="593"/>
    </row>
    <row r="8" spans="1:9" s="597" customFormat="1">
      <c r="A8" s="1802" t="s">
        <v>1923</v>
      </c>
      <c r="B8" s="589" t="s">
        <v>827</v>
      </c>
      <c r="C8" s="594">
        <f ca="1">IF(G8="已包含在土地购买价格中","0",IF(B1="",'数据-取费表'!B29,IF(G9="全部缴纳",C9+C10,H9)))</f>
        <v>1499</v>
      </c>
      <c r="D8" s="596"/>
      <c r="E8" s="594"/>
      <c r="F8" s="595"/>
      <c r="G8" s="84" t="s">
        <v>3168</v>
      </c>
    </row>
    <row r="9" spans="1:9" s="588" customFormat="1" ht="13.5" customHeight="1">
      <c r="A9" s="1803" t="s">
        <v>1930</v>
      </c>
      <c r="B9" s="598" t="s">
        <v>828</v>
      </c>
      <c r="C9" s="599">
        <f ca="1">ROUND(D9*E9/10000,0)</f>
        <v>1455</v>
      </c>
      <c r="D9" s="1907">
        <f ca="1">IF(B1="",'数据-汇总表'!E5,IF(INDIRECT("'数据-取费表'!c"&amp;$G$1)="住宅",INDIRECT("'数据-取费表'!k"&amp;$G$1),0))</f>
        <v>60622.95</v>
      </c>
      <c r="E9" s="599">
        <f>'数据-取费表'!B27</f>
        <v>240</v>
      </c>
      <c r="F9" s="595"/>
      <c r="G9" s="2798"/>
      <c r="H9" s="2799"/>
      <c r="I9" s="2800" t="s">
        <v>2690</v>
      </c>
    </row>
    <row r="10" spans="1:9" s="588" customFormat="1" ht="13.5" customHeight="1">
      <c r="A10" s="1803" t="s">
        <v>1931</v>
      </c>
      <c r="B10" s="598" t="s">
        <v>829</v>
      </c>
      <c r="C10" s="599">
        <f ca="1">ROUND(D10*E10/10000,0)</f>
        <v>44</v>
      </c>
      <c r="D10" s="1907">
        <f ca="1">IF(B1="",'数据-汇总表'!E6,IF(INDIRECT("'数据-取费表'!c"&amp;$G$1)="住宅",INDIRECT("'数据-取费表'!s"&amp;$G$1),INDIRECT("'数据-取费表'!k"&amp;$G$1)+INDIRECT("'数据-取费表'!s"&amp;$G$1)))</f>
        <v>1835.4700000000012</v>
      </c>
      <c r="E10" s="599">
        <f>'数据-取费表'!B28</f>
        <v>240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t="str">
        <f>IF(G19="已包含在土地取得成本中","0",ROUND(D19*E19/10000,0))</f>
        <v>0</v>
      </c>
      <c r="D19" s="1911">
        <f ca="1">D9+D10</f>
        <v>62458.42</v>
      </c>
      <c r="E19" s="585">
        <f>'数据-取费表'!B31</f>
        <v>200</v>
      </c>
      <c r="F19" s="605"/>
      <c r="G19" s="84" t="s">
        <v>3167</v>
      </c>
    </row>
    <row r="20" spans="1:7" s="588" customFormat="1" ht="13.5" customHeight="1">
      <c r="A20" s="1801" t="s">
        <v>2511</v>
      </c>
      <c r="B20" s="584" t="s">
        <v>839</v>
      </c>
      <c r="C20" s="606">
        <f ca="1">ROUND((C5+C19)*F20,0)</f>
        <v>339</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106</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698">
        <f ca="1">ROUND(IF('数据-取费表'!B22&lt;=1,C5*F22*'数据-取费表'!B23,C5*(POWER((1+F22),'数据-取费表'!B23)-1)),0)</f>
        <v>105</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0</v>
      </c>
      <c r="D24" s="612"/>
      <c r="E24" s="612"/>
      <c r="F24" s="613"/>
      <c r="G24" s="614" t="s">
        <v>844</v>
      </c>
    </row>
    <row r="25" spans="1:7" s="588" customFormat="1" ht="24">
      <c r="A25" s="1804" t="s">
        <v>1923</v>
      </c>
      <c r="B25" s="589" t="s">
        <v>2512</v>
      </c>
      <c r="C25" s="2698">
        <f ca="1">ROUND(IF('数据-取费表'!B22&lt;=1,C20*F22*'数据-取费表'!B23/2,C20*(POWER((1+F22),'数据-取费表'!B23/2)-1)),0)</f>
        <v>1</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 ca="1">C28</f>
        <v>172</v>
      </c>
      <c r="D27" s="609">
        <f ca="1">C29</f>
        <v>2.0000000000000001E-4</v>
      </c>
      <c r="E27" s="610" t="s">
        <v>861</v>
      </c>
      <c r="F27" s="620">
        <f ca="1">IF(B1="",'数据-取费表'!Q16,INDIRECT("'数据-取费表'!q"&amp;$G$1))</f>
        <v>0.15</v>
      </c>
      <c r="G27" s="621" t="s">
        <v>2523</v>
      </c>
    </row>
    <row r="28" spans="1:7" s="588" customFormat="1" ht="13.5" customHeight="1">
      <c r="A28" s="1804" t="s">
        <v>1921</v>
      </c>
      <c r="B28" s="622" t="s">
        <v>2516</v>
      </c>
      <c r="C28" s="623">
        <f ca="1">ROUND((C5+C19+C20)*F27*'数据-取费表'!B21/'数据-取费表'!B20,0)</f>
        <v>172</v>
      </c>
      <c r="D28" s="609"/>
      <c r="E28" s="610"/>
      <c r="F28" s="620"/>
      <c r="G28" s="621"/>
    </row>
    <row r="29" spans="1:7" s="588" customFormat="1" ht="13.5" customHeight="1">
      <c r="A29" s="1804" t="s">
        <v>1922</v>
      </c>
      <c r="B29" s="622" t="s">
        <v>2517</v>
      </c>
      <c r="C29" s="612">
        <f ca="1">ROUND(C21*F27*'数据-取费表'!B21/'数据-取费表'!B20,4)</f>
        <v>2.0000000000000001E-4</v>
      </c>
      <c r="D29" s="609"/>
      <c r="E29" s="610"/>
      <c r="F29" s="620"/>
      <c r="G29" s="621"/>
    </row>
    <row r="30" spans="1:7" s="588" customFormat="1" ht="13.5" customHeight="1">
      <c r="A30" s="1801" t="s">
        <v>1918</v>
      </c>
      <c r="B30" s="584" t="s">
        <v>346</v>
      </c>
      <c r="C30" s="609">
        <f>ROUND(F30/(1+'数据-取费表'!C42),4)</f>
        <v>5.33E-2</v>
      </c>
      <c r="D30" s="610" t="s">
        <v>2942</v>
      </c>
      <c r="E30" s="615"/>
      <c r="F30" s="611">
        <f>'数据-取费表'!B41</f>
        <v>5.6000000000000001E-2</v>
      </c>
      <c r="G30" s="2618" t="s">
        <v>2943</v>
      </c>
    </row>
    <row r="31" spans="1:7" ht="16.5" customHeight="1">
      <c r="A31" s="583">
        <v>1</v>
      </c>
      <c r="B31" s="584" t="s">
        <v>863</v>
      </c>
      <c r="C31" s="585">
        <f ca="1">ROUND((C5+C19+C20+C22+C27)/(1-C21-D22-D27-C30),0)</f>
        <v>25075</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245.3</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210</v>
      </c>
      <c r="D34" s="591"/>
      <c r="E34" s="594"/>
      <c r="F34" s="631">
        <f ca="1">IF('数据-取费表'!B24=0,1,IF(B1="",'数据-取费表'!N16,INDIRECT("'数据-取费表'!n"&amp;$G$1)))</f>
        <v>1.2999999999999999E-2</v>
      </c>
      <c r="G34" s="593" t="s">
        <v>851</v>
      </c>
    </row>
    <row r="35" spans="1:7" ht="13.5" customHeight="1">
      <c r="A35" s="1804" t="s">
        <v>1926</v>
      </c>
      <c r="B35" s="589" t="s">
        <v>348</v>
      </c>
      <c r="C35" s="594">
        <f ca="1">ROUND(C34*F35,0)</f>
        <v>6</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10.3</v>
      </c>
      <c r="D36" s="594"/>
      <c r="E36" s="594"/>
      <c r="F36" s="633">
        <f>'数据-取费表'!B34</f>
        <v>0.05</v>
      </c>
      <c r="G36" s="634" t="s">
        <v>350</v>
      </c>
    </row>
    <row r="37" spans="1:7" s="632" customFormat="1" ht="13.5" customHeight="1">
      <c r="A37" s="1804" t="s">
        <v>1928</v>
      </c>
      <c r="B37" s="589" t="s">
        <v>853</v>
      </c>
      <c r="C37" s="623">
        <f ca="1">ROUND(E37*D37*F34/10000,0)</f>
        <v>16</v>
      </c>
      <c r="D37" s="591">
        <f ca="1">D19</f>
        <v>62458.42</v>
      </c>
      <c r="E37" s="623">
        <f>'数据-取费表'!B35</f>
        <v>200</v>
      </c>
      <c r="F37" s="633"/>
      <c r="G37" s="635" t="s">
        <v>854</v>
      </c>
    </row>
    <row r="38" spans="1:7" ht="13.5" customHeight="1">
      <c r="A38" s="1804" t="s">
        <v>1929</v>
      </c>
      <c r="B38" s="589" t="s">
        <v>351</v>
      </c>
      <c r="C38" s="594">
        <f ca="1">ROUND(C34*F38,0)</f>
        <v>3</v>
      </c>
      <c r="D38" s="594"/>
      <c r="E38" s="594"/>
      <c r="F38" s="633">
        <f>'数据-取费表'!B36</f>
        <v>1.4999999999999999E-2</v>
      </c>
      <c r="G38" s="593" t="s">
        <v>852</v>
      </c>
    </row>
    <row r="39" spans="1:7" s="588" customFormat="1" ht="13.5" customHeight="1">
      <c r="A39" s="1801" t="s">
        <v>1913</v>
      </c>
      <c r="B39" s="584" t="s">
        <v>839</v>
      </c>
      <c r="C39" s="606">
        <f ca="1">ROUND(C33*F20,0)</f>
        <v>4</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1</v>
      </c>
      <c r="D41" s="609">
        <f ca="1">C44</f>
        <v>0</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ROUND(IF('数据-取费表'!B22&lt;=1,C33*F22*'数据-取费表'!B21/2,C33*(POWER((1+F22),'数据-取费表'!B21/2)-1)),0)</f>
        <v>1</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 ca="1">C46</f>
        <v>37</v>
      </c>
      <c r="D45" s="609">
        <f ca="1">C47</f>
        <v>3.0000000000000001E-3</v>
      </c>
      <c r="E45" s="610" t="s">
        <v>864</v>
      </c>
      <c r="F45" s="620"/>
      <c r="G45" s="621" t="s">
        <v>2526</v>
      </c>
    </row>
    <row r="46" spans="1:7" s="588" customFormat="1" ht="13.5" customHeight="1">
      <c r="A46" s="1804" t="s">
        <v>1921</v>
      </c>
      <c r="B46" s="622" t="s">
        <v>2519</v>
      </c>
      <c r="C46" s="623">
        <f ca="1">ROUND((C33+C39)*F27,0)</f>
        <v>37</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3231">
        <f>ROUND(F30/(1+'数据-取费表'!C42),4)</f>
        <v>5.33E-2</v>
      </c>
      <c r="D48" s="610" t="s">
        <v>2944</v>
      </c>
      <c r="E48" s="606"/>
      <c r="F48" s="611"/>
      <c r="G48" s="2618" t="s">
        <v>2945</v>
      </c>
    </row>
    <row r="49" spans="1:7" ht="16.5" customHeight="1">
      <c r="A49" s="1801" t="s">
        <v>1918</v>
      </c>
      <c r="B49" s="584" t="s">
        <v>866</v>
      </c>
      <c r="C49" s="606">
        <f ca="1">ROUND((C33+C39+C41+C45)/(1-C40-D41-D45-C48),0)</f>
        <v>311</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311</v>
      </c>
      <c r="D51" s="606"/>
      <c r="E51" s="606"/>
      <c r="F51" s="638"/>
      <c r="G51" s="608" t="s">
        <v>352</v>
      </c>
    </row>
    <row r="52" spans="1:7" s="582" customFormat="1" ht="16.5" thickBot="1">
      <c r="A52" s="639" t="s">
        <v>353</v>
      </c>
      <c r="B52" s="640"/>
      <c r="C52" s="641">
        <f ca="1">C31+C51</f>
        <v>25386</v>
      </c>
      <c r="D52" s="640"/>
      <c r="E52" s="640"/>
      <c r="F52" s="640"/>
      <c r="G52" s="642"/>
    </row>
    <row r="55" spans="1:7" ht="15">
      <c r="B55" s="644" t="s">
        <v>354</v>
      </c>
      <c r="C55" s="645"/>
    </row>
    <row r="56" spans="1:7">
      <c r="B56" s="2870" t="s">
        <v>2702</v>
      </c>
      <c r="C56" s="649">
        <f ca="1">1-C57</f>
        <v>0.98799999999999999</v>
      </c>
    </row>
    <row r="57" spans="1:7">
      <c r="B57" s="2870" t="s">
        <v>2701</v>
      </c>
      <c r="C57" s="648">
        <f ca="1">ROUND(C51/C52,3)</f>
        <v>1.2E-2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80" t="str">
        <f>项目基本情况!B1</f>
        <v>陕西省西安市西安曲江新区南三环以北、公园南路以西出让国有建设用地使用权及在建建筑物房地产抵押价值预评估</v>
      </c>
      <c r="C37" s="3380"/>
      <c r="D37" s="3380"/>
      <c r="E37" s="3380"/>
      <c r="F37" s="3380"/>
      <c r="G37" s="3380"/>
      <c r="H37" s="3380"/>
      <c r="I37" s="3380"/>
    </row>
    <row r="38" spans="1:9">
      <c r="A38" s="1888"/>
      <c r="B38" s="1888"/>
    </row>
    <row r="39" spans="1:9">
      <c r="A39" s="1886" t="s">
        <v>1962</v>
      </c>
      <c r="B39" s="1886" t="s">
        <v>1964</v>
      </c>
    </row>
    <row r="40" spans="1:9">
      <c r="A40" s="1886"/>
      <c r="B40" s="1886" t="str">
        <f>项目基本情况!B5</f>
        <v>西安绿德置业有限公司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王鹏（注册号：1120050019)、郑燚（注册号：1120070131)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2632</v>
      </c>
      <c r="D1" s="572"/>
      <c r="E1" s="572"/>
      <c r="F1" s="572"/>
      <c r="G1" s="2751">
        <f>MATCH(B1,'数据-取费表'!A6:A16,0)+5</f>
        <v>7</v>
      </c>
      <c r="H1" s="2582" t="str">
        <f>IF(ISERROR(FIND("住宅",B1)),"非住宅","住宅")</f>
        <v>非住宅</v>
      </c>
    </row>
    <row r="2" spans="1:8" s="574" customFormat="1" ht="18" customHeight="1">
      <c r="A2" s="575" t="s">
        <v>343</v>
      </c>
      <c r="B2" s="576">
        <f ca="1">ROUND(IF(D2="——",C52/10000,C52/10000-E2),0)</f>
        <v>28655</v>
      </c>
      <c r="C2" s="85" t="s">
        <v>868</v>
      </c>
      <c r="D2" s="2868" t="s">
        <v>529</v>
      </c>
      <c r="E2" s="2866" t="e">
        <f ca="1">SUMIF(INDIRECT("'"&amp;G2&amp;"'"&amp;"!A:A"),"承租人权益价值",INDIRECT("'"&amp;G2&amp;"'"&amp;"!c:c"))</f>
        <v>#REF!</v>
      </c>
      <c r="F2" s="2864" t="s">
        <v>868</v>
      </c>
      <c r="G2" s="2867"/>
    </row>
    <row r="3" spans="1:8" s="574" customFormat="1" ht="18" customHeight="1" thickBot="1">
      <c r="A3" s="577" t="s">
        <v>344</v>
      </c>
      <c r="B3" s="578">
        <f ca="1">ROUND(B2*10000/(IF(B1="",'数据-汇总表'!E3,INDIRECT("'数据-取费表'!k"&amp;$G$1))),0)</f>
        <v>4588</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14990021</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14990021</v>
      </c>
      <c r="D8" s="596"/>
      <c r="E8" s="594"/>
      <c r="F8" s="595"/>
      <c r="G8" s="84"/>
    </row>
    <row r="9" spans="1:8" s="588" customFormat="1" ht="13.5" customHeight="1">
      <c r="A9" s="1803" t="s">
        <v>1930</v>
      </c>
      <c r="B9" s="598" t="s">
        <v>828</v>
      </c>
      <c r="C9" s="599">
        <f ca="1">ROUND(D9*E9,0)</f>
        <v>14549508</v>
      </c>
      <c r="D9" s="1907">
        <f ca="1">IF(B1="",'数据-汇总表'!E5,IF(INDIRECT("'数据-取费表'!c"&amp;$G$1)="住宅",INDIRECT("'数据-取费表'!k"&amp;$G$1),0))</f>
        <v>60622.95</v>
      </c>
      <c r="E9" s="599">
        <f>'数据-取费表'!B27</f>
        <v>240</v>
      </c>
      <c r="F9" s="595"/>
      <c r="G9" s="600"/>
    </row>
    <row r="10" spans="1:8" s="588" customFormat="1" ht="13.5" customHeight="1">
      <c r="A10" s="1803" t="s">
        <v>1931</v>
      </c>
      <c r="B10" s="598" t="s">
        <v>829</v>
      </c>
      <c r="C10" s="599">
        <f ca="1">ROUND(D10*E10,0)</f>
        <v>440513</v>
      </c>
      <c r="D10" s="1907">
        <f ca="1">IF(B1="",'数据-汇总表'!E6,IF(INDIRECT("'数据-取费表'!c"&amp;$G$1)="住宅",INDIRECT("'数据-取费表'!s"&amp;$G$1),INDIRECT("'数据-取费表'!k"&amp;$G$1)+INDIRECT("'数据-取费表'!s"&amp;$G$1)))</f>
        <v>1835.4700000000012</v>
      </c>
      <c r="E10" s="599">
        <f>'数据-取费表'!B28</f>
        <v>240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12491684</v>
      </c>
      <c r="D19" s="1911">
        <f ca="1">D9+D10</f>
        <v>62458.42</v>
      </c>
      <c r="E19" s="585">
        <f>'数据-取费表'!B31</f>
        <v>200</v>
      </c>
      <c r="F19" s="605"/>
      <c r="G19" s="84"/>
    </row>
    <row r="20" spans="1:7" s="588" customFormat="1" ht="13.5" customHeight="1">
      <c r="A20" s="1801" t="s">
        <v>1914</v>
      </c>
      <c r="B20" s="584" t="s">
        <v>839</v>
      </c>
      <c r="C20" s="606">
        <f ca="1">ROUND((C5+C19)*F20,0)</f>
        <v>412226</v>
      </c>
      <c r="D20" s="606"/>
      <c r="E20" s="606"/>
      <c r="F20" s="607">
        <f>'数据-取费表'!B37</f>
        <v>1.4999999999999999E-2</v>
      </c>
      <c r="G20" s="2618" t="s">
        <v>2522</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2692348</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753">
        <f ca="1">ROUND(IF('数据-取费表'!B22&lt;=1,C5*F22*'数据-取费表'!B22,C5*(POWER((1+F22),'数据-取费表'!B22)-1)),0)</f>
        <v>1457873</v>
      </c>
      <c r="D23" s="612"/>
      <c r="E23" s="612"/>
      <c r="F23" s="613"/>
      <c r="G23" s="614" t="s">
        <v>843</v>
      </c>
    </row>
    <row r="24" spans="1:7" s="588" customFormat="1" ht="13.5" customHeight="1">
      <c r="A24" s="1804" t="s">
        <v>1922</v>
      </c>
      <c r="B24" s="589" t="s">
        <v>2510</v>
      </c>
      <c r="C24" s="2753">
        <f ca="1">ROUND(IF('数据-取费表'!B22&lt;=1,C19*F22*('数据-取费表'!B19/2+'数据-取费表'!B20),C19*(POWER((1+F22),('数据-取费表'!B19/2+'数据-取费表'!B20))-1)),0)</f>
        <v>1214894</v>
      </c>
      <c r="D24" s="612"/>
      <c r="E24" s="612"/>
      <c r="F24" s="613"/>
      <c r="G24" s="614" t="s">
        <v>844</v>
      </c>
    </row>
    <row r="25" spans="1:7" s="588" customFormat="1" ht="24">
      <c r="A25" s="1804" t="s">
        <v>1923</v>
      </c>
      <c r="B25" s="589" t="s">
        <v>2512</v>
      </c>
      <c r="C25" s="2753">
        <f ca="1">ROUND(IF('数据-取费表'!B22&lt;=1,C20*F22*'数据-取费表'!B22/2,C20*(POWER((1+F22),'数据-取费表'!B22/2)-1)),0)</f>
        <v>19581</v>
      </c>
      <c r="D25" s="612"/>
      <c r="E25" s="615"/>
      <c r="F25" s="613"/>
      <c r="G25" s="616" t="s">
        <v>845</v>
      </c>
    </row>
    <row r="26" spans="1:7" s="588" customFormat="1">
      <c r="A26" s="1804" t="s">
        <v>1925</v>
      </c>
      <c r="B26" s="589" t="s">
        <v>2514</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4184090</v>
      </c>
      <c r="D27" s="609">
        <f ca="1">C29</f>
        <v>3.0000000000000001E-3</v>
      </c>
      <c r="E27" s="610" t="s">
        <v>861</v>
      </c>
      <c r="F27" s="620">
        <f ca="1">IF(B1="",'数据-取费表'!Q16,INDIRECT("'数据-取费表'!q"&amp;$G$1))</f>
        <v>0.15</v>
      </c>
      <c r="G27" s="621" t="s">
        <v>2523</v>
      </c>
    </row>
    <row r="28" spans="1:7" s="588" customFormat="1" ht="13.5" customHeight="1">
      <c r="A28" s="1804" t="s">
        <v>1921</v>
      </c>
      <c r="B28" s="622" t="s">
        <v>2516</v>
      </c>
      <c r="C28" s="623">
        <f ca="1">ROUND((C5+C19+C20)*F27,0)</f>
        <v>4184090</v>
      </c>
      <c r="D28" s="609"/>
      <c r="E28" s="610"/>
      <c r="F28" s="620"/>
      <c r="G28" s="621"/>
    </row>
    <row r="29" spans="1:7" s="588" customFormat="1" ht="13.5" customHeight="1">
      <c r="A29" s="1804" t="s">
        <v>1922</v>
      </c>
      <c r="B29" s="622" t="s">
        <v>2517</v>
      </c>
      <c r="C29" s="612">
        <f ca="1">ROUND(C21*F27,4)</f>
        <v>3.0000000000000001E-3</v>
      </c>
      <c r="D29" s="609"/>
      <c r="E29" s="610"/>
      <c r="F29" s="620"/>
      <c r="G29" s="621"/>
    </row>
    <row r="30" spans="1:7" s="588" customFormat="1" ht="13.5" customHeight="1">
      <c r="A30" s="1801" t="s">
        <v>1918</v>
      </c>
      <c r="B30" s="584" t="s">
        <v>346</v>
      </c>
      <c r="C30" s="609">
        <f>ROUND(F30/(1+'数据-取费表'!C42),4)</f>
        <v>5.33E-2</v>
      </c>
      <c r="D30" s="610" t="s">
        <v>2946</v>
      </c>
      <c r="E30" s="615"/>
      <c r="F30" s="611">
        <f>'数据-取费表'!B41</f>
        <v>5.6000000000000001E-2</v>
      </c>
      <c r="G30" s="2618" t="s">
        <v>2947</v>
      </c>
    </row>
    <row r="31" spans="1:7" ht="16.5" customHeight="1">
      <c r="A31" s="583">
        <v>1</v>
      </c>
      <c r="B31" s="584" t="s">
        <v>863</v>
      </c>
      <c r="C31" s="585">
        <f ca="1">ROUND((C5+C19+C20+C22+C27)/(1-C21-D22-D27-C30),0)</f>
        <v>37683287</v>
      </c>
      <c r="D31" s="604"/>
      <c r="E31" s="585"/>
      <c r="F31" s="624"/>
      <c r="G31" s="608" t="s">
        <v>2524</v>
      </c>
    </row>
    <row r="32" spans="1:7" s="582" customFormat="1" ht="15.75">
      <c r="A32" s="626" t="s">
        <v>2627</v>
      </c>
      <c r="B32" s="627"/>
      <c r="C32" s="627"/>
      <c r="D32" s="627"/>
      <c r="E32" s="627"/>
      <c r="F32" s="627"/>
      <c r="G32" s="628"/>
    </row>
    <row r="33" spans="1:7" s="588" customFormat="1" ht="13.5" customHeight="1">
      <c r="A33" s="629" t="s">
        <v>1912</v>
      </c>
      <c r="B33" s="2754" t="s">
        <v>2628</v>
      </c>
      <c r="C33" s="630">
        <f ca="1">SUM(C34:C38)</f>
        <v>188921355</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161290610</v>
      </c>
      <c r="D34" s="591"/>
      <c r="E34" s="594"/>
      <c r="F34" s="631"/>
      <c r="G34" s="593"/>
    </row>
    <row r="35" spans="1:7" ht="13.5" customHeight="1">
      <c r="A35" s="1804" t="s">
        <v>1926</v>
      </c>
      <c r="B35" s="589" t="s">
        <v>348</v>
      </c>
      <c r="C35" s="594">
        <f ca="1">ROUND(C34*F35,0)</f>
        <v>4838718</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7880984</v>
      </c>
      <c r="D36" s="594"/>
      <c r="E36" s="594"/>
      <c r="F36" s="633">
        <f>'数据-取费表'!B34</f>
        <v>0.05</v>
      </c>
      <c r="G36" s="634" t="s">
        <v>350</v>
      </c>
    </row>
    <row r="37" spans="1:7" s="632" customFormat="1" ht="13.5" customHeight="1">
      <c r="A37" s="1804" t="s">
        <v>1928</v>
      </c>
      <c r="B37" s="589" t="s">
        <v>853</v>
      </c>
      <c r="C37" s="623">
        <f ca="1">ROUND(E37*D37,0)</f>
        <v>12491684</v>
      </c>
      <c r="D37" s="591">
        <f ca="1">D19</f>
        <v>62458.42</v>
      </c>
      <c r="E37" s="623">
        <f>'数据-取费表'!B35</f>
        <v>200</v>
      </c>
      <c r="F37" s="633"/>
      <c r="G37" s="635"/>
    </row>
    <row r="38" spans="1:7" ht="13.5" customHeight="1">
      <c r="A38" s="1804" t="s">
        <v>1929</v>
      </c>
      <c r="B38" s="589" t="s">
        <v>351</v>
      </c>
      <c r="C38" s="594">
        <f ca="1">ROUND(C34*F38,0)</f>
        <v>2419359</v>
      </c>
      <c r="D38" s="594"/>
      <c r="E38" s="594"/>
      <c r="F38" s="633">
        <f>'数据-取费表'!B36</f>
        <v>1.4999999999999999E-2</v>
      </c>
      <c r="G38" s="593" t="s">
        <v>852</v>
      </c>
    </row>
    <row r="39" spans="1:7" s="588" customFormat="1" ht="13.5" customHeight="1">
      <c r="A39" s="1801" t="s">
        <v>1913</v>
      </c>
      <c r="B39" s="584" t="s">
        <v>839</v>
      </c>
      <c r="C39" s="606">
        <f ca="1">ROUND(C33*F20,0)</f>
        <v>2833820</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9108370</v>
      </c>
      <c r="D41" s="609">
        <f ca="1">C44</f>
        <v>1E-3</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ROUND(IF('数据-取费表'!B22&lt;=1,C33*F22*'数据-取费表'!B20/2,C33*(POWER((1+F22),'数据-取费表'!B20/2)-1)),0)</f>
        <v>8973764</v>
      </c>
      <c r="D42" s="612"/>
      <c r="E42" s="612"/>
      <c r="F42" s="613"/>
      <c r="G42" s="3576" t="s">
        <v>2631</v>
      </c>
    </row>
    <row r="43" spans="1:7" ht="13.5" customHeight="1">
      <c r="A43" s="1804" t="s">
        <v>1922</v>
      </c>
      <c r="B43" s="589" t="s">
        <v>2510</v>
      </c>
      <c r="C43" s="612">
        <f ca="1">ROUND(IF('数据-取费表'!B22&lt;=1,C39*F22*'数据-取费表'!B20/2,C39*(POWER((1+F22),'数据-取费表'!B20/2)-1)),0)</f>
        <v>134606</v>
      </c>
      <c r="D43" s="612"/>
      <c r="E43" s="612"/>
      <c r="F43" s="613"/>
      <c r="G43" s="3574"/>
    </row>
    <row r="44" spans="1:7" ht="13.5" customHeight="1">
      <c r="A44" s="1804" t="s">
        <v>1923</v>
      </c>
      <c r="B44" s="589" t="s">
        <v>2512</v>
      </c>
      <c r="C44" s="612">
        <f ca="1">ROUND(IF('数据-取费表'!B22&lt;=1,C40*F22*'数据-取费表'!B20/2,C40*(POWER((1+F22),'数据-取费表'!B20/2)-1)),4)</f>
        <v>1E-3</v>
      </c>
      <c r="D44" s="612"/>
      <c r="E44" s="612"/>
      <c r="F44" s="613"/>
      <c r="G44" s="3575"/>
    </row>
    <row r="45" spans="1:7" s="588" customFormat="1" ht="13.5" customHeight="1">
      <c r="A45" s="1801" t="s">
        <v>1916</v>
      </c>
      <c r="B45" s="618" t="s">
        <v>847</v>
      </c>
      <c r="C45" s="619">
        <f ca="1">C46</f>
        <v>28763276</v>
      </c>
      <c r="D45" s="609">
        <f ca="1">C47</f>
        <v>3.0000000000000001E-3</v>
      </c>
      <c r="E45" s="610" t="s">
        <v>864</v>
      </c>
      <c r="F45" s="620"/>
      <c r="G45" s="621" t="s">
        <v>2526</v>
      </c>
    </row>
    <row r="46" spans="1:7" s="588" customFormat="1" ht="13.5" customHeight="1">
      <c r="A46" s="1804" t="s">
        <v>1921</v>
      </c>
      <c r="B46" s="622" t="s">
        <v>2519</v>
      </c>
      <c r="C46" s="623">
        <f ca="1">ROUND((C33+C39)*F27,0)</f>
        <v>28763276</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636">
        <f>ROUND(F30/(1+'数据-取费表'!C42),4)</f>
        <v>5.33E-2</v>
      </c>
      <c r="D48" s="610" t="s">
        <v>2944</v>
      </c>
      <c r="E48" s="606"/>
      <c r="F48" s="611"/>
      <c r="G48" s="2618" t="s">
        <v>2945</v>
      </c>
    </row>
    <row r="49" spans="1:7" ht="16.5" customHeight="1">
      <c r="A49" s="1801" t="s">
        <v>1918</v>
      </c>
      <c r="B49" s="584" t="s">
        <v>2629</v>
      </c>
      <c r="C49" s="606">
        <f ca="1">ROUND((C33+C39+C41+C45)/(1-C40-D41-D45-C48),0)</f>
        <v>248864009</v>
      </c>
      <c r="D49" s="606"/>
      <c r="E49" s="606"/>
      <c r="F49" s="638"/>
      <c r="G49" s="608" t="s">
        <v>2527</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2630</v>
      </c>
      <c r="C51" s="606">
        <f ca="1">ROUND(C49*F50,0)</f>
        <v>248864009</v>
      </c>
      <c r="D51" s="606"/>
      <c r="E51" s="606"/>
      <c r="F51" s="638"/>
      <c r="G51" s="608" t="s">
        <v>352</v>
      </c>
    </row>
    <row r="52" spans="1:7" s="582" customFormat="1" ht="16.5" thickBot="1">
      <c r="A52" s="639" t="s">
        <v>353</v>
      </c>
      <c r="B52" s="640"/>
      <c r="C52" s="641">
        <f ca="1">C31+C51</f>
        <v>286547296</v>
      </c>
      <c r="D52" s="640"/>
      <c r="E52" s="640"/>
      <c r="F52" s="640"/>
      <c r="G52" s="642"/>
    </row>
    <row r="55" spans="1:7" ht="15">
      <c r="B55" s="644" t="s">
        <v>354</v>
      </c>
      <c r="C55" s="645"/>
    </row>
    <row r="56" spans="1:7">
      <c r="B56" s="2870" t="s">
        <v>2702</v>
      </c>
      <c r="C56" s="649">
        <f ca="1">1-C57</f>
        <v>0.13200000000000001</v>
      </c>
    </row>
    <row r="57" spans="1:7">
      <c r="B57" s="2870" t="s">
        <v>2701</v>
      </c>
      <c r="C57" s="648">
        <f ca="1">ROUND(C51/C52,3)</f>
        <v>0.86799999999999999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4" sqref="D4"/>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20491</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3281</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582" t="s">
        <v>390</v>
      </c>
      <c r="S4" s="3583"/>
      <c r="T4" s="3582" t="s">
        <v>391</v>
      </c>
      <c r="U4" s="3583"/>
      <c r="V4" s="3607" t="s">
        <v>392</v>
      </c>
      <c r="W4" s="3607"/>
      <c r="X4" s="1316"/>
      <c r="Y4" s="3582" t="s">
        <v>394</v>
      </c>
      <c r="Z4" s="3583"/>
      <c r="AA4" s="3577" t="s">
        <v>390</v>
      </c>
      <c r="AB4" s="3578" t="s">
        <v>391</v>
      </c>
      <c r="AC4" s="3577" t="s">
        <v>392</v>
      </c>
    </row>
    <row r="5" spans="1:30" ht="72" customHeight="1">
      <c r="A5" s="745"/>
      <c r="B5" s="746"/>
      <c r="C5" s="3588" t="s">
        <v>1127</v>
      </c>
      <c r="D5" s="3589"/>
      <c r="E5" s="3586" t="str">
        <f>Sheet1!A2</f>
        <v>曲江新区裴家崆路以南、航天大道以北、新开门南路以东、西康高速西辅路以西</v>
      </c>
      <c r="F5" s="3587"/>
      <c r="G5" s="3588" t="str">
        <f>Sheet1!A3</f>
        <v>曲江新区18号路以东、西安景恒房地产开发有限公司以南</v>
      </c>
      <c r="H5" s="3589"/>
      <c r="I5" s="3588" t="str">
        <f>Sheet1!A4</f>
        <v>曲江新区雁翔路以西、五典坡路以南、西康高速公路以东</v>
      </c>
      <c r="J5" s="3589"/>
      <c r="K5" s="951"/>
      <c r="L5" s="2347"/>
      <c r="M5" s="2348"/>
      <c r="N5" s="2348"/>
      <c r="O5" s="2348"/>
      <c r="P5" s="3601"/>
      <c r="Q5" s="3602"/>
      <c r="R5" s="3584"/>
      <c r="S5" s="3585"/>
      <c r="T5" s="3584"/>
      <c r="U5" s="3585"/>
      <c r="V5" s="3607"/>
      <c r="W5" s="3607"/>
      <c r="X5" s="1316"/>
      <c r="Y5" s="3584"/>
      <c r="Z5" s="3585"/>
      <c r="AA5" s="3578"/>
      <c r="AB5" s="3578"/>
      <c r="AC5" s="3578"/>
    </row>
    <row r="6" spans="1:30" ht="15.75" thickBot="1">
      <c r="A6" s="747"/>
      <c r="B6" s="748"/>
      <c r="C6" s="3590" t="s">
        <v>1130</v>
      </c>
      <c r="D6" s="3591"/>
      <c r="E6" s="3592" t="s">
        <v>1130</v>
      </c>
      <c r="F6" s="3593"/>
      <c r="G6" s="3590" t="s">
        <v>1130</v>
      </c>
      <c r="H6" s="3591"/>
      <c r="I6" s="3590" t="s">
        <v>1130</v>
      </c>
      <c r="J6" s="3591"/>
      <c r="K6" s="951" t="s">
        <v>395</v>
      </c>
      <c r="L6" s="2347"/>
      <c r="M6" s="2348"/>
      <c r="N6" s="2348"/>
      <c r="O6" s="2348"/>
      <c r="P6" s="3603"/>
      <c r="Q6" s="3604"/>
      <c r="R6" s="3584"/>
      <c r="S6" s="3585"/>
      <c r="T6" s="3605"/>
      <c r="U6" s="3606"/>
      <c r="V6" s="3607"/>
      <c r="W6" s="3607"/>
      <c r="X6" s="1316"/>
      <c r="Y6" s="3605"/>
      <c r="Z6" s="3606"/>
      <c r="AA6" s="3579"/>
      <c r="AB6" s="3579"/>
      <c r="AC6" s="3579"/>
    </row>
    <row r="7" spans="1:30" s="405" customFormat="1" ht="15.75" thickBot="1">
      <c r="A7" s="749" t="s">
        <v>396</v>
      </c>
      <c r="B7" s="750"/>
      <c r="C7" s="751">
        <f>'数据-取费表'!B2</f>
        <v>42977</v>
      </c>
      <c r="D7" s="752">
        <v>100</v>
      </c>
      <c r="E7" s="1015" t="str">
        <f>Sheet1!O2</f>
        <v>2017-06-27</v>
      </c>
      <c r="F7" s="754">
        <f>SUMIF(70:70,YEAR(E7)&amp;"-"&amp;INT((MONTH(E7)+2)/3),71:71)</f>
        <v>99</v>
      </c>
      <c r="G7" s="1016" t="str">
        <f>Sheet1!O3</f>
        <v>2017-01-25</v>
      </c>
      <c r="H7" s="752">
        <f>SUMIF(70:70,YEAR(G7)&amp;"-"&amp;INT((MONTH(G7)+2)/3),71:71)</f>
        <v>98</v>
      </c>
      <c r="I7" s="1016" t="str">
        <f>Sheet1!O4</f>
        <v>2017-01-25</v>
      </c>
      <c r="J7" s="752">
        <f>SUMIF(70:70,YEAR(I7)&amp;"-"&amp;INT((MONTH(I7)+2)/3),71:71)</f>
        <v>98</v>
      </c>
      <c r="K7" s="952"/>
      <c r="L7" s="2349"/>
      <c r="M7" s="2350"/>
      <c r="N7" s="2350"/>
      <c r="O7" s="2350"/>
      <c r="P7" s="3580" t="s">
        <v>397</v>
      </c>
      <c r="Q7" s="3608"/>
      <c r="R7" s="1317" t="s">
        <v>65</v>
      </c>
      <c r="S7" s="1318">
        <f t="shared" ref="S7:S15" si="0">F7</f>
        <v>99</v>
      </c>
      <c r="T7" s="1317" t="s">
        <v>65</v>
      </c>
      <c r="U7" s="1318">
        <f t="shared" ref="U7:U15" si="1">H7</f>
        <v>98</v>
      </c>
      <c r="V7" s="1317" t="s">
        <v>65</v>
      </c>
      <c r="W7" s="1318">
        <f t="shared" ref="W7:W15" si="2">J7</f>
        <v>98</v>
      </c>
      <c r="X7" s="1319"/>
      <c r="Y7" s="3580" t="s">
        <v>397</v>
      </c>
      <c r="Z7" s="3581"/>
      <c r="AA7" s="1320">
        <f>D7/F7</f>
        <v>1.0101010101010102</v>
      </c>
      <c r="AB7" s="1320">
        <f>D7/H7</f>
        <v>1.0204081632653061</v>
      </c>
      <c r="AC7" s="1320">
        <f>D7/J7</f>
        <v>1.0204081632653061</v>
      </c>
    </row>
    <row r="8" spans="1:30" s="405"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580" t="s">
        <v>433</v>
      </c>
      <c r="Q8" s="3581"/>
      <c r="R8" s="1317" t="s">
        <v>65</v>
      </c>
      <c r="S8" s="1318">
        <f t="shared" si="0"/>
        <v>100</v>
      </c>
      <c r="T8" s="1317" t="s">
        <v>65</v>
      </c>
      <c r="U8" s="1318">
        <f t="shared" si="1"/>
        <v>100</v>
      </c>
      <c r="V8" s="1317" t="s">
        <v>65</v>
      </c>
      <c r="W8" s="1318">
        <f t="shared" si="2"/>
        <v>100</v>
      </c>
      <c r="X8" s="1319"/>
      <c r="Y8" s="3580" t="s">
        <v>433</v>
      </c>
      <c r="Z8" s="3581"/>
      <c r="AA8" s="1320">
        <f t="shared" ref="AA8:AA45" si="3">D8/F8</f>
        <v>1</v>
      </c>
      <c r="AB8" s="1320">
        <f t="shared" ref="AB8:AB45" si="4">D8/H8</f>
        <v>1</v>
      </c>
      <c r="AC8" s="1320">
        <f t="shared" ref="AC8:AC45" si="5">D8/J8</f>
        <v>1</v>
      </c>
    </row>
    <row r="9" spans="1:30" s="405" customFormat="1">
      <c r="A9" s="756" t="s">
        <v>399</v>
      </c>
      <c r="B9" s="360" t="s">
        <v>417</v>
      </c>
      <c r="C9" s="1020" t="s">
        <v>40</v>
      </c>
      <c r="D9" s="423">
        <v>100</v>
      </c>
      <c r="E9" s="1020" t="s">
        <v>40</v>
      </c>
      <c r="F9" s="423">
        <f>SUMIF(75:75,E9,76:76)-SUMIF(75:75,C9,76:76)+100</f>
        <v>100</v>
      </c>
      <c r="G9" s="1020" t="s">
        <v>40</v>
      </c>
      <c r="H9" s="423">
        <f>SUMIF(75:75,G9,76:76)-SUMIF(75:75,C9,76:76)+100</f>
        <v>100</v>
      </c>
      <c r="I9" s="1020" t="s">
        <v>40</v>
      </c>
      <c r="J9" s="423">
        <f>SUMIF(75:75,I9,76:76)-SUMIF(75:75,C9,76:76)+100</f>
        <v>100</v>
      </c>
      <c r="K9" s="952"/>
      <c r="L9" s="2349"/>
      <c r="M9" s="2350"/>
      <c r="N9" s="2350"/>
      <c r="O9" s="2351"/>
      <c r="P9" s="3594" t="s">
        <v>400</v>
      </c>
      <c r="Q9" s="295" t="str">
        <f t="shared" ref="Q9:Q15" si="6">B9</f>
        <v>用途</v>
      </c>
      <c r="R9" s="1317" t="s">
        <v>65</v>
      </c>
      <c r="S9" s="1318">
        <f t="shared" si="0"/>
        <v>100</v>
      </c>
      <c r="T9" s="1317" t="s">
        <v>65</v>
      </c>
      <c r="U9" s="1318">
        <f t="shared" si="1"/>
        <v>100</v>
      </c>
      <c r="V9" s="1317" t="s">
        <v>65</v>
      </c>
      <c r="W9" s="1318">
        <f t="shared" si="2"/>
        <v>100</v>
      </c>
      <c r="X9" s="1319"/>
      <c r="Y9" s="3551" t="s">
        <v>401</v>
      </c>
      <c r="Z9" s="343" t="str">
        <f t="shared" ref="Z9:Z15" si="7">Q9</f>
        <v>用途</v>
      </c>
      <c r="AA9" s="1320">
        <f t="shared" si="3"/>
        <v>1</v>
      </c>
      <c r="AB9" s="1320">
        <f t="shared" si="4"/>
        <v>1</v>
      </c>
      <c r="AC9" s="1320">
        <f t="shared" si="5"/>
        <v>1</v>
      </c>
    </row>
    <row r="10" spans="1:30" s="768" customFormat="1" ht="27">
      <c r="A10" s="762"/>
      <c r="B10" s="763" t="s">
        <v>402</v>
      </c>
      <c r="C10" s="773"/>
      <c r="D10" s="424">
        <v>100</v>
      </c>
      <c r="E10" s="806"/>
      <c r="F10" s="424">
        <f>ROUND(100/'数据-取费表'!G16,0)</f>
        <v>101</v>
      </c>
      <c r="G10" s="804"/>
      <c r="H10" s="424">
        <f>ROUND(100/'数据-取费表'!G16,0)</f>
        <v>101</v>
      </c>
      <c r="I10" s="804"/>
      <c r="J10" s="424">
        <f>ROUND(100/'数据-取费表'!G16,0)</f>
        <v>101</v>
      </c>
      <c r="K10" s="1079"/>
      <c r="L10" s="2352"/>
      <c r="M10" s="2353"/>
      <c r="N10" s="2353"/>
      <c r="O10" s="2354"/>
      <c r="P10" s="3594"/>
      <c r="Q10" s="295" t="str">
        <f t="shared" si="6"/>
        <v>土地使用年限（年）</v>
      </c>
      <c r="R10" s="1317" t="s">
        <v>65</v>
      </c>
      <c r="S10" s="1318">
        <f t="shared" si="0"/>
        <v>101</v>
      </c>
      <c r="T10" s="1317" t="s">
        <v>65</v>
      </c>
      <c r="U10" s="1318">
        <f t="shared" si="1"/>
        <v>101</v>
      </c>
      <c r="V10" s="1317" t="s">
        <v>65</v>
      </c>
      <c r="W10" s="1318">
        <f t="shared" si="2"/>
        <v>101</v>
      </c>
      <c r="X10" s="1319"/>
      <c r="Y10" s="3551"/>
      <c r="Z10" s="343" t="str">
        <f t="shared" si="7"/>
        <v>土地使用年限（年）</v>
      </c>
      <c r="AA10" s="1320">
        <f t="shared" si="3"/>
        <v>0.99009900990099009</v>
      </c>
      <c r="AB10" s="1320">
        <f t="shared" si="4"/>
        <v>0.99009900990099009</v>
      </c>
      <c r="AC10" s="1320">
        <f t="shared" si="5"/>
        <v>0.99009900990099009</v>
      </c>
    </row>
    <row r="11" spans="1:30" ht="15.75" thickBot="1">
      <c r="A11" s="769"/>
      <c r="B11" s="763" t="s">
        <v>403</v>
      </c>
      <c r="C11" s="3372">
        <f>'数据-汇总表'!I4</f>
        <v>4.1100000000000003</v>
      </c>
      <c r="D11" s="424">
        <v>100</v>
      </c>
      <c r="E11" s="770">
        <v>2.8</v>
      </c>
      <c r="F11" s="424">
        <f>LOOKUP(E11,80:80,81:81)-LOOKUP(C11,80:80,81:81)+100</f>
        <v>104</v>
      </c>
      <c r="G11" s="771">
        <v>2</v>
      </c>
      <c r="H11" s="424">
        <f>LOOKUP(G11,80:80,81:81)-LOOKUP(C11,80:80,81:81)+100</f>
        <v>104</v>
      </c>
      <c r="I11" s="770">
        <v>2</v>
      </c>
      <c r="J11" s="424">
        <f>LOOKUP(I11,80:80,81:81)-LOOKUP(C11,80:80,81:81)+100</f>
        <v>104</v>
      </c>
      <c r="K11" s="1080">
        <f>'比较法-高层'!K11</f>
        <v>2</v>
      </c>
      <c r="L11" s="2355"/>
      <c r="M11" s="2348"/>
      <c r="N11" s="2348"/>
      <c r="O11" s="2356"/>
      <c r="P11" s="3594"/>
      <c r="Q11" s="295" t="str">
        <f t="shared" si="6"/>
        <v>容积率</v>
      </c>
      <c r="R11" s="1317" t="s">
        <v>65</v>
      </c>
      <c r="S11" s="1318">
        <f t="shared" si="0"/>
        <v>104</v>
      </c>
      <c r="T11" s="1317" t="s">
        <v>65</v>
      </c>
      <c r="U11" s="1318">
        <f t="shared" si="1"/>
        <v>104</v>
      </c>
      <c r="V11" s="1317" t="s">
        <v>65</v>
      </c>
      <c r="W11" s="1318">
        <f t="shared" si="2"/>
        <v>104</v>
      </c>
      <c r="X11" s="1319"/>
      <c r="Y11" s="3551"/>
      <c r="Z11" s="343" t="str">
        <f t="shared" si="7"/>
        <v>容积率</v>
      </c>
      <c r="AA11" s="1320">
        <f t="shared" si="3"/>
        <v>0.96153846153846156</v>
      </c>
      <c r="AB11" s="1320">
        <f t="shared" si="4"/>
        <v>0.96153846153846156</v>
      </c>
      <c r="AC11" s="1320">
        <f t="shared" si="5"/>
        <v>0.96153846153846156</v>
      </c>
    </row>
    <row r="12" spans="1:30" s="405" customFormat="1" ht="15" hidden="1">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594"/>
      <c r="Q12" s="295" t="str">
        <f t="shared" si="6"/>
        <v>配建</v>
      </c>
      <c r="R12" s="1317" t="s">
        <v>65</v>
      </c>
      <c r="S12" s="1318">
        <f t="shared" si="0"/>
        <v>100</v>
      </c>
      <c r="T12" s="1317" t="s">
        <v>65</v>
      </c>
      <c r="U12" s="1318">
        <f t="shared" si="1"/>
        <v>100</v>
      </c>
      <c r="V12" s="1317" t="s">
        <v>65</v>
      </c>
      <c r="W12" s="1318">
        <f t="shared" si="2"/>
        <v>100</v>
      </c>
      <c r="X12" s="1319"/>
      <c r="Y12" s="3551"/>
      <c r="Z12" s="343" t="str">
        <f t="shared" si="7"/>
        <v>配建</v>
      </c>
      <c r="AA12" s="1320">
        <f>D12/F12</f>
        <v>1</v>
      </c>
      <c r="AB12" s="1320">
        <f>D12/H12</f>
        <v>1</v>
      </c>
      <c r="AC12" s="1320">
        <f>D12/J12</f>
        <v>1</v>
      </c>
    </row>
    <row r="13" spans="1:30" ht="15" hidden="1">
      <c r="A13" s="769"/>
      <c r="B13" s="1029">
        <v>111</v>
      </c>
      <c r="C13" s="93"/>
      <c r="D13" s="776">
        <v>100</v>
      </c>
      <c r="E13" s="125"/>
      <c r="F13" s="424">
        <f>SUMIF(84:84,E13,85:85)-SUMIF(84:84,C13,85:85)+100</f>
        <v>100</v>
      </c>
      <c r="G13" s="202"/>
      <c r="H13" s="776">
        <f>SUMIF(84:84,G13,85:85)-SUMIF(84:84,C13,85:85)+100</f>
        <v>100</v>
      </c>
      <c r="I13" s="202"/>
      <c r="J13" s="776">
        <f>SUMIF(84:84,I13,85:85)-SUMIF(84:84,C13,85:85)+100</f>
        <v>100</v>
      </c>
      <c r="K13" s="1079"/>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D13/F13</f>
        <v>1</v>
      </c>
      <c r="AB13" s="1320">
        <f>D13/H13</f>
        <v>1</v>
      </c>
      <c r="AC13" s="1320">
        <f>D13/J13</f>
        <v>1</v>
      </c>
    </row>
    <row r="14" spans="1:30" ht="15.75" hidden="1" thickBot="1">
      <c r="A14" s="777"/>
      <c r="B14" s="1030">
        <v>111</v>
      </c>
      <c r="C14" s="94"/>
      <c r="D14" s="779">
        <v>100</v>
      </c>
      <c r="E14" s="125"/>
      <c r="F14" s="779">
        <f>SUMIF(86:86,E14,87:87)-SUMIF(86:86,C14,87:87)+100</f>
        <v>100</v>
      </c>
      <c r="G14" s="202"/>
      <c r="H14" s="779">
        <f>SUMIF(86:86,G14,87:87)-SUMIF(86:86,C14,87:87)+100</f>
        <v>100</v>
      </c>
      <c r="I14" s="202"/>
      <c r="J14" s="779">
        <f>SUMIF(86:86,I14,87:87)-SUMIF(86:86,C14,87:87)+100</f>
        <v>100</v>
      </c>
      <c r="K14" s="1079"/>
      <c r="L14" s="2357"/>
      <c r="M14" s="2348"/>
      <c r="N14" s="2348"/>
      <c r="O14" s="2356"/>
      <c r="P14" s="3594"/>
      <c r="Q14" s="295">
        <f t="shared" si="6"/>
        <v>111</v>
      </c>
      <c r="R14" s="1317" t="s">
        <v>65</v>
      </c>
      <c r="S14" s="1318">
        <f t="shared" si="0"/>
        <v>100</v>
      </c>
      <c r="T14" s="1317" t="s">
        <v>65</v>
      </c>
      <c r="U14" s="1318">
        <f t="shared" si="1"/>
        <v>100</v>
      </c>
      <c r="V14" s="1317" t="s">
        <v>65</v>
      </c>
      <c r="W14" s="1318">
        <f t="shared" si="2"/>
        <v>100</v>
      </c>
      <c r="X14" s="1319"/>
      <c r="Y14" s="3551"/>
      <c r="Z14" s="343">
        <f t="shared" si="7"/>
        <v>111</v>
      </c>
      <c r="AA14" s="1320">
        <f>D14/F14</f>
        <v>1</v>
      </c>
      <c r="AB14" s="1320">
        <f>D14/H14</f>
        <v>1</v>
      </c>
      <c r="AC14" s="1320">
        <f>D14/J14</f>
        <v>1</v>
      </c>
    </row>
    <row r="15" spans="1:30" ht="94.5">
      <c r="A15" s="781" t="s">
        <v>404</v>
      </c>
      <c r="B15" s="358" t="s">
        <v>284</v>
      </c>
      <c r="C15" s="156" t="str">
        <f>估价对象房地状况!C15</f>
        <v>估价对象周边居住用地比例、居住小区规模和社区发展完善程度，综合评价居住社区成熟度一般</v>
      </c>
      <c r="D15" s="782">
        <v>100</v>
      </c>
      <c r="E15" s="783"/>
      <c r="F15" s="782">
        <f>SUMIF(88:88,E16,89:89)-SUMIF(88:88,C16,89:89)+100</f>
        <v>95</v>
      </c>
      <c r="G15" s="783"/>
      <c r="H15" s="782">
        <f>SUMIF(88:88,G16,89:89)-SUMIF(88:88,C16,89:89)+100</f>
        <v>95</v>
      </c>
      <c r="I15" s="785"/>
      <c r="J15" s="782">
        <f>SUMIF(88:88,I16,89:89)-SUMIF(88:88,C16,89:89)+100</f>
        <v>95</v>
      </c>
      <c r="K15" s="1080">
        <v>5</v>
      </c>
      <c r="L15" s="2357"/>
      <c r="M15" s="2348"/>
      <c r="N15" s="2348"/>
      <c r="O15" s="2356"/>
      <c r="P15" s="3609" t="s">
        <v>405</v>
      </c>
      <c r="Q15" s="1321" t="str">
        <f t="shared" si="6"/>
        <v>居住社区成熟度</v>
      </c>
      <c r="R15" s="1322" t="s">
        <v>65</v>
      </c>
      <c r="S15" s="1323">
        <f t="shared" si="0"/>
        <v>95</v>
      </c>
      <c r="T15" s="1322" t="s">
        <v>65</v>
      </c>
      <c r="U15" s="1323">
        <f t="shared" si="1"/>
        <v>95</v>
      </c>
      <c r="V15" s="1322" t="s">
        <v>65</v>
      </c>
      <c r="W15" s="1323">
        <f t="shared" si="2"/>
        <v>95</v>
      </c>
      <c r="X15" s="1316"/>
      <c r="Y15" s="3609" t="s">
        <v>405</v>
      </c>
      <c r="Z15" s="1324" t="str">
        <f t="shared" si="7"/>
        <v>居住社区成熟度</v>
      </c>
      <c r="AA15" s="1325">
        <f t="shared" si="3"/>
        <v>1.0526315789473684</v>
      </c>
      <c r="AB15" s="1325">
        <f t="shared" si="4"/>
        <v>1.0526315789473684</v>
      </c>
      <c r="AC15" s="1325">
        <f t="shared" si="5"/>
        <v>1.0526315789473684</v>
      </c>
    </row>
    <row r="16" spans="1:30" ht="15">
      <c r="A16" s="769"/>
      <c r="B16" s="787"/>
      <c r="C16" s="97" t="s">
        <v>3109</v>
      </c>
      <c r="D16" s="789"/>
      <c r="E16" s="98" t="s">
        <v>3113</v>
      </c>
      <c r="F16" s="789"/>
      <c r="G16" s="98" t="s">
        <v>3113</v>
      </c>
      <c r="H16" s="791"/>
      <c r="I16" s="99" t="s">
        <v>3113</v>
      </c>
      <c r="J16" s="789"/>
      <c r="K16" s="1079"/>
      <c r="L16" s="2357"/>
      <c r="M16" s="2348"/>
      <c r="N16" s="2348"/>
      <c r="O16" s="2356"/>
      <c r="P16" s="3610"/>
      <c r="Q16" s="1321"/>
      <c r="R16" s="1322"/>
      <c r="S16" s="1323"/>
      <c r="T16" s="1322"/>
      <c r="U16" s="1323"/>
      <c r="V16" s="1322"/>
      <c r="W16" s="1323"/>
      <c r="X16" s="1316"/>
      <c r="Y16" s="3610"/>
      <c r="Z16" s="1324"/>
      <c r="AA16" s="1325">
        <v>1</v>
      </c>
      <c r="AB16" s="1325">
        <v>1</v>
      </c>
      <c r="AC16" s="1325">
        <v>1</v>
      </c>
    </row>
    <row r="17" spans="1:29" ht="81" hidden="1">
      <c r="A17" s="769"/>
      <c r="B17" s="792" t="s">
        <v>434</v>
      </c>
      <c r="C17" s="189"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610"/>
      <c r="Q17" s="1321" t="str">
        <f>B17</f>
        <v>商业繁华度</v>
      </c>
      <c r="R17" s="1322" t="s">
        <v>65</v>
      </c>
      <c r="S17" s="1323">
        <f>F17</f>
        <v>100</v>
      </c>
      <c r="T17" s="1322" t="s">
        <v>65</v>
      </c>
      <c r="U17" s="1323">
        <f>H17</f>
        <v>100</v>
      </c>
      <c r="V17" s="1322" t="s">
        <v>65</v>
      </c>
      <c r="W17" s="1323">
        <f>J17</f>
        <v>100</v>
      </c>
      <c r="X17" s="1316"/>
      <c r="Y17" s="3610"/>
      <c r="Z17" s="1324" t="str">
        <f>Q17</f>
        <v>商业繁华度</v>
      </c>
      <c r="AA17" s="1325">
        <f t="shared" si="3"/>
        <v>1</v>
      </c>
      <c r="AB17" s="1325">
        <f t="shared" si="4"/>
        <v>1</v>
      </c>
      <c r="AC17" s="1325">
        <f t="shared" si="5"/>
        <v>1</v>
      </c>
    </row>
    <row r="18" spans="1:29" ht="15" hidden="1">
      <c r="A18" s="769"/>
      <c r="B18" s="797"/>
      <c r="C18" s="102"/>
      <c r="D18" s="791"/>
      <c r="E18" s="103"/>
      <c r="F18" s="791"/>
      <c r="G18" s="103"/>
      <c r="H18" s="789"/>
      <c r="I18" s="104"/>
      <c r="J18" s="789"/>
      <c r="K18" s="1079"/>
      <c r="L18" s="2357"/>
      <c r="M18" s="2348"/>
      <c r="N18" s="2348"/>
      <c r="O18" s="2356"/>
      <c r="P18" s="3610"/>
      <c r="Q18" s="1321"/>
      <c r="R18" s="1322"/>
      <c r="S18" s="1323"/>
      <c r="T18" s="1322"/>
      <c r="U18" s="1323"/>
      <c r="V18" s="1322"/>
      <c r="W18" s="1323"/>
      <c r="X18" s="1316"/>
      <c r="Y18" s="3610"/>
      <c r="Z18" s="1324"/>
      <c r="AA18" s="1325">
        <v>1</v>
      </c>
      <c r="AB18" s="1325">
        <v>1</v>
      </c>
      <c r="AC18" s="1325">
        <v>1</v>
      </c>
    </row>
    <row r="19" spans="1:29" ht="81" hidden="1">
      <c r="A19" s="769"/>
      <c r="B19" s="792" t="s">
        <v>439</v>
      </c>
      <c r="C19" s="189"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610"/>
      <c r="Q19" s="1321" t="str">
        <f>B19</f>
        <v>办公集聚程度</v>
      </c>
      <c r="R19" s="1322" t="s">
        <v>65</v>
      </c>
      <c r="S19" s="1323">
        <f>F19</f>
        <v>100</v>
      </c>
      <c r="T19" s="1322" t="s">
        <v>65</v>
      </c>
      <c r="U19" s="1323">
        <f>H19</f>
        <v>100</v>
      </c>
      <c r="V19" s="1322" t="s">
        <v>65</v>
      </c>
      <c r="W19" s="1323">
        <f>J19</f>
        <v>100</v>
      </c>
      <c r="X19" s="1316"/>
      <c r="Y19" s="3610"/>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7"/>
      <c r="M20" s="2348"/>
      <c r="N20" s="2348"/>
      <c r="O20" s="2356"/>
      <c r="P20" s="3610"/>
      <c r="Q20" s="1321"/>
      <c r="R20" s="1322"/>
      <c r="S20" s="1323"/>
      <c r="T20" s="1322"/>
      <c r="U20" s="1323"/>
      <c r="V20" s="1322"/>
      <c r="W20" s="1323"/>
      <c r="X20" s="1316"/>
      <c r="Y20" s="3610"/>
      <c r="Z20" s="1324"/>
      <c r="AA20" s="1325">
        <v>1</v>
      </c>
      <c r="AB20" s="1325">
        <v>1</v>
      </c>
      <c r="AC20" s="1325">
        <v>1</v>
      </c>
    </row>
    <row r="21" spans="1:29" ht="94.5">
      <c r="A21" s="769"/>
      <c r="B21" s="792" t="s">
        <v>454</v>
      </c>
      <c r="C21" s="157"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3</v>
      </c>
      <c r="L21" s="2357"/>
      <c r="M21" s="2348"/>
      <c r="N21" s="2348"/>
      <c r="O21" s="2356"/>
      <c r="P21" s="3610"/>
      <c r="Q21" s="1321" t="str">
        <f>B21</f>
        <v>交通便捷度</v>
      </c>
      <c r="R21" s="1322" t="s">
        <v>65</v>
      </c>
      <c r="S21" s="1323">
        <f>F21</f>
        <v>100</v>
      </c>
      <c r="T21" s="1322" t="s">
        <v>65</v>
      </c>
      <c r="U21" s="1323">
        <f>H21</f>
        <v>100</v>
      </c>
      <c r="V21" s="1322" t="s">
        <v>65</v>
      </c>
      <c r="W21" s="1323">
        <f>J21</f>
        <v>100</v>
      </c>
      <c r="X21" s="1316"/>
      <c r="Y21" s="3610"/>
      <c r="Z21" s="1324" t="str">
        <f>Q21</f>
        <v>交通便捷度</v>
      </c>
      <c r="AA21" s="1325">
        <f t="shared" si="3"/>
        <v>1</v>
      </c>
      <c r="AB21" s="1325">
        <f t="shared" si="4"/>
        <v>1</v>
      </c>
      <c r="AC21" s="1325">
        <f t="shared" si="5"/>
        <v>1</v>
      </c>
    </row>
    <row r="22" spans="1:29" ht="15">
      <c r="A22" s="769"/>
      <c r="B22" s="2767"/>
      <c r="C22" s="97" t="s">
        <v>3113</v>
      </c>
      <c r="D22" s="791"/>
      <c r="E22" s="98" t="s">
        <v>3113</v>
      </c>
      <c r="F22" s="789"/>
      <c r="G22" s="98" t="s">
        <v>3113</v>
      </c>
      <c r="H22" s="789"/>
      <c r="I22" s="99" t="s">
        <v>3113</v>
      </c>
      <c r="J22" s="789"/>
      <c r="K22" s="1079"/>
      <c r="L22" s="2357"/>
      <c r="M22" s="2348"/>
      <c r="N22" s="2348"/>
      <c r="O22" s="2356"/>
      <c r="P22" s="3610"/>
      <c r="Q22" s="1321"/>
      <c r="R22" s="1322"/>
      <c r="S22" s="1323"/>
      <c r="T22" s="1322"/>
      <c r="U22" s="1323"/>
      <c r="V22" s="1322"/>
      <c r="W22" s="1323"/>
      <c r="X22" s="1316"/>
      <c r="Y22" s="3610"/>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610"/>
      <c r="Q23" s="1321" t="str">
        <f t="shared" ref="Q23:Q37" si="8">B23</f>
        <v>区域土地利用方向</v>
      </c>
      <c r="R23" s="1322" t="s">
        <v>65</v>
      </c>
      <c r="S23" s="1323">
        <f>F23</f>
        <v>100</v>
      </c>
      <c r="T23" s="1322" t="s">
        <v>65</v>
      </c>
      <c r="U23" s="1323">
        <f>H23</f>
        <v>100</v>
      </c>
      <c r="V23" s="1322" t="s">
        <v>65</v>
      </c>
      <c r="W23" s="1323">
        <f>J23</f>
        <v>100</v>
      </c>
      <c r="X23" s="1316"/>
      <c r="Y23" s="3610"/>
      <c r="Z23" s="1324" t="str">
        <f>Q23</f>
        <v>区域土地利用方向</v>
      </c>
      <c r="AA23" s="1325">
        <f t="shared" si="3"/>
        <v>1</v>
      </c>
      <c r="AB23" s="1325">
        <f t="shared" si="4"/>
        <v>1</v>
      </c>
      <c r="AC23" s="1325">
        <f t="shared" si="5"/>
        <v>1</v>
      </c>
    </row>
    <row r="24" spans="1:29" ht="15">
      <c r="A24" s="745"/>
      <c r="B24" s="797"/>
      <c r="C24" s="181" t="s">
        <v>3113</v>
      </c>
      <c r="D24" s="789"/>
      <c r="E24" s="181" t="s">
        <v>3113</v>
      </c>
      <c r="F24" s="789"/>
      <c r="G24" s="181" t="s">
        <v>3113</v>
      </c>
      <c r="H24" s="789"/>
      <c r="I24" s="181" t="s">
        <v>3113</v>
      </c>
      <c r="J24" s="789"/>
      <c r="K24" s="1484"/>
      <c r="L24" s="2357"/>
      <c r="M24" s="2348"/>
      <c r="N24" s="2348"/>
      <c r="O24" s="2356"/>
      <c r="P24" s="3610"/>
      <c r="Q24" s="1468"/>
      <c r="R24" s="1322"/>
      <c r="S24" s="1323"/>
      <c r="T24" s="1322"/>
      <c r="U24" s="1323"/>
      <c r="V24" s="1322"/>
      <c r="W24" s="1323"/>
      <c r="X24" s="1467"/>
      <c r="Y24" s="3610"/>
      <c r="Z24" s="1469"/>
      <c r="AA24" s="1325"/>
      <c r="AB24" s="1325"/>
      <c r="AC24" s="1325"/>
    </row>
    <row r="25" spans="1:29" ht="54">
      <c r="A25" s="745"/>
      <c r="B25" s="2767" t="s">
        <v>482</v>
      </c>
      <c r="C25" s="189" t="str">
        <f>估价对象房地状况!C20</f>
        <v>区域自然环境：；人文环境；综合评价环境状况一般</v>
      </c>
      <c r="D25" s="791">
        <v>100</v>
      </c>
      <c r="E25" s="793"/>
      <c r="F25" s="791">
        <f>SUMIF(98:98,E26,99:99)-SUMIF(98:98,C26,99:99)+100</f>
        <v>95</v>
      </c>
      <c r="G25" s="793"/>
      <c r="H25" s="791">
        <f>SUMIF(98:98,G26,99:99)-SUMIF(98:98,C26,99:99)+100</f>
        <v>95</v>
      </c>
      <c r="I25" s="795"/>
      <c r="J25" s="791">
        <f>SUMIF(98:98,I26,99:99)-SUMIF(98:98,C26,99:99)+100</f>
        <v>95</v>
      </c>
      <c r="K25" s="1080">
        <v>5</v>
      </c>
      <c r="L25" s="2357"/>
      <c r="M25" s="2348"/>
      <c r="N25" s="2348"/>
      <c r="O25" s="2356"/>
      <c r="P25" s="3610"/>
      <c r="Q25" s="1321" t="str">
        <f t="shared" si="8"/>
        <v>自然及人文环境状况</v>
      </c>
      <c r="R25" s="1322" t="s">
        <v>65</v>
      </c>
      <c r="S25" s="1323">
        <f>F25</f>
        <v>95</v>
      </c>
      <c r="T25" s="1322" t="s">
        <v>65</v>
      </c>
      <c r="U25" s="1323">
        <f>H25</f>
        <v>95</v>
      </c>
      <c r="V25" s="1322" t="s">
        <v>65</v>
      </c>
      <c r="W25" s="1323">
        <f>J25</f>
        <v>95</v>
      </c>
      <c r="X25" s="1316"/>
      <c r="Y25" s="3610"/>
      <c r="Z25" s="1324" t="str">
        <f>Q25</f>
        <v>自然及人文环境状况</v>
      </c>
      <c r="AA25" s="1325">
        <f t="shared" si="3"/>
        <v>1.0526315789473684</v>
      </c>
      <c r="AB25" s="1325">
        <f t="shared" si="4"/>
        <v>1.0526315789473684</v>
      </c>
      <c r="AC25" s="1325">
        <f t="shared" si="5"/>
        <v>1.0526315789473684</v>
      </c>
    </row>
    <row r="26" spans="1:29" ht="15">
      <c r="A26" s="745"/>
      <c r="B26" s="797"/>
      <c r="C26" s="97" t="s">
        <v>3109</v>
      </c>
      <c r="D26" s="789"/>
      <c r="E26" s="181" t="s">
        <v>3113</v>
      </c>
      <c r="F26" s="789"/>
      <c r="G26" s="181" t="s">
        <v>3113</v>
      </c>
      <c r="H26" s="789"/>
      <c r="I26" s="181" t="s">
        <v>3113</v>
      </c>
      <c r="J26" s="789"/>
      <c r="K26" s="1079"/>
      <c r="L26" s="2357"/>
      <c r="M26" s="2348"/>
      <c r="N26" s="2348"/>
      <c r="O26" s="2356"/>
      <c r="P26" s="3610"/>
      <c r="Q26" s="1321"/>
      <c r="R26" s="1322"/>
      <c r="S26" s="1323"/>
      <c r="T26" s="1322"/>
      <c r="U26" s="1323"/>
      <c r="V26" s="1322"/>
      <c r="W26" s="1323"/>
      <c r="X26" s="1316"/>
      <c r="Y26" s="3610"/>
      <c r="Z26" s="1324"/>
      <c r="AA26" s="1325">
        <v>1</v>
      </c>
      <c r="AB26" s="1325">
        <v>1</v>
      </c>
      <c r="AC26" s="1325">
        <v>1</v>
      </c>
    </row>
    <row r="27" spans="1:29" s="405" customFormat="1" ht="40.5">
      <c r="A27" s="990"/>
      <c r="B27" s="1410" t="s">
        <v>2670</v>
      </c>
      <c r="C27" s="157"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610"/>
      <c r="Q27" s="295" t="str">
        <f t="shared" si="8"/>
        <v>公共配套设施</v>
      </c>
      <c r="R27" s="1317" t="s">
        <v>65</v>
      </c>
      <c r="S27" s="1318">
        <f>F27</f>
        <v>100</v>
      </c>
      <c r="T27" s="1317" t="s">
        <v>65</v>
      </c>
      <c r="U27" s="1318">
        <f>H27</f>
        <v>100</v>
      </c>
      <c r="V27" s="1317" t="s">
        <v>65</v>
      </c>
      <c r="W27" s="1318">
        <f>J27</f>
        <v>100</v>
      </c>
      <c r="X27" s="1319"/>
      <c r="Y27" s="3610"/>
      <c r="Z27" s="343" t="str">
        <f>Q27</f>
        <v>公共配套设施</v>
      </c>
      <c r="AA27" s="1325">
        <f>D27/F27</f>
        <v>1</v>
      </c>
      <c r="AB27" s="1325">
        <f>D27/H27</f>
        <v>1</v>
      </c>
      <c r="AC27" s="1325">
        <f>D27/J27</f>
        <v>1</v>
      </c>
    </row>
    <row r="28" spans="1:29" s="405" customFormat="1" ht="15">
      <c r="A28" s="990"/>
      <c r="B28" s="797"/>
      <c r="C28" s="2773" t="s">
        <v>3113</v>
      </c>
      <c r="D28" s="789"/>
      <c r="E28" s="191" t="s">
        <v>3113</v>
      </c>
      <c r="F28" s="789"/>
      <c r="G28" s="191" t="s">
        <v>3113</v>
      </c>
      <c r="H28" s="789"/>
      <c r="I28" s="97" t="s">
        <v>3113</v>
      </c>
      <c r="J28" s="789"/>
      <c r="K28" s="1079"/>
      <c r="L28" s="2349"/>
      <c r="M28" s="2350"/>
      <c r="N28" s="2350"/>
      <c r="O28" s="2351"/>
      <c r="P28" s="3610"/>
      <c r="Q28" s="295"/>
      <c r="R28" s="1317"/>
      <c r="S28" s="1318"/>
      <c r="T28" s="1317"/>
      <c r="U28" s="1318"/>
      <c r="V28" s="1317"/>
      <c r="W28" s="1318"/>
      <c r="X28" s="1319"/>
      <c r="Y28" s="3610"/>
      <c r="Z28" s="343"/>
      <c r="AA28" s="1325">
        <v>1</v>
      </c>
      <c r="AB28" s="1325">
        <v>1</v>
      </c>
      <c r="AC28" s="1325">
        <v>1</v>
      </c>
    </row>
    <row r="29" spans="1:29" s="405" customFormat="1" ht="40.5">
      <c r="A29" s="990"/>
      <c r="B29" s="1410" t="s">
        <v>2671</v>
      </c>
      <c r="C29" s="157"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3</v>
      </c>
      <c r="L29" s="2349"/>
      <c r="M29" s="2350"/>
      <c r="N29" s="2350"/>
      <c r="O29" s="2351"/>
      <c r="P29" s="3610"/>
      <c r="Q29" s="2742" t="str">
        <f t="shared" ref="Q29" si="9">B29</f>
        <v>基础设施水平</v>
      </c>
      <c r="R29" s="1317" t="s">
        <v>65</v>
      </c>
      <c r="S29" s="1318">
        <f>F29</f>
        <v>100</v>
      </c>
      <c r="T29" s="1317" t="s">
        <v>65</v>
      </c>
      <c r="U29" s="1318">
        <f>H29</f>
        <v>100</v>
      </c>
      <c r="V29" s="1317" t="s">
        <v>65</v>
      </c>
      <c r="W29" s="1318">
        <f>J29</f>
        <v>100</v>
      </c>
      <c r="X29" s="1319"/>
      <c r="Y29" s="3610"/>
      <c r="Z29" s="343" t="str">
        <f>Q29</f>
        <v>基础设施水平</v>
      </c>
      <c r="AA29" s="1325">
        <f>D29/F29</f>
        <v>1</v>
      </c>
      <c r="AB29" s="1325">
        <f>D29/H29</f>
        <v>1</v>
      </c>
      <c r="AC29" s="1325">
        <f>D29/J29</f>
        <v>1</v>
      </c>
    </row>
    <row r="30" spans="1:29" s="405" customFormat="1" ht="15">
      <c r="A30" s="990"/>
      <c r="B30" s="797"/>
      <c r="C30" s="2773" t="s">
        <v>3095</v>
      </c>
      <c r="D30" s="789"/>
      <c r="E30" s="2773" t="s">
        <v>3095</v>
      </c>
      <c r="F30" s="789"/>
      <c r="G30" s="2773" t="s">
        <v>3095</v>
      </c>
      <c r="H30" s="789"/>
      <c r="I30" s="2773" t="s">
        <v>3095</v>
      </c>
      <c r="J30" s="789"/>
      <c r="K30" s="1079"/>
      <c r="L30" s="2349"/>
      <c r="M30" s="2350"/>
      <c r="N30" s="2350"/>
      <c r="O30" s="2351"/>
      <c r="P30" s="3610"/>
      <c r="Q30" s="2742"/>
      <c r="R30" s="1317"/>
      <c r="S30" s="1318"/>
      <c r="T30" s="1317"/>
      <c r="U30" s="1318"/>
      <c r="V30" s="1317"/>
      <c r="W30" s="1318"/>
      <c r="X30" s="1319"/>
      <c r="Y30" s="3610"/>
      <c r="Z30" s="343"/>
      <c r="AA30" s="1325">
        <v>1</v>
      </c>
      <c r="AB30" s="1325">
        <v>1</v>
      </c>
      <c r="AC30" s="1325">
        <v>1</v>
      </c>
    </row>
    <row r="31" spans="1:29" ht="15" hidden="1">
      <c r="A31" s="769"/>
      <c r="B31" s="797" t="s">
        <v>435</v>
      </c>
      <c r="C31" s="181"/>
      <c r="D31" s="776">
        <v>100</v>
      </c>
      <c r="E31" s="194"/>
      <c r="F31" s="776">
        <f>SUMIF(104:104,E31,105:105)-SUMIF(104:104,C31,105:105)+100</f>
        <v>100</v>
      </c>
      <c r="G31" s="194"/>
      <c r="H31" s="776">
        <f>SUMIF(104:104,G31,105:105)-SUMIF(104:104,C31,105:105)+100</f>
        <v>100</v>
      </c>
      <c r="I31" s="194"/>
      <c r="J31" s="776">
        <f>SUMIF(104:104,I31,105:105)-SUMIF(104:104,C31,105:105)+100</f>
        <v>100</v>
      </c>
      <c r="K31" s="1080"/>
      <c r="L31" s="2357"/>
      <c r="M31" s="2348"/>
      <c r="N31" s="2348"/>
      <c r="O31" s="2356"/>
      <c r="P31" s="361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10"/>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3379">
        <f>SUMIF(106:106,E33,107:107)-SUMIF(106:106,C33,107:107)+100</f>
        <v>101</v>
      </c>
      <c r="G32" s="793"/>
      <c r="H32" s="791">
        <f>SUMIF(106:106,G33,107:107)-SUMIF(106:106,C33,107:107)+100</f>
        <v>97</v>
      </c>
      <c r="I32" s="795"/>
      <c r="J32" s="3379">
        <f>SUMIF(106:106,I33,107:107)-SUMIF(106:106,C33,107:107)+100</f>
        <v>101</v>
      </c>
      <c r="K32" s="1080">
        <v>1</v>
      </c>
      <c r="L32" s="2357"/>
      <c r="M32" s="2348"/>
      <c r="N32" s="2348"/>
      <c r="O32" s="2356"/>
      <c r="P32" s="3610"/>
      <c r="Q32" s="1321" t="str">
        <f t="shared" si="8"/>
        <v>毗邻道路的类型与等级</v>
      </c>
      <c r="R32" s="1322" t="s">
        <v>65</v>
      </c>
      <c r="S32" s="1323">
        <f t="shared" si="10"/>
        <v>101</v>
      </c>
      <c r="T32" s="1322" t="s">
        <v>65</v>
      </c>
      <c r="U32" s="1323">
        <f t="shared" si="11"/>
        <v>97</v>
      </c>
      <c r="V32" s="1322" t="s">
        <v>65</v>
      </c>
      <c r="W32" s="1323">
        <f t="shared" si="12"/>
        <v>101</v>
      </c>
      <c r="X32" s="1316"/>
      <c r="Y32" s="3610"/>
      <c r="Z32" s="1324" t="str">
        <f t="shared" si="13"/>
        <v>毗邻道路的类型与等级</v>
      </c>
      <c r="AA32" s="1325">
        <f t="shared" si="3"/>
        <v>0.99009900990099009</v>
      </c>
      <c r="AB32" s="1325">
        <f t="shared" si="4"/>
        <v>1.0309278350515463</v>
      </c>
      <c r="AC32" s="1325">
        <f t="shared" si="5"/>
        <v>0.99009900990099009</v>
      </c>
    </row>
    <row r="33" spans="1:29" ht="15.75" thickBot="1">
      <c r="A33" s="769"/>
      <c r="B33" s="797"/>
      <c r="C33" s="97" t="s">
        <v>3185</v>
      </c>
      <c r="D33" s="789"/>
      <c r="E33" s="191" t="s">
        <v>3159</v>
      </c>
      <c r="F33" s="789"/>
      <c r="G33" s="191" t="s">
        <v>3164</v>
      </c>
      <c r="H33" s="789"/>
      <c r="I33" s="97" t="s">
        <v>3159</v>
      </c>
      <c r="J33" s="789"/>
      <c r="K33" s="954"/>
      <c r="L33" s="2357"/>
      <c r="M33" s="2348"/>
      <c r="N33" s="2348"/>
      <c r="O33" s="2356"/>
      <c r="P33" s="3610"/>
      <c r="Q33" s="1321"/>
      <c r="R33" s="1322"/>
      <c r="S33" s="1323"/>
      <c r="T33" s="1322"/>
      <c r="U33" s="1323"/>
      <c r="V33" s="1322"/>
      <c r="W33" s="1323"/>
      <c r="X33" s="1316"/>
      <c r="Y33" s="3610"/>
      <c r="Z33" s="1324"/>
      <c r="AA33" s="1325">
        <v>1</v>
      </c>
      <c r="AB33" s="1325">
        <v>1</v>
      </c>
      <c r="AC33" s="1325">
        <v>1</v>
      </c>
    </row>
    <row r="34" spans="1:29" ht="15" hidden="1">
      <c r="A34" s="769"/>
      <c r="B34" s="763" t="s">
        <v>483</v>
      </c>
      <c r="C34" s="181"/>
      <c r="D34" s="776">
        <v>100</v>
      </c>
      <c r="E34" s="194"/>
      <c r="F34" s="776">
        <f>SUMIF(108:108,E34,109:109)-SUMIF(108:108,C34,109:109)+100</f>
        <v>100</v>
      </c>
      <c r="G34" s="194"/>
      <c r="H34" s="776">
        <f>SUMIF(108:108,G34,109:109)-SUMIF(108:108,C34,109:109)+100</f>
        <v>100</v>
      </c>
      <c r="I34" s="181"/>
      <c r="J34" s="776">
        <f>SUMIF(108:108,I34,109:109)-SUMIF(108:108,C34,109:109)+100</f>
        <v>100</v>
      </c>
      <c r="K34" s="953"/>
      <c r="L34" s="2357"/>
      <c r="M34" s="2348"/>
      <c r="N34" s="2348"/>
      <c r="O34" s="2356"/>
      <c r="P34" s="3610"/>
      <c r="Q34" s="1321" t="str">
        <f t="shared" si="8"/>
        <v>土地级别</v>
      </c>
      <c r="R34" s="1322" t="s">
        <v>65</v>
      </c>
      <c r="S34" s="1323">
        <f t="shared" si="10"/>
        <v>100</v>
      </c>
      <c r="T34" s="1322" t="s">
        <v>65</v>
      </c>
      <c r="U34" s="1323">
        <f t="shared" si="11"/>
        <v>100</v>
      </c>
      <c r="V34" s="1322" t="s">
        <v>65</v>
      </c>
      <c r="W34" s="1323">
        <f t="shared" si="12"/>
        <v>100</v>
      </c>
      <c r="X34" s="1316"/>
      <c r="Y34" s="3610"/>
      <c r="Z34" s="1324" t="str">
        <f t="shared" si="13"/>
        <v>土地级别</v>
      </c>
      <c r="AA34" s="1325">
        <f t="shared" si="3"/>
        <v>1</v>
      </c>
      <c r="AB34" s="1325">
        <f t="shared" si="4"/>
        <v>1</v>
      </c>
      <c r="AC34" s="1325">
        <f t="shared" si="5"/>
        <v>1</v>
      </c>
    </row>
    <row r="35" spans="1:29" ht="15" hidden="1">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10"/>
      <c r="Q35" s="1321">
        <f t="shared" si="8"/>
        <v>111</v>
      </c>
      <c r="R35" s="1322" t="s">
        <v>65</v>
      </c>
      <c r="S35" s="1323">
        <f t="shared" si="10"/>
        <v>100</v>
      </c>
      <c r="T35" s="1322" t="s">
        <v>65</v>
      </c>
      <c r="U35" s="1323">
        <f t="shared" si="11"/>
        <v>100</v>
      </c>
      <c r="V35" s="1322" t="s">
        <v>65</v>
      </c>
      <c r="W35" s="1323">
        <f t="shared" si="12"/>
        <v>100</v>
      </c>
      <c r="X35" s="1316"/>
      <c r="Y35" s="3610"/>
      <c r="Z35" s="1324">
        <f t="shared" si="13"/>
        <v>111</v>
      </c>
      <c r="AA35" s="1325">
        <f t="shared" si="3"/>
        <v>1</v>
      </c>
      <c r="AB35" s="1325">
        <f t="shared" si="4"/>
        <v>1</v>
      </c>
      <c r="AC35" s="1325">
        <f t="shared" si="5"/>
        <v>1</v>
      </c>
    </row>
    <row r="36" spans="1:29" ht="15" hidden="1">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11" t="s">
        <v>407</v>
      </c>
      <c r="Q36" s="1321">
        <f t="shared" si="8"/>
        <v>111</v>
      </c>
      <c r="R36" s="1322" t="s">
        <v>65</v>
      </c>
      <c r="S36" s="1323">
        <f t="shared" si="10"/>
        <v>100</v>
      </c>
      <c r="T36" s="1322" t="s">
        <v>65</v>
      </c>
      <c r="U36" s="1323">
        <f t="shared" si="11"/>
        <v>100</v>
      </c>
      <c r="V36" s="1322" t="s">
        <v>65</v>
      </c>
      <c r="W36" s="1323">
        <f t="shared" si="12"/>
        <v>100</v>
      </c>
      <c r="X36" s="1316"/>
      <c r="Y36" s="3612" t="s">
        <v>407</v>
      </c>
      <c r="Z36" s="1324">
        <f t="shared" si="13"/>
        <v>111</v>
      </c>
      <c r="AA36" s="1325">
        <f t="shared" si="3"/>
        <v>1</v>
      </c>
      <c r="AB36" s="1325">
        <f t="shared" si="4"/>
        <v>1</v>
      </c>
      <c r="AC36" s="1325">
        <f t="shared" si="5"/>
        <v>1</v>
      </c>
    </row>
    <row r="37" spans="1:29" s="812" customFormat="1" ht="15.75" hidden="1" thickBot="1">
      <c r="A37" s="1083"/>
      <c r="B37" s="2771">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12"/>
      <c r="Q37" s="1321">
        <f t="shared" si="8"/>
        <v>111</v>
      </c>
      <c r="R37" s="1327" t="s">
        <v>65</v>
      </c>
      <c r="S37" s="1328">
        <f t="shared" si="10"/>
        <v>100</v>
      </c>
      <c r="T37" s="1327" t="s">
        <v>65</v>
      </c>
      <c r="U37" s="1328">
        <f t="shared" si="11"/>
        <v>100</v>
      </c>
      <c r="V37" s="1327" t="s">
        <v>65</v>
      </c>
      <c r="W37" s="1328">
        <f t="shared" si="12"/>
        <v>100</v>
      </c>
      <c r="X37" s="1329"/>
      <c r="Y37" s="3612"/>
      <c r="Z37" s="1330">
        <f t="shared" si="13"/>
        <v>111</v>
      </c>
      <c r="AA37" s="1325">
        <f t="shared" si="3"/>
        <v>1</v>
      </c>
      <c r="AB37" s="1325">
        <f t="shared" si="4"/>
        <v>1</v>
      </c>
      <c r="AC37" s="1325">
        <f t="shared" si="5"/>
        <v>1</v>
      </c>
    </row>
    <row r="38" spans="1:29" ht="15">
      <c r="A38" s="813" t="s">
        <v>406</v>
      </c>
      <c r="B38" s="797" t="s">
        <v>484</v>
      </c>
      <c r="C38" s="3378">
        <f>'数据-基础表'!A3</f>
        <v>99160.26</v>
      </c>
      <c r="D38" s="808">
        <v>100</v>
      </c>
      <c r="E38" s="1086">
        <f>Sheet1!H2</f>
        <v>74674.28</v>
      </c>
      <c r="F38" s="808">
        <f>LOOKUP(E38,117:117,118:118)-LOOKUP(C38,117:117,118:118)+100</f>
        <v>99</v>
      </c>
      <c r="G38" s="1086">
        <f>Sheet1!H3</f>
        <v>63213.73</v>
      </c>
      <c r="H38" s="808">
        <f>LOOKUP(G38,117:117,118:118)-LOOKUP(C38,117:117,118:118)+100</f>
        <v>99</v>
      </c>
      <c r="I38" s="871">
        <f>Sheet1!H4</f>
        <v>122744.7</v>
      </c>
      <c r="J38" s="808">
        <f>LOOKUP(I38,117:117,118:118)-LOOKUP(C38,117:117,118:118)+100</f>
        <v>101</v>
      </c>
      <c r="K38" s="954"/>
      <c r="L38" s="2357"/>
      <c r="M38" s="2348"/>
      <c r="N38" s="2348"/>
      <c r="O38" s="2356"/>
      <c r="P38" s="3612"/>
      <c r="Q38" s="1321" t="str">
        <f>B38</f>
        <v>宗地面积</v>
      </c>
      <c r="R38" s="1322" t="s">
        <v>65</v>
      </c>
      <c r="S38" s="1323">
        <f t="shared" si="10"/>
        <v>99</v>
      </c>
      <c r="T38" s="1322" t="s">
        <v>65</v>
      </c>
      <c r="U38" s="1323">
        <f t="shared" si="11"/>
        <v>99</v>
      </c>
      <c r="V38" s="1322" t="s">
        <v>65</v>
      </c>
      <c r="W38" s="1323">
        <f t="shared" si="12"/>
        <v>101</v>
      </c>
      <c r="X38" s="1316"/>
      <c r="Y38" s="3612"/>
      <c r="Z38" s="1324" t="str">
        <f t="shared" si="13"/>
        <v>宗地面积</v>
      </c>
      <c r="AA38" s="1325">
        <f t="shared" si="3"/>
        <v>1.0101010101010102</v>
      </c>
      <c r="AB38" s="1325">
        <f t="shared" si="4"/>
        <v>1.0101010101010102</v>
      </c>
      <c r="AC38" s="1325">
        <f t="shared" si="5"/>
        <v>0.99009900990099009</v>
      </c>
    </row>
    <row r="39" spans="1:29" ht="15">
      <c r="A39" s="813"/>
      <c r="B39" s="763" t="s">
        <v>485</v>
      </c>
      <c r="C39" s="109" t="s">
        <v>3156</v>
      </c>
      <c r="D39" s="776">
        <v>100</v>
      </c>
      <c r="E39" s="109" t="s">
        <v>3156</v>
      </c>
      <c r="F39" s="776">
        <f>SUMIF(119:119,E39,120:120)-SUMIF(119:119,C39,120:120)+100</f>
        <v>100</v>
      </c>
      <c r="G39" s="109" t="s">
        <v>3156</v>
      </c>
      <c r="H39" s="776">
        <f>SUMIF(119:119,G39,120:120)-SUMIF(119:119,C39,120:120)+100</f>
        <v>100</v>
      </c>
      <c r="I39" s="109" t="s">
        <v>3156</v>
      </c>
      <c r="J39" s="776">
        <f>SUMIF(119:119,I39,120:120)-SUMIF(119:119,C39,120:120)+100</f>
        <v>100</v>
      </c>
      <c r="K39" s="953">
        <v>2</v>
      </c>
      <c r="L39" s="2357"/>
      <c r="M39" s="2348"/>
      <c r="N39" s="2348"/>
      <c r="O39" s="2356"/>
      <c r="P39" s="3612"/>
      <c r="Q39" s="1321" t="str">
        <f t="shared" ref="Q39:Q45" si="14">B39</f>
        <v>宗地形状</v>
      </c>
      <c r="R39" s="1322" t="s">
        <v>65</v>
      </c>
      <c r="S39" s="1323">
        <f t="shared" si="10"/>
        <v>100</v>
      </c>
      <c r="T39" s="1322" t="s">
        <v>65</v>
      </c>
      <c r="U39" s="1323">
        <f t="shared" si="11"/>
        <v>100</v>
      </c>
      <c r="V39" s="1322" t="s">
        <v>65</v>
      </c>
      <c r="W39" s="1323">
        <f t="shared" si="12"/>
        <v>100</v>
      </c>
      <c r="X39" s="1316"/>
      <c r="Y39" s="3612"/>
      <c r="Z39" s="1324" t="str">
        <f t="shared" si="13"/>
        <v>宗地形状</v>
      </c>
      <c r="AA39" s="1325">
        <f t="shared" si="3"/>
        <v>1</v>
      </c>
      <c r="AB39" s="1325">
        <f t="shared" si="4"/>
        <v>1</v>
      </c>
      <c r="AC39" s="1325">
        <f t="shared" si="5"/>
        <v>1</v>
      </c>
    </row>
    <row r="40" spans="1:29" ht="15" hidden="1">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612"/>
      <c r="Q40" s="1321" t="str">
        <f t="shared" si="14"/>
        <v>临街宽度及深度</v>
      </c>
      <c r="R40" s="1322" t="s">
        <v>65</v>
      </c>
      <c r="S40" s="1323">
        <f t="shared" si="10"/>
        <v>100</v>
      </c>
      <c r="T40" s="1322" t="s">
        <v>65</v>
      </c>
      <c r="U40" s="1323">
        <f t="shared" si="11"/>
        <v>100</v>
      </c>
      <c r="V40" s="1322" t="s">
        <v>65</v>
      </c>
      <c r="W40" s="1323">
        <f t="shared" si="12"/>
        <v>100</v>
      </c>
      <c r="X40" s="1316"/>
      <c r="Y40" s="3612"/>
      <c r="Z40" s="1324" t="str">
        <f t="shared" si="13"/>
        <v>临街宽度及深度</v>
      </c>
      <c r="AA40" s="1325">
        <f t="shared" si="3"/>
        <v>1</v>
      </c>
      <c r="AB40" s="1325">
        <f t="shared" si="4"/>
        <v>1</v>
      </c>
      <c r="AC40" s="1325">
        <f t="shared" si="5"/>
        <v>1</v>
      </c>
    </row>
    <row r="41" spans="1:29" s="405" customFormat="1" ht="15">
      <c r="A41" s="814"/>
      <c r="B41" s="2608" t="s">
        <v>2502</v>
      </c>
      <c r="C41" s="3377" t="s">
        <v>3095</v>
      </c>
      <c r="D41" s="424">
        <v>100</v>
      </c>
      <c r="E41" s="1040" t="s">
        <v>3174</v>
      </c>
      <c r="F41" s="3369">
        <f>SUMIF(123:123,E41,124:124)-SUMIF(123:123,C41,124:124)+100</f>
        <v>90</v>
      </c>
      <c r="G41" s="1040" t="s">
        <v>3174</v>
      </c>
      <c r="H41" s="3369">
        <f>SUMIF(123:123,G41,124:124)-SUMIF(123:123,C41,124:124)+100</f>
        <v>90</v>
      </c>
      <c r="I41" s="1040" t="s">
        <v>3174</v>
      </c>
      <c r="J41" s="3369">
        <f>SUMIF(123:123,I41,124:124)-SUMIF(123:123,C41,124:124)+100</f>
        <v>90</v>
      </c>
      <c r="K41" s="953">
        <v>10</v>
      </c>
      <c r="L41" s="2349"/>
      <c r="M41" s="2350"/>
      <c r="N41" s="2350"/>
      <c r="O41" s="2351"/>
      <c r="P41" s="3612"/>
      <c r="Q41" s="1321" t="str">
        <f t="shared" si="14"/>
        <v>宗地开发程度</v>
      </c>
      <c r="R41" s="1317" t="s">
        <v>65</v>
      </c>
      <c r="S41" s="1318">
        <f t="shared" si="10"/>
        <v>90</v>
      </c>
      <c r="T41" s="1317" t="s">
        <v>65</v>
      </c>
      <c r="U41" s="1318">
        <f t="shared" si="11"/>
        <v>90</v>
      </c>
      <c r="V41" s="1317" t="s">
        <v>65</v>
      </c>
      <c r="W41" s="1318">
        <f t="shared" si="12"/>
        <v>90</v>
      </c>
      <c r="X41" s="1319"/>
      <c r="Y41" s="3612"/>
      <c r="Z41" s="343" t="str">
        <f t="shared" si="13"/>
        <v>宗地开发程度</v>
      </c>
      <c r="AA41" s="1320">
        <f t="shared" si="3"/>
        <v>1.1111111111111112</v>
      </c>
      <c r="AB41" s="1320">
        <f t="shared" si="4"/>
        <v>1.1111111111111112</v>
      </c>
      <c r="AC41" s="1320">
        <f t="shared" si="5"/>
        <v>1.1111111111111112</v>
      </c>
    </row>
    <row r="42" spans="1:29" ht="15.75" thickBot="1">
      <c r="A42" s="813"/>
      <c r="B42" s="763" t="s">
        <v>487</v>
      </c>
      <c r="C42" s="109" t="s">
        <v>3109</v>
      </c>
      <c r="D42" s="776">
        <v>100</v>
      </c>
      <c r="E42" s="109" t="s">
        <v>3109</v>
      </c>
      <c r="F42" s="776">
        <f>SUMIF(125:125,E42,126:126)-SUMIF(125:125,C42,126:126)+100</f>
        <v>100</v>
      </c>
      <c r="G42" s="109" t="s">
        <v>3109</v>
      </c>
      <c r="H42" s="776">
        <f>SUMIF(125:125,G42,126:126)-SUMIF(125:125,C42,126:126)+100</f>
        <v>100</v>
      </c>
      <c r="I42" s="109" t="s">
        <v>3109</v>
      </c>
      <c r="J42" s="776">
        <f>SUMIF(125:125,I42,126:126)-SUMIF(125:125,C42,126:126)+100</f>
        <v>100</v>
      </c>
      <c r="K42" s="953">
        <v>2</v>
      </c>
      <c r="L42" s="2357"/>
      <c r="M42" s="2348"/>
      <c r="N42" s="2348"/>
      <c r="O42" s="2356"/>
      <c r="P42" s="3612" t="s">
        <v>407</v>
      </c>
      <c r="Q42" s="1321" t="str">
        <f t="shared" si="14"/>
        <v>工程地质条件</v>
      </c>
      <c r="R42" s="1322" t="s">
        <v>65</v>
      </c>
      <c r="S42" s="1323">
        <f t="shared" si="10"/>
        <v>100</v>
      </c>
      <c r="T42" s="1322" t="s">
        <v>65</v>
      </c>
      <c r="U42" s="1323">
        <f t="shared" si="11"/>
        <v>100</v>
      </c>
      <c r="V42" s="1322" t="s">
        <v>65</v>
      </c>
      <c r="W42" s="1323">
        <f t="shared" si="12"/>
        <v>100</v>
      </c>
      <c r="X42" s="1316"/>
      <c r="Y42" s="3612" t="s">
        <v>407</v>
      </c>
      <c r="Z42" s="1324" t="str">
        <f t="shared" si="13"/>
        <v>工程地质条件</v>
      </c>
      <c r="AA42" s="1325">
        <f t="shared" si="3"/>
        <v>1</v>
      </c>
      <c r="AB42" s="1325">
        <f t="shared" si="4"/>
        <v>1</v>
      </c>
      <c r="AC42" s="1325">
        <f t="shared" si="5"/>
        <v>1</v>
      </c>
    </row>
    <row r="43" spans="1:29" ht="15" hidden="1">
      <c r="A43" s="813"/>
      <c r="B43" s="205">
        <v>111</v>
      </c>
      <c r="C43" s="202"/>
      <c r="D43" s="776">
        <v>100</v>
      </c>
      <c r="E43" s="202"/>
      <c r="F43" s="776">
        <f>SUMIF(127:127,E43,128:128)-SUMIF(127:127,C43,128:128)+100</f>
        <v>100</v>
      </c>
      <c r="G43" s="202"/>
      <c r="H43" s="776">
        <f>SUMIF(127:127,G43,128:128)-SUMIF(127:127,C43,128:128)+100</f>
        <v>100</v>
      </c>
      <c r="I43" s="125"/>
      <c r="J43" s="776">
        <f>SUMIF(127:127,I43,128:128)-SUMIF(127:127,C43,128:128)+100</f>
        <v>100</v>
      </c>
      <c r="K43" s="954"/>
      <c r="L43" s="2357"/>
      <c r="M43" s="2348"/>
      <c r="N43" s="2348"/>
      <c r="O43" s="2356"/>
      <c r="P43" s="3612"/>
      <c r="Q43" s="1321">
        <f t="shared" si="14"/>
        <v>111</v>
      </c>
      <c r="R43" s="1322" t="s">
        <v>65</v>
      </c>
      <c r="S43" s="1323">
        <f t="shared" si="10"/>
        <v>100</v>
      </c>
      <c r="T43" s="1322" t="s">
        <v>65</v>
      </c>
      <c r="U43" s="1323">
        <f t="shared" si="11"/>
        <v>100</v>
      </c>
      <c r="V43" s="1322" t="s">
        <v>65</v>
      </c>
      <c r="W43" s="1323">
        <f t="shared" si="12"/>
        <v>100</v>
      </c>
      <c r="X43" s="1316"/>
      <c r="Y43" s="3612"/>
      <c r="Z43" s="1324">
        <f t="shared" si="13"/>
        <v>111</v>
      </c>
      <c r="AA43" s="1325">
        <f t="shared" si="3"/>
        <v>1</v>
      </c>
      <c r="AB43" s="1325">
        <f t="shared" si="4"/>
        <v>1</v>
      </c>
      <c r="AC43" s="1325">
        <f t="shared" si="5"/>
        <v>1</v>
      </c>
    </row>
    <row r="44" spans="1:29" ht="15" hidden="1">
      <c r="A44" s="813"/>
      <c r="B44" s="205">
        <v>111</v>
      </c>
      <c r="C44" s="202"/>
      <c r="D44" s="776">
        <v>100</v>
      </c>
      <c r="E44" s="202"/>
      <c r="F44" s="776">
        <f>SUMIF(129:129,E44,130:130)-SUMIF(129:129,C44,130:130)+100</f>
        <v>100</v>
      </c>
      <c r="G44" s="202"/>
      <c r="H44" s="776">
        <f>SUMIF(129:129,G44,130:130)-SUMIF(129:129,C44,130:130)+100</f>
        <v>100</v>
      </c>
      <c r="I44" s="125"/>
      <c r="J44" s="776">
        <f>SUMIF(129:129,I44,130:130)-SUMIF(129:129,C44,130:130)+100</f>
        <v>100</v>
      </c>
      <c r="K44" s="954"/>
      <c r="L44" s="2357"/>
      <c r="M44" s="2348"/>
      <c r="N44" s="2348"/>
      <c r="O44" s="2356"/>
      <c r="P44" s="3612"/>
      <c r="Q44" s="1321">
        <f t="shared" si="14"/>
        <v>111</v>
      </c>
      <c r="R44" s="1322" t="s">
        <v>65</v>
      </c>
      <c r="S44" s="1323">
        <f t="shared" si="10"/>
        <v>100</v>
      </c>
      <c r="T44" s="1322" t="s">
        <v>65</v>
      </c>
      <c r="U44" s="1323">
        <f t="shared" si="11"/>
        <v>100</v>
      </c>
      <c r="V44" s="1322" t="s">
        <v>65</v>
      </c>
      <c r="W44" s="1323">
        <f t="shared" si="12"/>
        <v>100</v>
      </c>
      <c r="X44" s="1316"/>
      <c r="Y44" s="3612"/>
      <c r="Z44" s="1324">
        <f t="shared" si="13"/>
        <v>111</v>
      </c>
      <c r="AA44" s="1325">
        <f t="shared" si="3"/>
        <v>1</v>
      </c>
      <c r="AB44" s="1325">
        <f t="shared" si="4"/>
        <v>1</v>
      </c>
      <c r="AC44" s="1325">
        <f t="shared" si="5"/>
        <v>1</v>
      </c>
    </row>
    <row r="45" spans="1:29" s="812" customFormat="1" ht="15.75" hidden="1" thickBot="1">
      <c r="A45" s="809"/>
      <c r="B45" s="205">
        <v>111</v>
      </c>
      <c r="C45" s="1042"/>
      <c r="D45" s="1087">
        <v>100</v>
      </c>
      <c r="E45" s="202"/>
      <c r="F45" s="779">
        <f>SUMIF(131:131,E45,132:132)-SUMIF(131:131,C45,132:132)+100</f>
        <v>100</v>
      </c>
      <c r="G45" s="202"/>
      <c r="H45" s="779">
        <f>SUMIF(131:131,G45,132:132)-SUMIF(131:131,C45,132:132)+100</f>
        <v>100</v>
      </c>
      <c r="I45" s="202"/>
      <c r="J45" s="779">
        <f>SUMIF(131:131,I45,132:132)-SUMIF(131:131,C45,132:132)+100</f>
        <v>100</v>
      </c>
      <c r="K45" s="1088"/>
      <c r="L45" s="2355"/>
      <c r="M45" s="2358"/>
      <c r="N45" s="2358"/>
      <c r="O45" s="2359"/>
      <c r="P45" s="3612"/>
      <c r="Q45" s="1321">
        <f t="shared" si="14"/>
        <v>111</v>
      </c>
      <c r="R45" s="1327" t="s">
        <v>65</v>
      </c>
      <c r="S45" s="1328">
        <f t="shared" si="10"/>
        <v>100</v>
      </c>
      <c r="T45" s="1327" t="s">
        <v>65</v>
      </c>
      <c r="U45" s="1328">
        <f t="shared" si="11"/>
        <v>100</v>
      </c>
      <c r="V45" s="1327" t="s">
        <v>65</v>
      </c>
      <c r="W45" s="1328">
        <f t="shared" si="12"/>
        <v>100</v>
      </c>
      <c r="X45" s="1329"/>
      <c r="Y45" s="3612"/>
      <c r="Z45" s="1330">
        <f t="shared" si="13"/>
        <v>111</v>
      </c>
      <c r="AA45" s="1325">
        <f t="shared" si="3"/>
        <v>1</v>
      </c>
      <c r="AB45" s="1325">
        <f t="shared" si="4"/>
        <v>1</v>
      </c>
      <c r="AC45" s="1325">
        <f t="shared" si="5"/>
        <v>1</v>
      </c>
    </row>
    <row r="46" spans="1:29" ht="15">
      <c r="A46" s="820" t="s">
        <v>488</v>
      </c>
      <c r="B46" s="206" t="s">
        <v>158</v>
      </c>
      <c r="C46" s="1089" t="s">
        <v>23</v>
      </c>
      <c r="D46" s="822"/>
      <c r="E46" s="823">
        <f>ROUND(Sheet1!S2,0)</f>
        <v>2760</v>
      </c>
      <c r="F46" s="824"/>
      <c r="G46" s="825">
        <f>ROUND(Sheet1!S3,0)</f>
        <v>2877</v>
      </c>
      <c r="H46" s="826"/>
      <c r="I46" s="823">
        <f>ROUND(Sheet1!S4,0)</f>
        <v>2805</v>
      </c>
      <c r="J46" s="826"/>
      <c r="K46" s="1398"/>
      <c r="L46" s="2360"/>
      <c r="M46" s="2361"/>
      <c r="N46" s="2348"/>
      <c r="O46" s="2361"/>
      <c r="P46" s="3594" t="str">
        <f>A46</f>
        <v>成交单价</v>
      </c>
      <c r="Q46" s="3594"/>
      <c r="R46" s="3607">
        <f>E46</f>
        <v>2760</v>
      </c>
      <c r="S46" s="3607"/>
      <c r="T46" s="3607">
        <f>G46</f>
        <v>2877</v>
      </c>
      <c r="U46" s="3607"/>
      <c r="V46" s="3607">
        <f>I46</f>
        <v>2805</v>
      </c>
      <c r="W46" s="3607"/>
      <c r="X46" s="1305"/>
      <c r="Y46" s="1331"/>
      <c r="Z46" s="1305"/>
      <c r="AA46" s="1305"/>
      <c r="AB46" s="1305"/>
      <c r="AC46" s="1305"/>
    </row>
    <row r="47" spans="1:29" ht="15.75" thickBot="1">
      <c r="A47" s="827" t="s">
        <v>409</v>
      </c>
      <c r="B47" s="1090"/>
      <c r="C47" s="831">
        <f>R48</f>
        <v>3380</v>
      </c>
      <c r="D47" s="830"/>
      <c r="E47" s="831">
        <f>R47</f>
        <v>3268</v>
      </c>
      <c r="F47" s="832"/>
      <c r="G47" s="829">
        <f>T47</f>
        <v>3583</v>
      </c>
      <c r="H47" s="830"/>
      <c r="I47" s="831">
        <f>V47</f>
        <v>3289</v>
      </c>
      <c r="J47" s="830"/>
      <c r="K47" s="1399"/>
      <c r="L47" s="2360"/>
      <c r="M47" s="2361"/>
      <c r="N47" s="2361"/>
      <c r="O47" s="2361"/>
      <c r="P47" s="3594" t="str">
        <f>A47</f>
        <v>比较价值（元/平方米）</v>
      </c>
      <c r="Q47" s="3594"/>
      <c r="R47" s="3613">
        <f>ROUND(PRODUCT(R46,AA7:AA45),0)</f>
        <v>3268</v>
      </c>
      <c r="S47" s="3613"/>
      <c r="T47" s="3613">
        <f>ROUND(PRODUCT(T46,AB7:AB45),0)</f>
        <v>3583</v>
      </c>
      <c r="U47" s="3613"/>
      <c r="V47" s="3613">
        <f>ROUND(PRODUCT(V46,AC7:AC45),0)</f>
        <v>3289</v>
      </c>
      <c r="W47" s="3613"/>
      <c r="X47" s="1305"/>
      <c r="Y47" s="1305"/>
      <c r="Z47" s="1305"/>
      <c r="AA47" s="1305"/>
      <c r="AB47" s="1305"/>
      <c r="AC47" s="1305"/>
    </row>
    <row r="48" spans="1:29" ht="15.75" thickBot="1">
      <c r="A48" s="114" t="s">
        <v>514</v>
      </c>
      <c r="B48" s="834"/>
      <c r="C48" s="835">
        <f>R48</f>
        <v>3380</v>
      </c>
      <c r="D48" s="835"/>
      <c r="E48" s="835"/>
      <c r="F48" s="835"/>
      <c r="G48" s="835"/>
      <c r="H48" s="835"/>
      <c r="I48" s="835"/>
      <c r="J48" s="835"/>
      <c r="K48" s="1400"/>
      <c r="L48" s="2360"/>
      <c r="M48" s="2361"/>
      <c r="N48" s="2361"/>
      <c r="O48" s="2361"/>
      <c r="P48" s="3614" t="str">
        <f>A48</f>
        <v>估价对象XX用房的比较价值（楼面单价，元/平方米）</v>
      </c>
      <c r="Q48" s="3615"/>
      <c r="R48" s="3616">
        <f>ROUND(AVERAGE(R47:V47),0)</f>
        <v>3380</v>
      </c>
      <c r="S48" s="3616"/>
      <c r="T48" s="3616"/>
      <c r="U48" s="3616"/>
      <c r="V48" s="3616"/>
      <c r="W48" s="3616"/>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0.18405797101449273</v>
      </c>
      <c r="F51" s="841" t="str">
        <f>IF(OR(E51&gt;=0.3,E51&lt;=-0.3),"超过30%","")</f>
        <v/>
      </c>
      <c r="G51" s="840">
        <f>IF(G46&lt;G47,G47/G46-1,G46/G47-1)</f>
        <v>0.24539450816823072</v>
      </c>
      <c r="H51" s="841" t="str">
        <f>IF(OR(G51&gt;=0.3,G51&lt;=-0.3),"超过30%","")</f>
        <v/>
      </c>
      <c r="I51" s="840">
        <f>IF(I46&lt;I47,I47/I46-1,I46/I47-1)</f>
        <v>0.17254901960784319</v>
      </c>
      <c r="J51" s="841" t="str">
        <f>IF(OR(I51&gt;=0.3,I51&lt;=-0.3),"超过30%","")</f>
        <v/>
      </c>
      <c r="K51" s="2187"/>
      <c r="L51" s="2188"/>
      <c r="M51" s="2361"/>
      <c r="N51" s="2361"/>
      <c r="O51" s="2361"/>
    </row>
    <row r="52" spans="1:15" ht="13.5" customHeight="1">
      <c r="A52" s="2361"/>
      <c r="B52" s="2361"/>
      <c r="C52" s="838" t="s">
        <v>411</v>
      </c>
      <c r="D52" s="842"/>
      <c r="E52" s="840">
        <f>IF(E47&lt;G47,G47/E47-1,E47/G47-1)</f>
        <v>9.6389228886168965E-2</v>
      </c>
      <c r="F52" s="841" t="str">
        <f>IF(OR(E52&gt;=0.2,E52&lt;=-0.2),"超过20%","")</f>
        <v/>
      </c>
      <c r="G52" s="840">
        <f>IF(G47&lt;I47,I47/G47-1,G47/I47-1)</f>
        <v>8.9388871997567731E-2</v>
      </c>
      <c r="H52" s="841" t="str">
        <f>IF(OR(G52&gt;=0.2,G52&lt;=-0.2),"超过20%","")</f>
        <v/>
      </c>
      <c r="I52" s="840">
        <f>IF(I47&lt;E47,E47/I47-1,I47/E47-1)</f>
        <v>6.4259485924111903E-3</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4.239130434782612E-2</v>
      </c>
      <c r="F53" s="841" t="str">
        <f>IF(OR(E53&gt;=0.3,E53&lt;=-0.3),"超过30%","")</f>
        <v/>
      </c>
      <c r="G53" s="840">
        <f>IF(G46&lt;I46,I46/G46-1,G46/I46-1)</f>
        <v>2.5668449197860932E-2</v>
      </c>
      <c r="H53" s="841" t="str">
        <f>IF(OR(G53&gt;=0.3,G53&lt;=-0.3),"超过30%","")</f>
        <v/>
      </c>
      <c r="I53" s="840">
        <f>IF(I46&lt;E46,E46/I46-1,I46/E46-1)</f>
        <v>1.6304347826086918E-2</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489</v>
      </c>
      <c r="B55" s="1092" t="s">
        <v>490</v>
      </c>
      <c r="C55" s="1775" t="s">
        <v>1888</v>
      </c>
      <c r="D55" s="2392" t="s">
        <v>2326</v>
      </c>
      <c r="E55" s="1093" t="s">
        <v>491</v>
      </c>
      <c r="F55" s="2189" t="s">
        <v>492</v>
      </c>
      <c r="G55" s="3617" t="s">
        <v>2319</v>
      </c>
      <c r="H55" s="3618"/>
      <c r="I55" s="2190" t="s">
        <v>1887</v>
      </c>
      <c r="J55" s="2194" t="str">
        <f>项目基本情况!F35</f>
        <v>陕西省西安市</v>
      </c>
      <c r="K55" s="2375" t="s">
        <v>1889</v>
      </c>
      <c r="L55" s="2188"/>
      <c r="M55" s="2361"/>
      <c r="N55" s="2361"/>
      <c r="O55" s="2361"/>
    </row>
    <row r="56" spans="1:15" s="1099" customFormat="1">
      <c r="A56" s="1095" t="s">
        <v>493</v>
      </c>
      <c r="B56" s="1096">
        <f>C48</f>
        <v>3380</v>
      </c>
      <c r="C56" s="1097">
        <v>1</v>
      </c>
      <c r="D56" s="2393">
        <v>1</v>
      </c>
      <c r="E56" s="1097">
        <f>'数据-汇总表'!E8+'数据-汇总表'!E9</f>
        <v>60622.95</v>
      </c>
      <c r="F56" s="2185">
        <f t="shared" ref="F56:F65" si="15">ROUND(B56*E56/10000,0)</f>
        <v>20491</v>
      </c>
      <c r="G56" s="3619"/>
      <c r="H56" s="3620"/>
      <c r="I56" s="2191">
        <v>1</v>
      </c>
      <c r="J56" s="2195">
        <v>1</v>
      </c>
      <c r="K56" s="2362"/>
      <c r="L56" s="1772"/>
      <c r="M56" s="1772"/>
      <c r="N56" s="1772"/>
      <c r="O56" s="1772"/>
    </row>
    <row r="57" spans="1:15" s="1099" customFormat="1">
      <c r="A57" s="1100" t="s">
        <v>494</v>
      </c>
      <c r="B57" s="592">
        <f>ROUND($C$48*C57*D57,0)</f>
        <v>0</v>
      </c>
      <c r="C57" s="530">
        <f t="shared" ref="C57:C65" si="16">IF($C$55="北京市系数",I57,J57)</f>
        <v>0</v>
      </c>
      <c r="D57" s="2394">
        <v>0.25</v>
      </c>
      <c r="E57" s="1101"/>
      <c r="F57" s="2185">
        <f t="shared" si="15"/>
        <v>0</v>
      </c>
      <c r="G57" s="3621" t="s">
        <v>2320</v>
      </c>
      <c r="H57" s="2186">
        <f>项目基本情况!B37</f>
        <v>0</v>
      </c>
      <c r="I57" s="2191">
        <f>SUMIF(修正!A45:A56,H57,修正!B45:B56)</f>
        <v>0</v>
      </c>
      <c r="J57" s="2196"/>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621"/>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621"/>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621"/>
      <c r="H60" s="2186">
        <f>项目基本情况!B37</f>
        <v>0</v>
      </c>
      <c r="I60" s="2191">
        <f>SUMIF(修正!A45:A56,H60,修正!E45:E56)</f>
        <v>0</v>
      </c>
      <c r="J60" s="2196"/>
      <c r="K60" s="2362"/>
      <c r="L60" s="1772"/>
      <c r="M60" s="1772"/>
      <c r="N60" s="1772"/>
      <c r="O60" s="1772"/>
    </row>
    <row r="61" spans="1:15" s="1099" customFormat="1">
      <c r="A61" s="2514" t="s">
        <v>2401</v>
      </c>
      <c r="B61" s="592">
        <f t="shared" si="17"/>
        <v>0</v>
      </c>
      <c r="C61" s="530">
        <f t="shared" si="16"/>
        <v>0</v>
      </c>
      <c r="D61" s="2394">
        <v>0.25</v>
      </c>
      <c r="E61" s="591">
        <f>'数据-汇总表'!E11</f>
        <v>0</v>
      </c>
      <c r="F61" s="2185">
        <f t="shared" si="15"/>
        <v>0</v>
      </c>
      <c r="G61" s="2198" t="s">
        <v>2321</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2322</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2321</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2327</v>
      </c>
      <c r="E66" s="1103">
        <f>IF(B46="楼面地价",SUM(E56:E65),'数据-汇总表'!D3)</f>
        <v>60622.95</v>
      </c>
      <c r="F66" s="1104">
        <f>IF(B46="楼面地价",SUM(F56:F65),ROUND(C48*E66/10000,0))</f>
        <v>20491</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7"/>
      <c r="K69" s="2378"/>
      <c r="L69" s="2379"/>
      <c r="M69" s="2377"/>
      <c r="N69" s="2377"/>
      <c r="O69" s="2377"/>
      <c r="P69" s="844"/>
      <c r="Q69" s="845"/>
    </row>
    <row r="70" spans="1:17" s="849" customFormat="1" ht="15">
      <c r="A70" s="2704" t="s">
        <v>2793</v>
      </c>
      <c r="B70" s="2705"/>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8"/>
    </row>
    <row r="71" spans="1:17" s="405" customFormat="1" ht="30" customHeight="1">
      <c r="A71" s="3037" t="s">
        <v>40</v>
      </c>
      <c r="B71" s="662" t="str">
        <f>"北京市平均增长率"&amp;TEXT(SUMIF(基准地价修正!N21:N25,A71,基准地价修正!P21:P25),"0.00%")</f>
        <v>北京市平均增长率2.75%</v>
      </c>
      <c r="C71" s="944">
        <v>100</v>
      </c>
      <c r="D71" s="936">
        <f>C71-1</f>
        <v>99</v>
      </c>
      <c r="E71" s="936">
        <f t="shared" ref="E71:O71" si="20">D71-1</f>
        <v>98</v>
      </c>
      <c r="F71" s="936">
        <f t="shared" si="20"/>
        <v>97</v>
      </c>
      <c r="G71" s="936">
        <f t="shared" si="20"/>
        <v>96</v>
      </c>
      <c r="H71" s="936">
        <f t="shared" si="20"/>
        <v>95</v>
      </c>
      <c r="I71" s="936">
        <f t="shared" si="20"/>
        <v>94</v>
      </c>
      <c r="J71" s="936">
        <f t="shared" si="20"/>
        <v>93</v>
      </c>
      <c r="K71" s="936">
        <f t="shared" si="20"/>
        <v>92</v>
      </c>
      <c r="L71" s="936">
        <f t="shared" si="20"/>
        <v>91</v>
      </c>
      <c r="M71" s="936">
        <f t="shared" si="20"/>
        <v>90</v>
      </c>
      <c r="N71" s="936">
        <f t="shared" si="20"/>
        <v>89</v>
      </c>
      <c r="O71" s="936">
        <f t="shared" si="20"/>
        <v>88</v>
      </c>
      <c r="P71" s="845"/>
    </row>
    <row r="72" spans="1:17" s="405" customFormat="1" ht="15.75" thickBot="1">
      <c r="A72" s="856" t="s">
        <v>414</v>
      </c>
      <c r="B72" s="857"/>
      <c r="C72" s="858"/>
      <c r="D72" s="859"/>
      <c r="E72" s="859"/>
      <c r="F72" s="859"/>
      <c r="G72" s="859"/>
      <c r="H72" s="859"/>
      <c r="I72" s="859"/>
      <c r="J72" s="859"/>
      <c r="K72" s="859"/>
      <c r="L72" s="859"/>
      <c r="M72" s="860"/>
      <c r="N72" s="859"/>
      <c r="O72" s="2380"/>
      <c r="P72" s="845"/>
      <c r="Q72" s="845"/>
    </row>
    <row r="73" spans="1:17" s="405" customFormat="1" ht="15">
      <c r="A73" s="862" t="s">
        <v>398</v>
      </c>
      <c r="B73" s="851"/>
      <c r="C73" s="863" t="s">
        <v>415</v>
      </c>
      <c r="D73" s="139"/>
      <c r="E73" s="139"/>
      <c r="F73" s="139"/>
      <c r="G73" s="139"/>
      <c r="H73" s="139"/>
      <c r="I73" s="139"/>
      <c r="J73" s="139"/>
      <c r="K73" s="139"/>
      <c r="L73" s="140"/>
      <c r="M73" s="1049"/>
      <c r="N73" s="2368"/>
      <c r="O73" s="2368"/>
      <c r="P73" s="867"/>
      <c r="Q73" s="845"/>
    </row>
    <row r="74" spans="1:17" s="405"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416</v>
      </c>
      <c r="B75" s="869" t="s">
        <v>417</v>
      </c>
      <c r="C75" s="121" t="s">
        <v>3166</v>
      </c>
      <c r="D75" s="121"/>
      <c r="E75" s="121"/>
      <c r="F75" s="121"/>
      <c r="G75" s="121"/>
      <c r="H75" s="121"/>
      <c r="I75" s="121"/>
      <c r="J75" s="121"/>
      <c r="K75" s="122"/>
      <c r="L75" s="123"/>
      <c r="M75" s="124"/>
      <c r="N75" s="2369"/>
      <c r="O75" s="2369"/>
      <c r="P75" s="333"/>
      <c r="Q75" s="845"/>
    </row>
    <row r="76" spans="1:17" ht="15.75" thickBot="1">
      <c r="A76" s="875"/>
      <c r="B76" s="876"/>
      <c r="C76" s="877"/>
      <c r="D76" s="877"/>
      <c r="E76" s="877"/>
      <c r="F76" s="877"/>
      <c r="G76" s="877"/>
      <c r="H76" s="877"/>
      <c r="I76" s="877"/>
      <c r="J76" s="877"/>
      <c r="K76" s="877"/>
      <c r="L76" s="877"/>
      <c r="M76" s="878"/>
      <c r="N76" s="2370"/>
      <c r="O76" s="2370"/>
      <c r="P76" s="333"/>
      <c r="Q76" s="845"/>
    </row>
    <row r="77" spans="1:17" ht="27.75" thickTop="1">
      <c r="A77" s="875"/>
      <c r="B77" s="879" t="s">
        <v>402</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403</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v>
      </c>
      <c r="I79" s="888" t="str">
        <f t="shared" si="21"/>
        <v>（含）-</v>
      </c>
      <c r="J79" s="888" t="str">
        <f t="shared" si="21"/>
        <v>（含）-</v>
      </c>
      <c r="K79" s="888" t="str">
        <f t="shared" si="21"/>
        <v>（含）-</v>
      </c>
      <c r="L79" s="888" t="str">
        <f t="shared" si="21"/>
        <v>（含）-</v>
      </c>
      <c r="M79" s="789" t="str">
        <f>M80&amp;"（含）"&amp;"-"&amp;P80</f>
        <v>（含）-</v>
      </c>
      <c r="N79" s="2370"/>
      <c r="O79" s="2370"/>
      <c r="P79" s="333"/>
      <c r="Q79" s="845"/>
    </row>
    <row r="80" spans="1:17" ht="15">
      <c r="A80" s="875"/>
      <c r="B80" s="889"/>
      <c r="C80" s="890">
        <v>0</v>
      </c>
      <c r="D80" s="890">
        <v>1</v>
      </c>
      <c r="E80" s="890">
        <v>2</v>
      </c>
      <c r="F80" s="890">
        <v>3</v>
      </c>
      <c r="G80" s="890">
        <v>4</v>
      </c>
      <c r="H80" s="890">
        <v>5</v>
      </c>
      <c r="I80" s="890"/>
      <c r="J80" s="890"/>
      <c r="K80" s="891"/>
      <c r="L80" s="892"/>
      <c r="M80" s="893"/>
      <c r="N80" s="2369"/>
      <c r="O80" s="2369"/>
      <c r="P80" s="333"/>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70"/>
      <c r="O81" s="2370"/>
      <c r="P81" s="333"/>
      <c r="Q81" s="845"/>
    </row>
    <row r="82" spans="1:17" s="812" customFormat="1" ht="15.75" thickTop="1">
      <c r="A82" s="894"/>
      <c r="B82" s="879" t="str">
        <f>B12</f>
        <v>配建</v>
      </c>
      <c r="C82" s="138"/>
      <c r="D82" s="138"/>
      <c r="E82" s="138"/>
      <c r="F82" s="138"/>
      <c r="G82" s="138"/>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8"/>
      <c r="D84" s="138"/>
      <c r="E84" s="138"/>
      <c r="F84" s="138"/>
      <c r="G84" s="138"/>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39"/>
      <c r="D86" s="139"/>
      <c r="E86" s="139"/>
      <c r="F86" s="139"/>
      <c r="G86" s="139"/>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95</v>
      </c>
      <c r="E89" s="885">
        <f>D89-$K15</f>
        <v>90</v>
      </c>
      <c r="F89" s="885">
        <f>E89-$K15</f>
        <v>85</v>
      </c>
      <c r="G89" s="885">
        <f>F89-$K15</f>
        <v>80</v>
      </c>
      <c r="H89" s="885"/>
      <c r="I89" s="885"/>
      <c r="J89" s="885"/>
      <c r="K89" s="885"/>
      <c r="L89" s="885"/>
      <c r="M89" s="886"/>
      <c r="N89" s="2370"/>
      <c r="O89" s="2370"/>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3"/>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3"/>
      <c r="Q95" s="845"/>
    </row>
    <row r="96" spans="1:17" s="405"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3"/>
      <c r="Q96" s="845"/>
    </row>
    <row r="97" spans="1:17" s="405"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3"/>
      <c r="Q97" s="845"/>
    </row>
    <row r="98" spans="1:17" s="405"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3"/>
      <c r="Q98" s="845"/>
    </row>
    <row r="99" spans="1:17" s="405" customFormat="1" ht="15.75" thickBot="1">
      <c r="A99" s="920"/>
      <c r="B99" s="884"/>
      <c r="C99" s="885">
        <v>100</v>
      </c>
      <c r="D99" s="885">
        <f>C99-$K25</f>
        <v>95</v>
      </c>
      <c r="E99" s="885">
        <f>D99-$K25</f>
        <v>90</v>
      </c>
      <c r="F99" s="885">
        <f>E99-$K25</f>
        <v>85</v>
      </c>
      <c r="G99" s="885">
        <f>F99-$K25</f>
        <v>80</v>
      </c>
      <c r="H99" s="885"/>
      <c r="I99" s="885"/>
      <c r="J99" s="885"/>
      <c r="K99" s="885"/>
      <c r="L99" s="885"/>
      <c r="M99" s="886"/>
      <c r="N99" s="2370"/>
      <c r="O99" s="2370"/>
      <c r="P99" s="333"/>
      <c r="Q99" s="845"/>
    </row>
    <row r="100" spans="1:17" s="812" customFormat="1" ht="15.75" thickTop="1">
      <c r="A100" s="894"/>
      <c r="B100" s="1052" t="s">
        <v>2670</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2657</v>
      </c>
      <c r="C102" s="212" t="s">
        <v>2658</v>
      </c>
      <c r="D102" s="212" t="s">
        <v>2659</v>
      </c>
      <c r="E102" s="212" t="s">
        <v>2660</v>
      </c>
      <c r="F102" s="212" t="s">
        <v>2661</v>
      </c>
      <c r="G102" s="212" t="s">
        <v>2662</v>
      </c>
      <c r="H102" s="941"/>
      <c r="I102" s="941"/>
      <c r="J102" s="941"/>
      <c r="K102" s="941"/>
      <c r="L102" s="941"/>
      <c r="M102" s="2768"/>
      <c r="N102" s="2371"/>
      <c r="O102" s="2371"/>
      <c r="P102" s="899"/>
      <c r="Q102" s="900"/>
    </row>
    <row r="103" spans="1:17" s="812" customFormat="1" ht="15.75" thickBot="1">
      <c r="A103" s="894"/>
      <c r="B103" s="1054"/>
      <c r="C103" s="885">
        <v>100</v>
      </c>
      <c r="D103" s="885">
        <f>C103-$K29</f>
        <v>97</v>
      </c>
      <c r="E103" s="885">
        <f>D103-$K29</f>
        <v>94</v>
      </c>
      <c r="F103" s="885">
        <f>E103-$K29</f>
        <v>91</v>
      </c>
      <c r="G103" s="885">
        <f>F103-$K29</f>
        <v>88</v>
      </c>
      <c r="H103" s="889"/>
      <c r="I103" s="889"/>
      <c r="J103" s="889"/>
      <c r="K103" s="889"/>
      <c r="L103" s="889"/>
      <c r="M103" s="2768"/>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3"/>
      <c r="Q104" s="845"/>
    </row>
    <row r="105" spans="1:17" ht="15.75" thickBot="1">
      <c r="A105" s="875"/>
      <c r="B105" s="884"/>
      <c r="C105" s="885">
        <v>100</v>
      </c>
      <c r="D105" s="885">
        <f>C105-$K31</f>
        <v>100</v>
      </c>
      <c r="E105" s="885">
        <f t="shared" ref="E105:M105" si="23">D105-$K31</f>
        <v>100</v>
      </c>
      <c r="F105" s="885">
        <f t="shared" si="23"/>
        <v>100</v>
      </c>
      <c r="G105" s="885">
        <f t="shared" si="23"/>
        <v>100</v>
      </c>
      <c r="H105" s="885">
        <f t="shared" si="23"/>
        <v>100</v>
      </c>
      <c r="I105" s="885">
        <f t="shared" si="23"/>
        <v>100</v>
      </c>
      <c r="J105" s="885">
        <f t="shared" si="23"/>
        <v>100</v>
      </c>
      <c r="K105" s="885">
        <f t="shared" si="23"/>
        <v>100</v>
      </c>
      <c r="L105" s="885">
        <f t="shared" si="23"/>
        <v>100</v>
      </c>
      <c r="M105" s="885">
        <f t="shared" si="23"/>
        <v>100</v>
      </c>
      <c r="N105" s="2370"/>
      <c r="O105" s="2370"/>
      <c r="P105" s="333"/>
      <c r="Q105" s="845"/>
    </row>
    <row r="106" spans="1:17" ht="27.75" thickTop="1">
      <c r="A106" s="875"/>
      <c r="B106" s="879" t="s">
        <v>440</v>
      </c>
      <c r="C106" s="138" t="s">
        <v>3160</v>
      </c>
      <c r="D106" s="138" t="s">
        <v>3161</v>
      </c>
      <c r="E106" s="138" t="s">
        <v>3162</v>
      </c>
      <c r="F106" s="138" t="s">
        <v>3163</v>
      </c>
      <c r="G106" s="138" t="s">
        <v>3165</v>
      </c>
      <c r="H106" s="130"/>
      <c r="I106" s="130"/>
      <c r="J106" s="130"/>
      <c r="K106" s="131"/>
      <c r="L106" s="132"/>
      <c r="M106" s="133"/>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483</v>
      </c>
      <c r="C108" s="130"/>
      <c r="D108" s="130"/>
      <c r="E108" s="130"/>
      <c r="F108" s="130"/>
      <c r="G108" s="130"/>
      <c r="H108" s="130"/>
      <c r="I108" s="130"/>
      <c r="J108" s="130"/>
      <c r="K108" s="131"/>
      <c r="L108" s="132"/>
      <c r="M108" s="133"/>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8"/>
      <c r="D110" s="138"/>
      <c r="E110" s="138"/>
      <c r="F110" s="138"/>
      <c r="G110" s="134"/>
      <c r="H110" s="134"/>
      <c r="I110" s="134"/>
      <c r="J110" s="134"/>
      <c r="K110" s="135"/>
      <c r="L110" s="136"/>
      <c r="M110" s="137"/>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39"/>
      <c r="D112" s="139"/>
      <c r="E112" s="139"/>
      <c r="F112" s="139"/>
      <c r="G112" s="130"/>
      <c r="H112" s="130"/>
      <c r="I112" s="130"/>
      <c r="J112" s="130"/>
      <c r="K112" s="131"/>
      <c r="L112" s="132"/>
      <c r="M112" s="133"/>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406</v>
      </c>
      <c r="B116" s="869" t="s">
        <v>510</v>
      </c>
      <c r="C116" s="871"/>
      <c r="D116" s="871"/>
      <c r="E116" s="871"/>
      <c r="F116" s="871"/>
      <c r="G116" s="871"/>
      <c r="H116" s="871"/>
      <c r="I116" s="871"/>
      <c r="J116" s="871"/>
      <c r="K116" s="872"/>
      <c r="L116" s="873"/>
      <c r="M116" s="874"/>
      <c r="N116" s="2369"/>
      <c r="O116" s="2369"/>
      <c r="P116" s="333"/>
      <c r="Q116" s="845"/>
    </row>
    <row r="117" spans="1:17" ht="15">
      <c r="A117" s="875"/>
      <c r="B117" s="887"/>
      <c r="C117" s="936">
        <v>0</v>
      </c>
      <c r="D117" s="936">
        <f>C117+25000</f>
        <v>25000</v>
      </c>
      <c r="E117" s="936">
        <f t="shared" ref="E117:M117" si="26">D117+25000</f>
        <v>50000</v>
      </c>
      <c r="F117" s="936">
        <f t="shared" si="26"/>
        <v>75000</v>
      </c>
      <c r="G117" s="936">
        <f t="shared" si="26"/>
        <v>100000</v>
      </c>
      <c r="H117" s="936">
        <f t="shared" si="26"/>
        <v>125000</v>
      </c>
      <c r="I117" s="936">
        <f t="shared" si="26"/>
        <v>150000</v>
      </c>
      <c r="J117" s="936">
        <f t="shared" si="26"/>
        <v>175000</v>
      </c>
      <c r="K117" s="936">
        <f t="shared" si="26"/>
        <v>200000</v>
      </c>
      <c r="L117" s="936">
        <f t="shared" si="26"/>
        <v>225000</v>
      </c>
      <c r="M117" s="936">
        <f t="shared" si="26"/>
        <v>250000</v>
      </c>
      <c r="N117" s="2369"/>
      <c r="O117" s="2369"/>
      <c r="P117" s="333"/>
      <c r="Q117" s="845"/>
    </row>
    <row r="118" spans="1:17" ht="15.75" thickBot="1">
      <c r="A118" s="875"/>
      <c r="B118" s="884"/>
      <c r="C118" s="911">
        <v>100</v>
      </c>
      <c r="D118" s="932">
        <f>C118+1</f>
        <v>101</v>
      </c>
      <c r="E118" s="932">
        <f t="shared" ref="E118:M118" si="27">D118+1</f>
        <v>102</v>
      </c>
      <c r="F118" s="932">
        <f t="shared" si="27"/>
        <v>103</v>
      </c>
      <c r="G118" s="932">
        <f t="shared" si="27"/>
        <v>104</v>
      </c>
      <c r="H118" s="932">
        <f t="shared" si="27"/>
        <v>105</v>
      </c>
      <c r="I118" s="932">
        <f t="shared" si="27"/>
        <v>106</v>
      </c>
      <c r="J118" s="932">
        <f t="shared" si="27"/>
        <v>107</v>
      </c>
      <c r="K118" s="932">
        <f t="shared" si="27"/>
        <v>108</v>
      </c>
      <c r="L118" s="932">
        <f t="shared" si="27"/>
        <v>109</v>
      </c>
      <c r="M118" s="932">
        <f t="shared" si="27"/>
        <v>110</v>
      </c>
      <c r="N118" s="2370"/>
      <c r="O118" s="2370"/>
      <c r="P118" s="333"/>
      <c r="Q118" s="845"/>
    </row>
    <row r="119" spans="1:17" ht="15" thickTop="1">
      <c r="A119" s="940"/>
      <c r="B119" s="879" t="s">
        <v>511</v>
      </c>
      <c r="C119" s="130" t="s">
        <v>3157</v>
      </c>
      <c r="D119" s="130"/>
      <c r="E119" s="130"/>
      <c r="F119" s="130"/>
      <c r="G119" s="130"/>
      <c r="H119" s="130"/>
      <c r="I119" s="130"/>
      <c r="J119" s="130"/>
      <c r="K119" s="131"/>
      <c r="L119" s="132"/>
      <c r="M119" s="133"/>
      <c r="N119" s="2369"/>
      <c r="O119" s="2369"/>
      <c r="P119" s="333"/>
      <c r="Q119" s="845"/>
    </row>
    <row r="120" spans="1:17" ht="15.75" thickBot="1">
      <c r="A120" s="875"/>
      <c r="B120" s="884"/>
      <c r="C120" s="885">
        <v>100</v>
      </c>
      <c r="D120" s="885">
        <f t="shared" ref="D120:M120" si="28">C120-$K39</f>
        <v>98</v>
      </c>
      <c r="E120" s="885">
        <f t="shared" si="28"/>
        <v>96</v>
      </c>
      <c r="F120" s="885">
        <f t="shared" si="28"/>
        <v>94</v>
      </c>
      <c r="G120" s="885">
        <f t="shared" si="28"/>
        <v>92</v>
      </c>
      <c r="H120" s="885">
        <f t="shared" si="28"/>
        <v>90</v>
      </c>
      <c r="I120" s="885">
        <f t="shared" si="28"/>
        <v>88</v>
      </c>
      <c r="J120" s="885">
        <f t="shared" si="28"/>
        <v>86</v>
      </c>
      <c r="K120" s="885">
        <f t="shared" si="28"/>
        <v>84</v>
      </c>
      <c r="L120" s="885">
        <f t="shared" si="28"/>
        <v>82</v>
      </c>
      <c r="M120" s="886">
        <f t="shared" si="28"/>
        <v>80</v>
      </c>
      <c r="N120" s="2370"/>
      <c r="O120" s="2370"/>
      <c r="P120" s="333"/>
      <c r="Q120" s="845"/>
    </row>
    <row r="121" spans="1:17" ht="15" thickTop="1">
      <c r="A121" s="940"/>
      <c r="B121" s="879" t="s">
        <v>512</v>
      </c>
      <c r="C121" s="138"/>
      <c r="D121" s="138"/>
      <c r="E121" s="138"/>
      <c r="F121" s="130"/>
      <c r="G121" s="130"/>
      <c r="H121" s="130"/>
      <c r="I121" s="130"/>
      <c r="J121" s="130"/>
      <c r="K121" s="131"/>
      <c r="L121" s="132"/>
      <c r="M121" s="133"/>
      <c r="N121" s="2369"/>
      <c r="O121" s="2369"/>
      <c r="P121" s="333"/>
      <c r="Q121" s="845"/>
    </row>
    <row r="122" spans="1:17" ht="15.75" thickBot="1">
      <c r="A122" s="875"/>
      <c r="B122" s="884"/>
      <c r="C122" s="885">
        <v>100</v>
      </c>
      <c r="D122" s="885">
        <f t="shared" ref="D122:M122" si="29">C122-$K40</f>
        <v>100</v>
      </c>
      <c r="E122" s="885">
        <f t="shared" si="29"/>
        <v>100</v>
      </c>
      <c r="F122" s="885">
        <f t="shared" si="29"/>
        <v>100</v>
      </c>
      <c r="G122" s="885">
        <f t="shared" si="29"/>
        <v>100</v>
      </c>
      <c r="H122" s="885">
        <f t="shared" si="29"/>
        <v>100</v>
      </c>
      <c r="I122" s="885">
        <f t="shared" si="29"/>
        <v>100</v>
      </c>
      <c r="J122" s="885">
        <f t="shared" si="29"/>
        <v>100</v>
      </c>
      <c r="K122" s="885">
        <f t="shared" si="29"/>
        <v>100</v>
      </c>
      <c r="L122" s="885">
        <f t="shared" si="29"/>
        <v>100</v>
      </c>
      <c r="M122" s="886">
        <f t="shared" si="29"/>
        <v>100</v>
      </c>
      <c r="N122" s="2370"/>
      <c r="O122" s="2370"/>
      <c r="P122" s="333"/>
      <c r="Q122" s="845"/>
    </row>
    <row r="123" spans="1:17" s="812" customFormat="1" ht="15" thickTop="1">
      <c r="A123" s="934"/>
      <c r="B123" s="1052" t="s">
        <v>2501</v>
      </c>
      <c r="C123" s="138" t="s">
        <v>3187</v>
      </c>
      <c r="D123" s="138" t="s">
        <v>3188</v>
      </c>
      <c r="E123" s="138"/>
      <c r="F123" s="138"/>
      <c r="G123" s="138"/>
      <c r="H123" s="130"/>
      <c r="I123" s="130"/>
      <c r="J123" s="130"/>
      <c r="K123" s="131"/>
      <c r="L123" s="132"/>
      <c r="M123" s="133"/>
      <c r="N123" s="2371"/>
      <c r="O123" s="2371"/>
      <c r="P123" s="899"/>
      <c r="Q123" s="900"/>
    </row>
    <row r="124" spans="1:17" s="812" customFormat="1" ht="15.75" thickBot="1">
      <c r="A124" s="894"/>
      <c r="B124" s="884"/>
      <c r="C124" s="885">
        <v>100</v>
      </c>
      <c r="D124" s="885">
        <f>C124-$K41</f>
        <v>90</v>
      </c>
      <c r="E124" s="885">
        <f t="shared" ref="E124:M124" si="30">D124-$K41</f>
        <v>80</v>
      </c>
      <c r="F124" s="885">
        <f t="shared" si="30"/>
        <v>70</v>
      </c>
      <c r="G124" s="885">
        <f t="shared" si="30"/>
        <v>60</v>
      </c>
      <c r="H124" s="885">
        <f t="shared" si="30"/>
        <v>50</v>
      </c>
      <c r="I124" s="885">
        <f t="shared" si="30"/>
        <v>40</v>
      </c>
      <c r="J124" s="885">
        <f t="shared" si="30"/>
        <v>30</v>
      </c>
      <c r="K124" s="885">
        <f t="shared" si="30"/>
        <v>20</v>
      </c>
      <c r="L124" s="885">
        <f t="shared" si="30"/>
        <v>10</v>
      </c>
      <c r="M124" s="886">
        <f t="shared" si="30"/>
        <v>0</v>
      </c>
      <c r="N124" s="2371"/>
      <c r="O124" s="2371"/>
      <c r="P124" s="899"/>
      <c r="Q124" s="900"/>
    </row>
    <row r="125" spans="1:17" ht="15" thickTop="1">
      <c r="A125" s="940"/>
      <c r="B125" s="879" t="s">
        <v>513</v>
      </c>
      <c r="C125" s="138" t="s">
        <v>3158</v>
      </c>
      <c r="D125" s="138"/>
      <c r="E125" s="130"/>
      <c r="F125" s="130"/>
      <c r="G125" s="130"/>
      <c r="H125" s="130"/>
      <c r="I125" s="130"/>
      <c r="J125" s="130"/>
      <c r="K125" s="131"/>
      <c r="L125" s="132"/>
      <c r="M125" s="133"/>
      <c r="N125" s="2369"/>
      <c r="O125" s="2369"/>
      <c r="P125" s="333"/>
      <c r="Q125" s="845"/>
    </row>
    <row r="126" spans="1:17" ht="15.75" thickBot="1">
      <c r="A126" s="875"/>
      <c r="B126" s="884"/>
      <c r="C126" s="885">
        <v>100</v>
      </c>
      <c r="D126" s="885">
        <f t="shared" ref="D126:M126" si="31">C126-$K42</f>
        <v>98</v>
      </c>
      <c r="E126" s="885">
        <f t="shared" si="31"/>
        <v>96</v>
      </c>
      <c r="F126" s="885">
        <f t="shared" si="31"/>
        <v>94</v>
      </c>
      <c r="G126" s="885">
        <f t="shared" si="31"/>
        <v>92</v>
      </c>
      <c r="H126" s="885">
        <f t="shared" si="31"/>
        <v>90</v>
      </c>
      <c r="I126" s="885">
        <f t="shared" si="31"/>
        <v>88</v>
      </c>
      <c r="J126" s="885">
        <f t="shared" si="31"/>
        <v>86</v>
      </c>
      <c r="K126" s="885">
        <f t="shared" si="31"/>
        <v>84</v>
      </c>
      <c r="L126" s="885">
        <f t="shared" si="31"/>
        <v>82</v>
      </c>
      <c r="M126" s="886">
        <f t="shared" si="31"/>
        <v>80</v>
      </c>
      <c r="N126" s="2370"/>
      <c r="O126" s="2370"/>
      <c r="P126" s="333"/>
      <c r="Q126" s="845"/>
    </row>
    <row r="127" spans="1:17" ht="15" thickTop="1">
      <c r="A127" s="940"/>
      <c r="B127" s="879">
        <f>B43</f>
        <v>111</v>
      </c>
      <c r="C127" s="138"/>
      <c r="D127" s="138"/>
      <c r="E127" s="138"/>
      <c r="F127" s="138"/>
      <c r="G127" s="138"/>
      <c r="H127" s="130"/>
      <c r="I127" s="130"/>
      <c r="J127" s="130"/>
      <c r="K127" s="131"/>
      <c r="L127" s="132"/>
      <c r="M127" s="133"/>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39"/>
      <c r="D129" s="139"/>
      <c r="E129" s="139"/>
      <c r="F129" s="139"/>
      <c r="G129" s="130"/>
      <c r="H129" s="130"/>
      <c r="I129" s="130"/>
      <c r="J129" s="130"/>
      <c r="K129" s="131"/>
      <c r="L129" s="132"/>
      <c r="M129" s="133"/>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39"/>
      <c r="D131" s="139"/>
      <c r="E131" s="139"/>
      <c r="F131" s="139"/>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4" sqref="D4"/>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47"/>
      <c r="C1" s="3048"/>
      <c r="D1" s="3046"/>
      <c r="E1" s="650"/>
      <c r="F1" s="650"/>
      <c r="G1" s="3047"/>
      <c r="H1" s="650"/>
      <c r="I1" s="650"/>
      <c r="J1" s="650"/>
      <c r="K1" s="650">
        <f>MATCH(C1,'数据-取费表'!A6:A16,0)+5</f>
        <v>7</v>
      </c>
    </row>
    <row r="2" spans="1:33" ht="18" customHeight="1">
      <c r="A2" s="575" t="s">
        <v>819</v>
      </c>
      <c r="B2" s="578">
        <f ca="1">C32</f>
        <v>37902</v>
      </c>
      <c r="C2" s="88" t="s">
        <v>1099</v>
      </c>
      <c r="D2" s="650"/>
      <c r="E2" s="650"/>
      <c r="F2" s="650"/>
      <c r="G2" s="650"/>
      <c r="H2" s="650"/>
      <c r="I2" s="650"/>
      <c r="J2" s="650"/>
      <c r="K2" s="650"/>
    </row>
    <row r="3" spans="1:33" ht="18" customHeight="1" thickBot="1">
      <c r="A3" s="577" t="s">
        <v>820</v>
      </c>
      <c r="B3" s="578">
        <f ca="1">ROUND(B2*10000/IF(C1="",'数据-汇总表'!E3,INDIRECT("'数据-取费表'!K"&amp;$K$1)),0)</f>
        <v>6068</v>
      </c>
      <c r="C3" s="88" t="s">
        <v>869</v>
      </c>
      <c r="D3" s="650"/>
      <c r="E3" s="650"/>
      <c r="F3" s="650"/>
      <c r="G3" s="650"/>
      <c r="H3" s="650"/>
      <c r="I3" s="650"/>
      <c r="J3" s="650"/>
      <c r="K3" s="650"/>
    </row>
    <row r="4" spans="1:33" s="1809" customFormat="1" ht="16.5" customHeight="1">
      <c r="A4" s="1806" t="s">
        <v>871</v>
      </c>
      <c r="B4" s="1807"/>
      <c r="C4" s="1850">
        <f>SUM(C8:K8)</f>
        <v>76667</v>
      </c>
      <c r="D4" s="1807"/>
      <c r="E4" s="1807"/>
      <c r="F4" s="1807"/>
      <c r="G4" s="1807"/>
      <c r="H4" s="1807"/>
      <c r="I4" s="1807"/>
      <c r="J4" s="1807"/>
      <c r="K4" s="1808"/>
    </row>
    <row r="5" spans="1:33" s="1813" customFormat="1" ht="15">
      <c r="A5" s="1810" t="s">
        <v>872</v>
      </c>
      <c r="B5" s="1811" t="s">
        <v>873</v>
      </c>
      <c r="C5" s="1271" t="s">
        <v>3079</v>
      </c>
      <c r="D5" s="1271" t="s">
        <v>3081</v>
      </c>
      <c r="E5" s="1271"/>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'比较法-高层'!C48</f>
        <v>12465</v>
      </c>
      <c r="D6" s="1815">
        <f>'比较法-洋房'!C48</f>
        <v>14839</v>
      </c>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55986.3</v>
      </c>
      <c r="D7" s="651">
        <f>SUMIF('数据-汇总表'!$C19:$C33,假设开发法!D5,'数据-汇总表'!$E19:$E33)</f>
        <v>4636.6499999999996</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ROUND(C6*C7/10000,0)</f>
        <v>69787</v>
      </c>
      <c r="D8" s="1852">
        <f t="shared" ref="D8" si="0">ROUND(D6*D7/10000,0)</f>
        <v>6880</v>
      </c>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4" t="s">
        <v>873</v>
      </c>
      <c r="C10" s="1820" t="s">
        <v>878</v>
      </c>
      <c r="D10" s="1821" t="s">
        <v>879</v>
      </c>
      <c r="E10" s="1821" t="s">
        <v>880</v>
      </c>
      <c r="F10" s="1821" t="s">
        <v>881</v>
      </c>
      <c r="G10" s="294"/>
      <c r="H10" s="1822"/>
      <c r="I10" s="1822"/>
      <c r="J10" s="1822"/>
      <c r="K10" s="1823"/>
    </row>
    <row r="11" spans="1:33" s="1829" customFormat="1" ht="13.5" customHeight="1">
      <c r="A11" s="1825" t="s">
        <v>2950</v>
      </c>
      <c r="B11" s="1826" t="s">
        <v>882</v>
      </c>
      <c r="C11" s="653">
        <f ca="1">IF(C1="",'数据-取费表'!P16,INDIRECT("'数据-取费表'!p"&amp;$K$1)+INDIRECT("'数据-取费表'!ar"&amp;$K$1))</f>
        <v>15919</v>
      </c>
      <c r="D11" s="1827"/>
      <c r="E11" s="713"/>
      <c r="F11" s="1828">
        <f ca="1">1-IF('数据-取费表'!B24=0,1,IF(C1="",'数据-取费表'!N16,INDIRECT("'数据-取费表'!n"&amp;$K$1)))</f>
        <v>0.98699999999999999</v>
      </c>
      <c r="G11" s="294"/>
      <c r="H11" s="1822"/>
      <c r="I11" s="1822"/>
      <c r="J11" s="1822"/>
      <c r="K11" s="1823"/>
    </row>
    <row r="12" spans="1:33" s="1829" customFormat="1" ht="13.5" customHeight="1">
      <c r="A12" s="1825" t="s">
        <v>2951</v>
      </c>
      <c r="B12" s="1826" t="s">
        <v>883</v>
      </c>
      <c r="C12" s="312">
        <f ca="1">ROUND(C11*F12,0)</f>
        <v>478</v>
      </c>
      <c r="D12" s="1827"/>
      <c r="E12" s="713"/>
      <c r="F12" s="1830">
        <f>'数据-取费表'!B33</f>
        <v>0.03</v>
      </c>
      <c r="G12" s="294" t="s">
        <v>884</v>
      </c>
      <c r="H12" s="1822"/>
      <c r="I12" s="1822"/>
      <c r="J12" s="1822"/>
      <c r="K12" s="1823"/>
    </row>
    <row r="13" spans="1:33" s="1829" customFormat="1" ht="13.5" customHeight="1">
      <c r="A13" s="1825" t="s">
        <v>2952</v>
      </c>
      <c r="B13" s="1826" t="s">
        <v>885</v>
      </c>
      <c r="C13" s="312">
        <f ca="1">ROUND(IF(C1="",SUMIF('数据-取费表'!C:C,"住宅",'数据-取费表'!P:P)*F13,IF(INDIRECT("'数据-取费表'!c"&amp;$K$1)="住宅",INDIRECT("'数据-取费表'!P"&amp;$K$1)*F13,0)),0)</f>
        <v>778</v>
      </c>
      <c r="D13" s="1908"/>
      <c r="E13" s="713"/>
      <c r="F13" s="1830">
        <f>'数据-取费表'!B34</f>
        <v>0.05</v>
      </c>
      <c r="G13" s="294" t="s">
        <v>886</v>
      </c>
      <c r="H13" s="1822"/>
      <c r="I13" s="1822"/>
      <c r="J13" s="1822"/>
      <c r="K13" s="1823"/>
    </row>
    <row r="14" spans="1:33" s="1831" customFormat="1" ht="13.5" customHeight="1">
      <c r="A14" s="1825" t="s">
        <v>2953</v>
      </c>
      <c r="B14" s="1826" t="s">
        <v>887</v>
      </c>
      <c r="C14" s="312">
        <f ca="1">ROUND(D14*E14*F11/10000,0)</f>
        <v>1233</v>
      </c>
      <c r="D14" s="1908">
        <f ca="1">IF(C1="",'数据-汇总表'!E3,INDIRECT("'数据-取费表'!K"&amp;$K$1)+INDIRECT("'数据-取费表'!S"&amp;$K$1))</f>
        <v>62458.42</v>
      </c>
      <c r="E14" s="312">
        <f>'数据-取费表'!B35</f>
        <v>200</v>
      </c>
      <c r="F14" s="1830"/>
      <c r="G14" s="294"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894</v>
      </c>
      <c r="C15" s="1837">
        <f ca="1">ROUND(C11*F15,0)</f>
        <v>239</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2" t="s">
        <v>2955</v>
      </c>
      <c r="C16" s="1837">
        <f ca="1">SUM(C11:C15)</f>
        <v>18647</v>
      </c>
      <c r="D16" s="1832"/>
      <c r="E16" s="1837"/>
      <c r="F16" s="1838"/>
      <c r="G16" s="469"/>
      <c r="H16" s="3044"/>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2">
        <f ca="1">ROUND(D17*E17/10000,0)</f>
        <v>0</v>
      </c>
      <c r="D17" s="1908">
        <f ca="1">D14</f>
        <v>62458.42</v>
      </c>
      <c r="E17" s="312">
        <f>'数据-取费表'!B32</f>
        <v>0</v>
      </c>
      <c r="F17" s="1832"/>
      <c r="G17" s="469" t="s">
        <v>890</v>
      </c>
      <c r="H17" s="3044"/>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891</v>
      </c>
      <c r="C18" s="312">
        <f ca="1">C19+C20-IF(C1="",'数据-取费表'!B29,IF(G18="已全部缴纳",C19+C20,H18))</f>
        <v>0</v>
      </c>
      <c r="D18" s="1908"/>
      <c r="E18" s="312"/>
      <c r="F18" s="1830"/>
      <c r="G18" s="3043"/>
      <c r="H18" s="3041"/>
      <c r="I18" s="3042" t="s">
        <v>2801</v>
      </c>
      <c r="J18" s="1833"/>
      <c r="K18" s="1834"/>
    </row>
    <row r="19" spans="1:33" s="1829" customFormat="1" ht="13.5" customHeight="1">
      <c r="A19" s="1825" t="s">
        <v>1935</v>
      </c>
      <c r="B19" s="1826" t="s">
        <v>892</v>
      </c>
      <c r="C19" s="312">
        <f ca="1">ROUND(D19*E19/10000,0)</f>
        <v>1455</v>
      </c>
      <c r="D19" s="1908">
        <f ca="1">IF(C1="",'数据-汇总表'!E5,IF(INDIRECT("'数据-取费表'!c"&amp;$K$1)="住宅",INDIRECT("'数据-取费表'!k"&amp;$K$1),0))</f>
        <v>60622.95</v>
      </c>
      <c r="E19" s="312">
        <f>'数据-取费表'!B27</f>
        <v>240</v>
      </c>
      <c r="F19" s="1830"/>
      <c r="G19" s="302"/>
      <c r="H19" s="3045"/>
      <c r="I19" s="1835"/>
      <c r="J19" s="1835"/>
      <c r="K19" s="1836"/>
    </row>
    <row r="20" spans="1:33" s="1829" customFormat="1" ht="13.5" customHeight="1">
      <c r="A20" s="1825" t="s">
        <v>1936</v>
      </c>
      <c r="B20" s="1826" t="s">
        <v>893</v>
      </c>
      <c r="C20" s="312">
        <f ca="1">ROUND(D20*E20/10000,0)</f>
        <v>44</v>
      </c>
      <c r="D20" s="1908">
        <f ca="1">IF(C1="",'数据-汇总表'!E6,IF(INDIRECT("'数据-取费表'!c"&amp;$K$1)="住宅",INDIRECT("'数据-取费表'!s"&amp;$K$1),INDIRECT("'数据-取费表'!k"&amp;$K$1)+INDIRECT("'数据-取费表'!s"&amp;$K$1)))</f>
        <v>1835.4700000000012</v>
      </c>
      <c r="E20" s="312">
        <f>'数据-取费表'!B28</f>
        <v>240</v>
      </c>
      <c r="F20" s="1830"/>
      <c r="G20" s="302"/>
      <c r="H20" s="1835"/>
      <c r="I20" s="1835"/>
      <c r="J20" s="1835"/>
      <c r="K20" s="1836"/>
    </row>
    <row r="21" spans="1:33" s="1829" customFormat="1" ht="13.5" customHeight="1">
      <c r="A21" s="1814" t="s">
        <v>1932</v>
      </c>
      <c r="B21" s="1839" t="s">
        <v>896</v>
      </c>
      <c r="C21" s="1840">
        <f ca="1">C16+C17+C18</f>
        <v>18647</v>
      </c>
      <c r="D21" s="1841"/>
      <c r="E21" s="655"/>
      <c r="F21" s="655"/>
      <c r="G21" s="469" t="s">
        <v>2528</v>
      </c>
      <c r="H21" s="1833"/>
      <c r="I21" s="1833"/>
      <c r="J21" s="1833"/>
      <c r="K21" s="1834"/>
    </row>
    <row r="22" spans="1:33" s="1829" customFormat="1" ht="13.5" customHeight="1">
      <c r="A22" s="1819" t="s">
        <v>1913</v>
      </c>
      <c r="B22" s="1839" t="s">
        <v>897</v>
      </c>
      <c r="C22" s="1840">
        <f ca="1">ROUND(C21*F22,0)</f>
        <v>280</v>
      </c>
      <c r="D22" s="655"/>
      <c r="E22" s="655"/>
      <c r="F22" s="1842">
        <f>'数据-取费表'!B37</f>
        <v>1.4999999999999999E-2</v>
      </c>
      <c r="G22" s="294" t="s">
        <v>898</v>
      </c>
      <c r="H22" s="1822"/>
      <c r="I22" s="1822"/>
      <c r="J22" s="1822"/>
      <c r="K22" s="1823"/>
    </row>
    <row r="23" spans="1:33" s="1829" customFormat="1" ht="13.5" customHeight="1">
      <c r="A23" s="1819" t="s">
        <v>1914</v>
      </c>
      <c r="B23" s="1839" t="s">
        <v>899</v>
      </c>
      <c r="C23" s="1840">
        <f ca="1">ROUND(C4*F23*F11,0)</f>
        <v>1513</v>
      </c>
      <c r="D23" s="655"/>
      <c r="E23" s="655"/>
      <c r="F23" s="1842">
        <f>'数据-取费表'!B38</f>
        <v>0.02</v>
      </c>
      <c r="G23" s="294"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2948</v>
      </c>
      <c r="H24" s="1844"/>
      <c r="I24" s="1844"/>
      <c r="J24" s="1844"/>
      <c r="K24" s="1845"/>
    </row>
    <row r="25" spans="1:33" s="1829" customFormat="1" ht="13.5" customHeight="1">
      <c r="A25" s="1819" t="s">
        <v>1916</v>
      </c>
      <c r="B25" s="1841" t="s">
        <v>902</v>
      </c>
      <c r="C25" s="2700">
        <f ca="1">C27</f>
        <v>921</v>
      </c>
      <c r="D25" s="654">
        <f ca="1">C26</f>
        <v>9.4799999999999995E-2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9.4799999999999995E-2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2618</v>
      </c>
      <c r="C27" s="2702">
        <f ca="1">ROUND(IF('数据-取费表'!B22&lt;=1,(C21+C22+C23)*F25*'数据-取费表'!B24/2,(C21+C22+C23)*(POWER((1+F25),'数据-取费表'!B24/2)-1)),0)</f>
        <v>921</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3" t="s">
        <v>2957</v>
      </c>
      <c r="C28" s="661">
        <f ca="1">C30</f>
        <v>3066</v>
      </c>
      <c r="D28" s="654">
        <f ca="1">C29</f>
        <v>0.14660000000000001</v>
      </c>
      <c r="E28" s="656" t="s">
        <v>50</v>
      </c>
      <c r="F28" s="662">
        <f ca="1">IF(C1="",'数据-取费表'!Q16,INDIRECT("'数据-取费表'!q"&amp;$K$1))</f>
        <v>0.15</v>
      </c>
      <c r="G28" s="1843"/>
      <c r="H28" s="1844"/>
      <c r="I28" s="1844"/>
      <c r="J28" s="1844"/>
      <c r="K28" s="1845"/>
    </row>
    <row r="29" spans="1:33" s="665" customFormat="1" ht="13.5" customHeight="1">
      <c r="A29" s="1825" t="s">
        <v>1933</v>
      </c>
      <c r="B29" s="1848" t="s">
        <v>904</v>
      </c>
      <c r="C29" s="658">
        <f ca="1">ROUND((1+C24)*F28*'数据-取费表'!B24/'数据-取费表'!B20,4)</f>
        <v>0.14660000000000001</v>
      </c>
      <c r="D29" s="658"/>
      <c r="E29" s="659"/>
      <c r="F29" s="664"/>
      <c r="G29" s="469" t="s">
        <v>905</v>
      </c>
      <c r="H29" s="1833"/>
      <c r="I29" s="1833"/>
      <c r="J29" s="1833"/>
      <c r="K29" s="1834"/>
    </row>
    <row r="30" spans="1:33" s="665" customFormat="1" ht="13.5" customHeight="1">
      <c r="A30" s="1825" t="s">
        <v>1934</v>
      </c>
      <c r="B30" s="2707" t="s">
        <v>2619</v>
      </c>
      <c r="C30" s="666">
        <f ca="1">ROUND((C21+C22+C23)*F28,0)</f>
        <v>3066</v>
      </c>
      <c r="D30" s="658"/>
      <c r="E30" s="659"/>
      <c r="F30" s="664"/>
      <c r="G30" s="469"/>
      <c r="H30" s="1833"/>
      <c r="I30" s="1833"/>
      <c r="J30" s="1833"/>
      <c r="K30" s="1834"/>
    </row>
    <row r="31" spans="1:33" s="1829" customFormat="1" ht="13.5" customHeight="1" thickBot="1">
      <c r="A31" s="1860" t="s">
        <v>1918</v>
      </c>
      <c r="B31" s="1861" t="s">
        <v>906</v>
      </c>
      <c r="C31" s="1862">
        <f>ROUND(C4*F31/(1+'数据-取费表'!C42),0)</f>
        <v>4089</v>
      </c>
      <c r="D31" s="1863"/>
      <c r="E31" s="1864"/>
      <c r="F31" s="1865">
        <f>'数据-取费表'!B41</f>
        <v>5.6000000000000001E-2</v>
      </c>
      <c r="G31" s="1866" t="s">
        <v>907</v>
      </c>
      <c r="H31" s="1867"/>
      <c r="I31" s="1867"/>
      <c r="J31" s="1867"/>
      <c r="K31" s="1868"/>
    </row>
    <row r="32" spans="1:33" s="1824" customFormat="1" ht="13.5" customHeight="1" thickBot="1">
      <c r="A32" s="1855" t="s">
        <v>2949</v>
      </c>
      <c r="B32" s="1856"/>
      <c r="C32" s="1857">
        <f ca="1">ROUND((C4-C21-C22-C23-C25-C28-C31)/(1+C24+D25+D28),0)</f>
        <v>37902</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2446</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819</v>
      </c>
      <c r="B2" s="1405" t="e">
        <f ca="1">C40+J29+L46</f>
        <v>#DIV/0!</v>
      </c>
      <c r="C2" s="1298" t="s">
        <v>1100</v>
      </c>
      <c r="D2" s="1274"/>
      <c r="E2" s="2573"/>
      <c r="F2" s="1275"/>
      <c r="G2" s="2286"/>
      <c r="H2" s="1273"/>
      <c r="I2" s="1273"/>
      <c r="J2" s="1273"/>
      <c r="K2" s="1297"/>
      <c r="L2" s="1273"/>
      <c r="M2" s="1273"/>
    </row>
    <row r="3" spans="1:37" ht="18" customHeight="1" thickBot="1">
      <c r="A3" s="673" t="s">
        <v>820</v>
      </c>
      <c r="B3" s="1406">
        <f ca="1">IF(ISERROR(B2*10000/F43),0,ROUND(B2*10000/F43,0))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2536</v>
      </c>
      <c r="C5" s="2624">
        <f ca="1">C6+C10+C12</f>
        <v>0</v>
      </c>
      <c r="D5" s="2634" t="s">
        <v>2538</v>
      </c>
      <c r="E5" s="2625"/>
      <c r="F5" s="2626"/>
      <c r="G5" s="2287"/>
      <c r="H5" s="679">
        <v>1</v>
      </c>
      <c r="I5" s="680" t="s">
        <v>2536</v>
      </c>
      <c r="J5" s="2624">
        <f ca="1">J6+J10+J12</f>
        <v>0</v>
      </c>
      <c r="K5" s="2627" t="s">
        <v>2538</v>
      </c>
      <c r="L5" s="2625"/>
      <c r="M5" s="2626"/>
    </row>
    <row r="6" spans="1:37" ht="18" customHeight="1">
      <c r="A6" s="2620" t="s">
        <v>2543</v>
      </c>
      <c r="B6" s="3624" t="s">
        <v>2537</v>
      </c>
      <c r="C6" s="2629">
        <f ca="1">ROUND(F6*F8*F7*(1-F9)/10000,0)</f>
        <v>0</v>
      </c>
      <c r="D6" s="2623" t="s">
        <v>2539</v>
      </c>
      <c r="E6" s="682" t="s">
        <v>916</v>
      </c>
      <c r="F6" s="683">
        <f ca="1">INDIRECT("'数据-取费表'!u"&amp;$G$1)</f>
        <v>0</v>
      </c>
      <c r="G6" s="2287"/>
      <c r="H6" s="2620" t="s">
        <v>2546</v>
      </c>
      <c r="I6" s="3624" t="s">
        <v>2537</v>
      </c>
      <c r="J6" s="681">
        <f ca="1">ROUND(M6*M8*M7*(1-M9)/10000,0)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2544</v>
      </c>
      <c r="B10" s="2621" t="s">
        <v>2532</v>
      </c>
      <c r="C10" s="696">
        <f ca="1">ROUND(IF(F10="押一",F6*F8*F7/12*F11,IF(F10="押二",F6*F8*F7/12*2*F11,IF(F10="押三",F6*F8*F7/12*3*F11,C11*F11)))/10000,0)</f>
        <v>0</v>
      </c>
      <c r="D10" s="2632" t="s">
        <v>2540</v>
      </c>
      <c r="E10" s="2096" t="s">
        <v>2534</v>
      </c>
      <c r="F10" s="2826"/>
      <c r="G10" s="2287"/>
      <c r="H10" s="2620" t="s">
        <v>2547</v>
      </c>
      <c r="I10" s="2621" t="s">
        <v>2532</v>
      </c>
      <c r="J10" s="681">
        <f ca="1">ROUND(IF(M10="押一",M6*M8*M7/12*M11,IF(M10="押二",M6*M8*M7/12*2*M11,IF(M10="押三",M6*M8*M7/12*3*M11,J11*M11)))/10000,0)</f>
        <v>0</v>
      </c>
      <c r="K10" s="2632" t="s">
        <v>2540</v>
      </c>
      <c r="L10" s="2096" t="s">
        <v>2534</v>
      </c>
      <c r="M10" s="2727" t="s">
        <v>2626</v>
      </c>
    </row>
    <row r="11" spans="1:37" ht="18" customHeight="1">
      <c r="A11" s="688"/>
      <c r="B11" s="2622" t="s">
        <v>2699</v>
      </c>
      <c r="C11" s="2414"/>
      <c r="D11" s="2865"/>
      <c r="E11" s="2096" t="s">
        <v>2535</v>
      </c>
      <c r="F11" s="694">
        <f ca="1">'数据-取费表'!B39</f>
        <v>1.4999999999999999E-2</v>
      </c>
      <c r="G11" s="2287"/>
      <c r="H11" s="2633"/>
      <c r="I11" s="2622" t="s">
        <v>2699</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2548</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INDIRECT("'数据-取费表'!m"&amp;$G$1)+INDIRECT("'数据-取费表'!t"&amp;$G$1)</f>
        <v>0</v>
      </c>
      <c r="D14" s="2214" t="s">
        <v>923</v>
      </c>
      <c r="E14" s="2213"/>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926</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ROUND(INDIRECT("'数据-取费表'!m"&amp;$G$1)*F16,0)</f>
        <v>0</v>
      </c>
      <c r="D16" s="682" t="s">
        <v>925</v>
      </c>
      <c r="E16" s="682" t="s">
        <v>926</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ROUND(F17*(F43+INDIRECT("'数据-取费表'!S"&amp;$G$1))/10000,0)</f>
        <v>0</v>
      </c>
      <c r="D17" s="682" t="s">
        <v>929</v>
      </c>
      <c r="E17" s="682" t="s">
        <v>930</v>
      </c>
      <c r="F17" s="314">
        <f>'数据-取费表'!B35</f>
        <v>200</v>
      </c>
      <c r="G17" s="2288"/>
      <c r="H17" s="2437" t="s">
        <v>2376</v>
      </c>
      <c r="I17" s="682" t="s">
        <v>361</v>
      </c>
      <c r="J17" s="312">
        <f ca="1">ROUND(IF(项目基本情况!B11="自然人",J5*M17,J18+J19+J20),1)</f>
        <v>0</v>
      </c>
      <c r="K17" s="2214" t="s">
        <v>931</v>
      </c>
      <c r="L17" s="2212"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926</v>
      </c>
      <c r="F18" s="705">
        <f>'数据-取费表'!B36</f>
        <v>1.4999999999999999E-2</v>
      </c>
      <c r="G18" s="2288"/>
      <c r="H18" s="2437" t="s">
        <v>2373</v>
      </c>
      <c r="I18" s="682" t="s">
        <v>933</v>
      </c>
      <c r="J18" s="312">
        <f ca="1">ROUND(J5*M18/(1+'数据-取费表'!C42),2)</f>
        <v>0</v>
      </c>
      <c r="K18" s="2212" t="s">
        <v>934</v>
      </c>
      <c r="L18" s="682" t="s">
        <v>926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2543</v>
      </c>
      <c r="B19" s="682" t="s">
        <v>364</v>
      </c>
      <c r="C19" s="312">
        <f ca="1">SUM(C14:C18)</f>
        <v>0</v>
      </c>
      <c r="D19" s="469" t="s">
        <v>935</v>
      </c>
      <c r="E19" s="2222"/>
      <c r="F19" s="314"/>
      <c r="G19" s="2287"/>
      <c r="H19" s="2437" t="s">
        <v>2609</v>
      </c>
      <c r="I19" s="682" t="s">
        <v>936</v>
      </c>
      <c r="J19" s="312">
        <f ca="1">IF(K19="按租金收入计税",ROUND(J5*M19,2),ROUND(C29*M19*0.7,2))</f>
        <v>0</v>
      </c>
      <c r="K19" s="1299" t="s">
        <v>2416</v>
      </c>
      <c r="L19" s="682" t="s">
        <v>926</v>
      </c>
      <c r="M19" s="705">
        <f>IF(K19="按租金收入计税",'数据-取费表'!B51,'数据-取费表'!B50)</f>
        <v>1.2E-2</v>
      </c>
    </row>
    <row r="20" spans="1:37" s="704" customFormat="1" ht="18" customHeight="1">
      <c r="A20" s="2437" t="s">
        <v>2613</v>
      </c>
      <c r="B20" s="682" t="s">
        <v>365</v>
      </c>
      <c r="C20" s="312">
        <f ca="1">ROUND(C19*F20,0)</f>
        <v>0</v>
      </c>
      <c r="D20" s="707" t="s">
        <v>937</v>
      </c>
      <c r="E20" s="682" t="s">
        <v>926</v>
      </c>
      <c r="F20" s="705">
        <f>'数据-取费表'!B37</f>
        <v>1.4999999999999999E-2</v>
      </c>
      <c r="G20" s="2288"/>
      <c r="H20" s="2437" t="s">
        <v>2610</v>
      </c>
      <c r="I20" s="494" t="s">
        <v>938</v>
      </c>
      <c r="J20" s="313">
        <f ca="1">ROUND(M20*M21/10000,2)</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71</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222"/>
      <c r="F22" s="314"/>
      <c r="G22" s="2287"/>
      <c r="H22" s="2437" t="s">
        <v>2383</v>
      </c>
      <c r="I22" s="682" t="s">
        <v>946</v>
      </c>
      <c r="J22" s="312">
        <f ca="1">ROUND(J14*M22,1)</f>
        <v>0</v>
      </c>
      <c r="K22" s="2212" t="s">
        <v>947</v>
      </c>
      <c r="L22" s="682" t="s">
        <v>926</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ROUND(J13*M23,1)</f>
        <v>0</v>
      </c>
      <c r="K23" s="2212" t="s">
        <v>949</v>
      </c>
      <c r="L23" s="682" t="s">
        <v>926</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ROUND(J5*M24,1)</f>
        <v>0</v>
      </c>
      <c r="K24" s="2679" t="s">
        <v>952</v>
      </c>
      <c r="L24" s="2677" t="s">
        <v>926</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222"/>
      <c r="F25" s="314"/>
      <c r="G25" s="2287"/>
      <c r="H25" s="2664" t="s">
        <v>2356</v>
      </c>
      <c r="I25" s="2681" t="s">
        <v>954</v>
      </c>
      <c r="J25" s="690">
        <f ca="1">J5-J16</f>
        <v>0</v>
      </c>
      <c r="K25" s="2682" t="s">
        <v>955</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959</v>
      </c>
      <c r="L26" s="682" t="s">
        <v>965</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966</v>
      </c>
      <c r="M27" s="717">
        <f ca="1">INDIRECT("'数据-取费表'!ag"&amp;$G$1)</f>
        <v>0</v>
      </c>
    </row>
    <row r="28" spans="1:37" s="704" customFormat="1" ht="18" customHeight="1">
      <c r="A28" s="2437" t="s">
        <v>2381</v>
      </c>
      <c r="B28" s="682" t="s">
        <v>374</v>
      </c>
      <c r="C28" s="312">
        <f>ROUND(F28/(1+'数据-取费表'!C42),4)</f>
        <v>5.33E-2</v>
      </c>
      <c r="D28" s="707" t="s">
        <v>967</v>
      </c>
      <c r="E28" s="682" t="s">
        <v>926</v>
      </c>
      <c r="F28" s="705">
        <f>'数据-取费表'!B41</f>
        <v>5.6000000000000001E-2</v>
      </c>
      <c r="G28" s="2288"/>
      <c r="H28" s="688"/>
      <c r="I28" s="689"/>
      <c r="J28" s="690"/>
      <c r="K28" s="711"/>
      <c r="L28" s="682" t="s">
        <v>968</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2543</v>
      </c>
      <c r="B31" s="682" t="s">
        <v>361</v>
      </c>
      <c r="C31" s="312">
        <f ca="1">ROUND(IF(项目基本情况!B11="自然人",C5*F31,C32+C33+C34),1)</f>
        <v>0</v>
      </c>
      <c r="D31" s="2214" t="s">
        <v>931</v>
      </c>
      <c r="E31" s="2212"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2608</v>
      </c>
      <c r="B32" s="682" t="s">
        <v>933</v>
      </c>
      <c r="C32" s="312">
        <f ca="1">IF(项目基本情况!B11="自然人","——",ROUND(C5*F32/(1+'数据-取费表'!C42),2))</f>
        <v>0</v>
      </c>
      <c r="D32" s="2212" t="s">
        <v>934</v>
      </c>
      <c r="E32" s="682" t="s">
        <v>926</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IF(项目基本情况!B11="自然人","——",IF(D33="按租金收入计税",ROUND(C5*F33,2),IF(D33="按房产原值计税",ROUND(C29*F33*0.7,2),INDIRECT("'数据-取费表'!Aj"&amp;$G$1))))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971</v>
      </c>
      <c r="C34" s="313">
        <f ca="1">IF(项目基本情况!B11="自然人","——",ROUND(F34*F35/10000,2))</f>
        <v>0</v>
      </c>
      <c r="D34" s="708" t="s">
        <v>972</v>
      </c>
      <c r="E34" s="682" t="s">
        <v>973</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ROUND(C29*F36,1)</f>
        <v>0</v>
      </c>
      <c r="D36" s="2212" t="s">
        <v>976</v>
      </c>
      <c r="E36" s="682" t="s">
        <v>977</v>
      </c>
      <c r="F36" s="712">
        <f ca="1">INDIRECT("'数据-取费表'!Ak"&amp;$G$1)</f>
        <v>0</v>
      </c>
      <c r="G36" s="2287"/>
      <c r="H36" s="1288"/>
      <c r="I36" s="2879"/>
      <c r="J36" s="2880"/>
      <c r="K36" s="1292"/>
      <c r="L36" s="1288"/>
      <c r="M36" s="1288"/>
    </row>
    <row r="37" spans="1:18" ht="18" customHeight="1">
      <c r="A37" s="2437" t="s">
        <v>2614</v>
      </c>
      <c r="B37" s="682" t="s">
        <v>366</v>
      </c>
      <c r="C37" s="312">
        <f ca="1">ROUND(C13*F37,1)</f>
        <v>0</v>
      </c>
      <c r="D37" s="2212" t="s">
        <v>367</v>
      </c>
      <c r="E37" s="682" t="s">
        <v>368</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368</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ROUND(C40*10000/F43,0)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2489</v>
      </c>
      <c r="P45" s="1294"/>
      <c r="Q45" s="1294"/>
      <c r="R45" s="1294"/>
    </row>
    <row r="46" spans="1:18" s="1453" customFormat="1" ht="21" thickBot="1">
      <c r="A46" s="2395" t="s">
        <v>2328</v>
      </c>
      <c r="B46" s="2396"/>
      <c r="C46" s="2723" t="e">
        <f ca="1">C68-C40</f>
        <v>#DIV/0!</v>
      </c>
      <c r="D46" s="2724" t="str">
        <f>C2</f>
        <v>万元</v>
      </c>
      <c r="E46" s="1431"/>
      <c r="F46" s="1431"/>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2330</v>
      </c>
      <c r="B47" s="2433" t="s">
        <v>2331</v>
      </c>
      <c r="C47" s="2728" t="s">
        <v>2332</v>
      </c>
      <c r="D47" s="2433" t="s">
        <v>2333</v>
      </c>
      <c r="E47" s="2535" t="s">
        <v>2334</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2441</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ROUND(F49*F51*F50*(1-F52)/10000,0)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729"/>
      <c r="D50" s="2404"/>
      <c r="E50" s="2532" t="s">
        <v>2337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2338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2339</v>
      </c>
      <c r="F52" s="2530"/>
      <c r="I52" s="2558" t="s">
        <v>2448</v>
      </c>
      <c r="J52" s="2572"/>
      <c r="K52" s="2558" t="s">
        <v>2433</v>
      </c>
      <c r="L52" s="2572"/>
      <c r="M52" s="2396"/>
      <c r="O52" s="2587" t="s">
        <v>2457</v>
      </c>
      <c r="P52" s="2595" t="s">
        <v>2474</v>
      </c>
      <c r="Q52" s="2586">
        <f ca="1">J53</f>
        <v>0</v>
      </c>
      <c r="R52" s="2586" t="s">
        <v>2475</v>
      </c>
    </row>
    <row r="53" spans="1:18" s="1453" customFormat="1" ht="43.5" thickBot="1">
      <c r="A53" s="2824" t="s">
        <v>2622</v>
      </c>
      <c r="B53" s="431" t="s">
        <v>2532</v>
      </c>
      <c r="C53" s="696">
        <f ca="1">ROUND(IF(F53="押一",F49*F51*F50/12*F11,IF(F53="押二",F49*F51*F50/12*2*F11,IF(F53="押三",F49*F51*F50/12*3*F11,C54*F11)))/10000,0)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825"/>
      <c r="B54" s="2622" t="s">
        <v>2699</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08"/>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2340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2370</v>
      </c>
      <c r="C57" s="612">
        <f ca="1">C29</f>
        <v>0</v>
      </c>
      <c r="D57" s="2412"/>
      <c r="E57" s="2413"/>
      <c r="F57" s="2540"/>
      <c r="I57" s="2543" t="s">
        <v>2449</v>
      </c>
      <c r="J57" s="2547">
        <f ca="1">IF(OR(M47="住宅",J51&lt;L48,J56="是"),"——",J51-L48)</f>
        <v>0</v>
      </c>
      <c r="K57" s="2542" t="s">
        <v>2902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2371</v>
      </c>
      <c r="C58" s="696">
        <f ca="1">ROUND(C59+C64+C65+C66,0)</f>
        <v>0</v>
      </c>
      <c r="D58" s="2415" t="s">
        <v>2372</v>
      </c>
      <c r="E58" s="2416"/>
      <c r="F58" s="2417"/>
      <c r="I58" s="2543" t="s">
        <v>2429</v>
      </c>
      <c r="J58" s="3316" t="e">
        <f ca="1">IF(J55&lt;0.4,0.4,J55)</f>
        <v>#DIV/0!</v>
      </c>
      <c r="K58" s="2566" t="s">
        <v>2903</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ROUND(IF(项目基本情况!B11="自然人",C48*F59,C60+C61+C62),1)</f>
        <v>0</v>
      </c>
      <c r="D59" s="2418" t="s">
        <v>2342</v>
      </c>
      <c r="E59" s="2419" t="s">
        <v>2343</v>
      </c>
      <c r="F59" s="706">
        <f ca="1">IF(项目基本情况!B11="企业","",IF(INDIRECT("'数据-取费表'!c"&amp;$G$1)="住宅",5%,IF(F49*F50*F51/12/(1+'数据-取费表'!C42)&gt;20000,12%,7%)))</f>
        <v>7.0000000000000007E-2</v>
      </c>
      <c r="I59" s="2543" t="s">
        <v>2430</v>
      </c>
      <c r="J59" s="2547" t="e">
        <f ca="1">IF(OR(M47="住宅",J51&lt;L48,J56="是"),"——",ROUND(C29*J58,0))</f>
        <v>#DIV/0!</v>
      </c>
      <c r="K59" s="2566" t="s">
        <v>2904</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2344</v>
      </c>
      <c r="C60" s="312">
        <f ca="1">IF(项目基本情况!B11="自然人","——",ROUND(C48*F60/(1+'数据-取费表'!C42),2))</f>
        <v>0</v>
      </c>
      <c r="D60" s="2419" t="s">
        <v>2345</v>
      </c>
      <c r="E60" s="2401" t="s">
        <v>2346</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2347</v>
      </c>
      <c r="C61" s="312">
        <f ca="1">IF(项目基本情况!B11="自然人","——",IF(D61="按租金收入计税",ROUND(C48*F61,2),IF(D61="按房产原值计税",ROUND(C57*F61*0.7,2),INDIRECT("'数据-取费表'!Aj"&amp;$G$1))))</f>
        <v>0</v>
      </c>
      <c r="D61" s="1299" t="s">
        <v>2416</v>
      </c>
      <c r="E61" s="2401" t="s">
        <v>2346</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2348</v>
      </c>
      <c r="C62" s="313">
        <f ca="1">IF(项目基本情况!B11="自然人","——",ROUND(F62*F63/10000,2))</f>
        <v>0</v>
      </c>
      <c r="D62" s="2420" t="s">
        <v>2349</v>
      </c>
      <c r="E62" s="2401" t="s">
        <v>2350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2351</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2352</v>
      </c>
      <c r="C64" s="312">
        <f ca="1">ROUND(C57*F64,1)</f>
        <v>0</v>
      </c>
      <c r="D64" s="2419" t="s">
        <v>2353</v>
      </c>
      <c r="E64" s="2401" t="s">
        <v>2346</v>
      </c>
      <c r="F64" s="712">
        <f t="shared" ca="1" si="0"/>
        <v>0</v>
      </c>
      <c r="I64" s="2545" t="s">
        <v>2436</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ROUND(C56*F65,1)</f>
        <v>0</v>
      </c>
      <c r="D65" s="2419" t="s">
        <v>2354</v>
      </c>
      <c r="E65" s="2401" t="s">
        <v>2346</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ROUND(C48*F66,1)</f>
        <v>0</v>
      </c>
      <c r="D66" s="2419" t="s">
        <v>2355</v>
      </c>
      <c r="E66" s="2401" t="s">
        <v>2346</v>
      </c>
      <c r="F66" s="692">
        <f t="shared" ca="1" si="0"/>
        <v>0</v>
      </c>
      <c r="O66" s="2585" t="s">
        <v>2453</v>
      </c>
      <c r="P66" s="2595" t="s">
        <v>2477</v>
      </c>
      <c r="Q66" s="2586" t="e">
        <f ca="1">L60</f>
        <v>#DIV/0!</v>
      </c>
      <c r="R66" s="2586" t="s">
        <v>2460</v>
      </c>
    </row>
    <row r="67" spans="1:18" s="1453" customFormat="1" ht="24.75" thickBot="1">
      <c r="A67" s="2408" t="s">
        <v>2356</v>
      </c>
      <c r="B67" s="2422" t="s">
        <v>2357</v>
      </c>
      <c r="C67" s="696">
        <f ca="1">C48-C58</f>
        <v>0</v>
      </c>
      <c r="D67" s="2418" t="s">
        <v>2358</v>
      </c>
      <c r="E67" s="2423"/>
      <c r="F67" s="2424"/>
      <c r="O67" s="2587" t="s">
        <v>2454</v>
      </c>
      <c r="P67" s="2595" t="s">
        <v>2484</v>
      </c>
      <c r="Q67" s="2590">
        <f ca="1">L51</f>
        <v>0</v>
      </c>
      <c r="R67" s="2591" t="s">
        <v>2494</v>
      </c>
    </row>
    <row r="68" spans="1:18" s="1453" customFormat="1" ht="20.25" thickBot="1">
      <c r="A68" s="2398" t="s">
        <v>2359</v>
      </c>
      <c r="B68" s="2399" t="s">
        <v>2360</v>
      </c>
      <c r="C68" s="681" t="e">
        <f ca="1">ROUND(C67*(1-((1+F70)/(1+F68))^F69)/(F68-F70),0)</f>
        <v>#DIV/0!</v>
      </c>
      <c r="D68" s="2420" t="s">
        <v>2361</v>
      </c>
      <c r="E68" s="2401" t="s">
        <v>2362</v>
      </c>
      <c r="F68" s="692">
        <f ca="1">F40</f>
        <v>0</v>
      </c>
      <c r="O68" s="2587" t="s">
        <v>2455</v>
      </c>
      <c r="P68" s="2596" t="s">
        <v>2488</v>
      </c>
      <c r="Q68" s="2586">
        <f ca="1">ROUND(Q69-Q70*Q71,0)</f>
        <v>0</v>
      </c>
      <c r="R68" s="2586" t="s">
        <v>2493</v>
      </c>
    </row>
    <row r="69" spans="1:18" s="1453" customFormat="1" ht="15.75" thickBot="1">
      <c r="A69" s="2402"/>
      <c r="B69" s="2403"/>
      <c r="C69" s="686"/>
      <c r="D69" s="2425" t="s">
        <v>2363</v>
      </c>
      <c r="E69" s="2401" t="s">
        <v>2364</v>
      </c>
      <c r="F69" s="717">
        <f ca="1">F41</f>
        <v>0</v>
      </c>
      <c r="O69" s="2587" t="s">
        <v>2463</v>
      </c>
      <c r="P69" s="2596" t="s">
        <v>2478</v>
      </c>
      <c r="Q69" s="2586">
        <f ca="1">C39</f>
        <v>0</v>
      </c>
      <c r="R69" s="2586" t="s">
        <v>2471</v>
      </c>
    </row>
    <row r="70" spans="1:18" s="1453" customFormat="1" ht="15.75" thickBot="1">
      <c r="A70" s="2405"/>
      <c r="B70" s="2406"/>
      <c r="C70" s="690"/>
      <c r="D70" s="2421"/>
      <c r="E70" s="2401" t="s">
        <v>2365</v>
      </c>
      <c r="F70" s="2530"/>
      <c r="O70" s="2587" t="s">
        <v>2464</v>
      </c>
      <c r="P70" s="2596" t="s">
        <v>2479</v>
      </c>
      <c r="Q70" s="2586">
        <f ca="1">C13</f>
        <v>0</v>
      </c>
      <c r="R70" s="2586" t="s">
        <v>2471</v>
      </c>
    </row>
    <row r="71" spans="1:18" s="1453" customFormat="1" ht="15.75" thickBot="1">
      <c r="A71" s="2426" t="s">
        <v>2366</v>
      </c>
      <c r="B71" s="2427" t="s">
        <v>2367</v>
      </c>
      <c r="C71" s="720" t="e">
        <f ca="1">ROUND(C68*10000/F71,0)</f>
        <v>#DIV/0!</v>
      </c>
      <c r="D71" s="2428" t="s">
        <v>2368</v>
      </c>
      <c r="E71" s="2429" t="s">
        <v>2369</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2700</v>
      </c>
      <c r="C78" s="733"/>
    </row>
    <row r="79" spans="1:18">
      <c r="B79" s="2871" t="s">
        <v>2704</v>
      </c>
      <c r="C79" s="648" t="e">
        <f ca="1">1-C80</f>
        <v>#DIV/0!</v>
      </c>
    </row>
    <row r="80" spans="1:18">
      <c r="B80" s="2871" t="s">
        <v>2703</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537</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1100</v>
      </c>
      <c r="D2" s="2722" t="e">
        <f ca="1">C40+J29+L46</f>
        <v>#DIV/0!</v>
      </c>
      <c r="E2" s="2573" t="s">
        <v>2624</v>
      </c>
      <c r="F2" s="1275"/>
      <c r="G2" s="2286"/>
      <c r="H2" s="1273"/>
      <c r="I2" s="1273"/>
      <c r="J2" s="1273"/>
      <c r="K2" s="1297"/>
      <c r="L2" s="1273"/>
      <c r="M2" s="1273"/>
    </row>
    <row r="3" spans="1:37" ht="18" customHeight="1" thickBot="1">
      <c r="A3" s="673" t="s">
        <v>344</v>
      </c>
      <c r="B3" s="1406">
        <f ca="1">IF(ISERROR(D2/F43),0,ROUND(D2/F43,0))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2335</v>
      </c>
      <c r="C5" s="2624">
        <f ca="1">C6+C10+C12</f>
        <v>0</v>
      </c>
      <c r="D5" s="2634" t="s">
        <v>2538</v>
      </c>
      <c r="E5" s="2625"/>
      <c r="F5" s="2626"/>
      <c r="G5" s="2287"/>
      <c r="H5" s="679">
        <v>1</v>
      </c>
      <c r="I5" s="680" t="s">
        <v>2335</v>
      </c>
      <c r="J5" s="2624">
        <f ca="1">J6+J10+J12</f>
        <v>0</v>
      </c>
      <c r="K5" s="2627" t="s">
        <v>2538</v>
      </c>
      <c r="L5" s="2625"/>
      <c r="M5" s="2626"/>
    </row>
    <row r="6" spans="1:37" ht="18" customHeight="1">
      <c r="A6" s="2620" t="s">
        <v>2376</v>
      </c>
      <c r="B6" s="3624" t="s">
        <v>2537</v>
      </c>
      <c r="C6" s="2629">
        <f ca="1">ROUND(F6*F8*F7*(1-F9),0)</f>
        <v>0</v>
      </c>
      <c r="D6" s="2623" t="s">
        <v>2539</v>
      </c>
      <c r="E6" s="682" t="s">
        <v>916</v>
      </c>
      <c r="F6" s="683">
        <f ca="1">INDIRECT("'数据-取费表'!u"&amp;$G$1)</f>
        <v>0</v>
      </c>
      <c r="G6" s="2287"/>
      <c r="H6" s="2620" t="s">
        <v>2376</v>
      </c>
      <c r="I6" s="3624" t="s">
        <v>2537</v>
      </c>
      <c r="J6" s="681">
        <f ca="1">ROUND(M6*M8*M7*(1-M9),0)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2383</v>
      </c>
      <c r="B10" s="2621" t="s">
        <v>2532</v>
      </c>
      <c r="C10" s="696">
        <f ca="1">ROUND(IF(F10="押一",F6*F8*F7/12*F11,IF(F10="押二",F6*F8*F7/12*2*F11,IF(F10="押三",F6*F8*F7/12*3*F11,C11*F11))),0)</f>
        <v>0</v>
      </c>
      <c r="D10" s="2632" t="s">
        <v>2540</v>
      </c>
      <c r="E10" s="2096" t="s">
        <v>2534</v>
      </c>
      <c r="F10" s="2826"/>
      <c r="G10" s="2287"/>
      <c r="H10" s="2620" t="s">
        <v>2383</v>
      </c>
      <c r="I10" s="2621" t="s">
        <v>2532</v>
      </c>
      <c r="J10" s="681">
        <f ca="1">ROUND(IF(M10="押一",M6*M8*M7/12*M11,IF(M10="押二",M6*M8*M7/12*2*M11,IF(M10="押三",M6*M8*M7/12*3*M11,J11*M11))),0)</f>
        <v>0</v>
      </c>
      <c r="K10" s="2632" t="s">
        <v>2540</v>
      </c>
      <c r="L10" s="2096" t="s">
        <v>2534</v>
      </c>
      <c r="M10" s="2826" t="s">
        <v>2696</v>
      </c>
    </row>
    <row r="11" spans="1:37" ht="18" customHeight="1">
      <c r="A11" s="688"/>
      <c r="B11" s="2622" t="s">
        <v>2542</v>
      </c>
      <c r="C11" s="2414"/>
      <c r="D11" s="687"/>
      <c r="E11" s="2096" t="s">
        <v>2535</v>
      </c>
      <c r="F11" s="694">
        <f ca="1">'数据-取费表'!B39</f>
        <v>1.4999999999999999E-2</v>
      </c>
      <c r="G11" s="2287"/>
      <c r="H11" s="2633"/>
      <c r="I11" s="2622" t="s">
        <v>2697</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2545</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ROUND(INDIRECT("'数据-取费表'!l"&amp;$G$1)*F43+'数据-取费表'!L14*INDIRECT("'数据-取费表'!S"&amp;$G$1),0)</f>
        <v>0</v>
      </c>
      <c r="D14" s="2717" t="s">
        <v>923</v>
      </c>
      <c r="E14" s="2716"/>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363</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ROUND(INDIRECT("'数据-取费表'!l"&amp;$G$1)*F43*F16,0)</f>
        <v>0</v>
      </c>
      <c r="D16" s="682" t="s">
        <v>925</v>
      </c>
      <c r="E16" s="682" t="s">
        <v>363</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ROUND(F17*(F43+INDIRECT("'数据-取费表'!S"&amp;$G$1)),0)</f>
        <v>0</v>
      </c>
      <c r="D17" s="682" t="s">
        <v>929</v>
      </c>
      <c r="E17" s="682" t="s">
        <v>930</v>
      </c>
      <c r="F17" s="314">
        <f>'数据-取费表'!B35</f>
        <v>200</v>
      </c>
      <c r="G17" s="2288"/>
      <c r="H17" s="2437" t="s">
        <v>2376</v>
      </c>
      <c r="I17" s="682" t="s">
        <v>361</v>
      </c>
      <c r="J17" s="312">
        <f ca="1">ROUND(IF(项目基本情况!B11="自然人",J5*M17,J18+J19+J20),0)</f>
        <v>0</v>
      </c>
      <c r="K17" s="2717" t="s">
        <v>931</v>
      </c>
      <c r="L17" s="2718"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363</v>
      </c>
      <c r="F18" s="705">
        <f>'数据-取费表'!B36</f>
        <v>1.4999999999999999E-2</v>
      </c>
      <c r="G18" s="2288"/>
      <c r="H18" s="2437" t="s">
        <v>2373</v>
      </c>
      <c r="I18" s="682" t="s">
        <v>933</v>
      </c>
      <c r="J18" s="312">
        <f ca="1">ROUND(J5*M18/(1+'数据-取费表'!C42),0)</f>
        <v>0</v>
      </c>
      <c r="K18" s="2718" t="s">
        <v>934</v>
      </c>
      <c r="L18" s="682" t="s">
        <v>363</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2376</v>
      </c>
      <c r="B19" s="682" t="s">
        <v>364</v>
      </c>
      <c r="C19" s="312">
        <f ca="1">SUM(C14:C18)</f>
        <v>0</v>
      </c>
      <c r="D19" s="469" t="s">
        <v>935</v>
      </c>
      <c r="E19" s="2720"/>
      <c r="F19" s="314"/>
      <c r="G19" s="2287"/>
      <c r="H19" s="2437" t="s">
        <v>2609</v>
      </c>
      <c r="I19" s="682" t="s">
        <v>936</v>
      </c>
      <c r="J19" s="312">
        <f ca="1">IF(K19="按租金收入计税",ROUND(J5*M19,0),ROUND(C29*M19*0.7,0))</f>
        <v>0</v>
      </c>
      <c r="K19" s="1299" t="s">
        <v>2416</v>
      </c>
      <c r="L19" s="682" t="s">
        <v>363</v>
      </c>
      <c r="M19" s="705">
        <f>IF(K19="按租金收入计税",'数据-取费表'!B51,'数据-取费表'!B50)</f>
        <v>1.2E-2</v>
      </c>
    </row>
    <row r="20" spans="1:37" s="704" customFormat="1" ht="18" customHeight="1">
      <c r="A20" s="2437" t="s">
        <v>2613</v>
      </c>
      <c r="B20" s="682" t="s">
        <v>365</v>
      </c>
      <c r="C20" s="312">
        <f ca="1">ROUND(C19*F20,0)</f>
        <v>0</v>
      </c>
      <c r="D20" s="707" t="s">
        <v>937</v>
      </c>
      <c r="E20" s="682" t="s">
        <v>363</v>
      </c>
      <c r="F20" s="705">
        <f>'数据-取费表'!B37</f>
        <v>1.4999999999999999E-2</v>
      </c>
      <c r="G20" s="2288"/>
      <c r="H20" s="2437" t="s">
        <v>2610</v>
      </c>
      <c r="I20" s="494" t="s">
        <v>938</v>
      </c>
      <c r="J20" s="313">
        <f ca="1">ROUND(M20*M21,0)</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23</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720"/>
      <c r="F22" s="314"/>
      <c r="G22" s="2287"/>
      <c r="H22" s="2437" t="s">
        <v>2383</v>
      </c>
      <c r="I22" s="682" t="s">
        <v>946</v>
      </c>
      <c r="J22" s="312">
        <f ca="1">ROUND(J14*M22,0)</f>
        <v>0</v>
      </c>
      <c r="K22" s="2718" t="s">
        <v>947</v>
      </c>
      <c r="L22" s="682" t="s">
        <v>363</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ROUND(J13*M23,0)</f>
        <v>0</v>
      </c>
      <c r="K23" s="2718"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ROUND(J5*M24,0)</f>
        <v>0</v>
      </c>
      <c r="K24" s="2679" t="s">
        <v>369</v>
      </c>
      <c r="L24" s="2677" t="s">
        <v>363</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720"/>
      <c r="F25" s="314"/>
      <c r="G25" s="2287"/>
      <c r="H25" s="2664" t="s">
        <v>2356</v>
      </c>
      <c r="I25" s="2681" t="s">
        <v>375</v>
      </c>
      <c r="J25" s="690">
        <f ca="1">J5-J16</f>
        <v>0</v>
      </c>
      <c r="K25" s="2682" t="s">
        <v>376</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371</v>
      </c>
      <c r="L26" s="682" t="s">
        <v>372</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379</v>
      </c>
      <c r="M27" s="717">
        <f ca="1">INDIRECT("'数据-取费表'!ag"&amp;$G$1)</f>
        <v>0</v>
      </c>
    </row>
    <row r="28" spans="1:37" s="704" customFormat="1" ht="18" customHeight="1">
      <c r="A28" s="2437" t="s">
        <v>2381</v>
      </c>
      <c r="B28" s="682" t="s">
        <v>374</v>
      </c>
      <c r="C28" s="312">
        <f>ROUND(F28/(1+'数据-取费表'!C42),4)</f>
        <v>5.33E-2</v>
      </c>
      <c r="D28" s="707" t="s">
        <v>967</v>
      </c>
      <c r="E28" s="682" t="s">
        <v>363</v>
      </c>
      <c r="F28" s="705">
        <f>'数据-取费表'!B41</f>
        <v>5.6000000000000001E-2</v>
      </c>
      <c r="G28" s="2288"/>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2376</v>
      </c>
      <c r="B31" s="682" t="s">
        <v>361</v>
      </c>
      <c r="C31" s="312">
        <f ca="1">ROUND(IF(项目基本情况!B11="自然人",C5*F31,C32+C33+C34),0)</f>
        <v>0</v>
      </c>
      <c r="D31" s="2717" t="s">
        <v>931</v>
      </c>
      <c r="E31" s="2718"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2373</v>
      </c>
      <c r="B32" s="682" t="s">
        <v>933</v>
      </c>
      <c r="C32" s="312">
        <f ca="1">IF(项目基本情况!B11="自然人","——",ROUND(C5*F32/(1+'数据-取费表'!C42),0))</f>
        <v>0</v>
      </c>
      <c r="D32" s="2718" t="s">
        <v>934</v>
      </c>
      <c r="E32" s="682" t="s">
        <v>363</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IF(项目基本情况!B11="自然人","——",IF(D33="按租金收入计税",ROUND(C5*F33,0),IF(D33="按房产原值计税",ROUND(C29*F33*0.7,0),INDIRECT("'数据-取费表'!Aj"&amp;$G$1))))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938</v>
      </c>
      <c r="C34" s="313">
        <f ca="1">IF(项目基本情况!B11="自然人","——",ROUND(F34*F35,))</f>
        <v>0</v>
      </c>
      <c r="D34" s="708" t="s">
        <v>939</v>
      </c>
      <c r="E34" s="682" t="s">
        <v>940</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ROUND(C29*F36,0)</f>
        <v>0</v>
      </c>
      <c r="D36" s="2718" t="s">
        <v>976</v>
      </c>
      <c r="E36" s="682" t="s">
        <v>363</v>
      </c>
      <c r="F36" s="712">
        <f ca="1">INDIRECT("'数据-取费表'!Ak"&amp;$G$1)</f>
        <v>0</v>
      </c>
      <c r="G36" s="2287"/>
      <c r="H36" s="1288"/>
      <c r="I36" s="2879"/>
      <c r="J36" s="2880"/>
      <c r="K36" s="1292"/>
      <c r="L36" s="1288"/>
      <c r="M36" s="1288"/>
    </row>
    <row r="37" spans="1:18" ht="18" customHeight="1">
      <c r="A37" s="2437" t="s">
        <v>2614</v>
      </c>
      <c r="B37" s="682" t="s">
        <v>366</v>
      </c>
      <c r="C37" s="312">
        <f ca="1">ROUND(C13*F37,0)</f>
        <v>0</v>
      </c>
      <c r="D37" s="2718" t="s">
        <v>367</v>
      </c>
      <c r="E37" s="682" t="s">
        <v>363</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363</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t="e">
        <f ca="1">C68-C40</f>
        <v>#DIV/0!</v>
      </c>
      <c r="D45" s="2726" t="s">
        <v>2625</v>
      </c>
      <c r="E45" s="1431"/>
      <c r="F45" s="1431"/>
      <c r="O45" s="2589" t="s">
        <v>2489</v>
      </c>
      <c r="P45" s="1294"/>
      <c r="Q45" s="1294"/>
      <c r="R45" s="1294"/>
    </row>
    <row r="46" spans="1:18" s="1453" customFormat="1" ht="21" thickBot="1">
      <c r="A46" s="2395" t="s">
        <v>2328</v>
      </c>
      <c r="B46" s="2396"/>
      <c r="C46" s="2723" t="e">
        <f ca="1">ROUND(C45/10000,0)</f>
        <v>#DIV/0!</v>
      </c>
      <c r="D46" s="2724" t="str">
        <f>C2</f>
        <v>万元</v>
      </c>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911</v>
      </c>
      <c r="B47" s="2433" t="s">
        <v>912</v>
      </c>
      <c r="C47" s="2433" t="s">
        <v>913</v>
      </c>
      <c r="D47" s="2433" t="s">
        <v>914</v>
      </c>
      <c r="E47" s="2535" t="s">
        <v>915</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680</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435"/>
      <c r="D50" s="2404"/>
      <c r="E50" s="2532" t="s">
        <v>917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918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919</v>
      </c>
      <c r="F52" s="2530"/>
      <c r="I52" s="2558" t="s">
        <v>2448</v>
      </c>
      <c r="J52" s="2572"/>
      <c r="K52" s="2558" t="s">
        <v>2433</v>
      </c>
      <c r="L52" s="2572"/>
      <c r="M52" s="2396"/>
      <c r="O52" s="2587" t="s">
        <v>2457</v>
      </c>
      <c r="P52" s="2595" t="s">
        <v>2474</v>
      </c>
      <c r="Q52" s="2586">
        <f ca="1">J53</f>
        <v>0</v>
      </c>
      <c r="R52" s="2586" t="s">
        <v>2475</v>
      </c>
    </row>
    <row r="53" spans="1:18" s="1453" customFormat="1" ht="43.5" thickBot="1">
      <c r="A53" s="2710" t="s">
        <v>2622</v>
      </c>
      <c r="B53" s="2711" t="s">
        <v>2532</v>
      </c>
      <c r="C53" s="696">
        <f ca="1">ROUND(IF(F53="押一",F49*F51*F50/12*F11,IF(F53="押二",F49*F51*F50/12*2*F11,IF(F53="押三",F49*F51*F50/12*3*F11,C54*F11))),0)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430"/>
      <c r="B54" s="2823" t="s">
        <v>2697</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15"/>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920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969</v>
      </c>
      <c r="C57" s="612">
        <f ca="1">C29</f>
        <v>0</v>
      </c>
      <c r="D57" s="2412"/>
      <c r="E57" s="2413"/>
      <c r="F57" s="2540"/>
      <c r="I57" s="2543" t="s">
        <v>2449</v>
      </c>
      <c r="J57" s="2547">
        <f ca="1">IF(OR(M47="住宅",J51&lt;L48,J56="是"),"——",J51-L48)</f>
        <v>0</v>
      </c>
      <c r="K57" s="2542" t="s">
        <v>2442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927</v>
      </c>
      <c r="C58" s="696">
        <f ca="1">ROUND(C59+C64+C65+C66,0)</f>
        <v>0</v>
      </c>
      <c r="D58" s="2415" t="s">
        <v>928</v>
      </c>
      <c r="E58" s="2416"/>
      <c r="F58" s="2417"/>
      <c r="I58" s="2543" t="s">
        <v>2429</v>
      </c>
      <c r="J58" s="3316" t="e">
        <f ca="1">IF(J55&lt;0.4,0.4,J55)</f>
        <v>#DIV/0!</v>
      </c>
      <c r="K58" s="2566" t="s">
        <v>2451</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ROUND(IF(项目基本情况!B11="自然人",C48*F59,C60+C61+C62),0)</f>
        <v>0</v>
      </c>
      <c r="D59" s="2418" t="s">
        <v>931</v>
      </c>
      <c r="E59" s="2419" t="s">
        <v>932</v>
      </c>
      <c r="F59" s="706">
        <f ca="1">IF(项目基本情况!B11="企业","",IF(INDIRECT("'数据-取费表'!c"&amp;$G$1)="住宅",5%,IF(F49*F50*F51/12/(1+'数据-取费表'!C42)&gt;20000,12%,7%)))</f>
        <v>7.0000000000000007E-2</v>
      </c>
      <c r="I59" s="2543" t="s">
        <v>2430</v>
      </c>
      <c r="J59" s="2547" t="e">
        <f ca="1">IF(OR(M47="住宅",J51&lt;L48,J56="是"),"——",ROUND(C29*J58,0))</f>
        <v>#DIV/0!</v>
      </c>
      <c r="K59" s="2566" t="s">
        <v>2439</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933</v>
      </c>
      <c r="C60" s="312">
        <f ca="1">IF(项目基本情况!B11="自然人","——",ROUND(C48*F60/(1+'数据-取费表'!C42),0))</f>
        <v>0</v>
      </c>
      <c r="D60" s="2419" t="s">
        <v>934</v>
      </c>
      <c r="E60" s="2401" t="s">
        <v>363</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936</v>
      </c>
      <c r="C61" s="312">
        <f ca="1">IF(项目基本情况!B11="自然人","——",IF(D61="按租金收入计税",ROUND(C48*F61,0),IF(D61="按房产原值计税",ROUND(C57*F61*0.7,0),INDIRECT("'数据-取费表'!Aj"&amp;$G$1))))</f>
        <v>0</v>
      </c>
      <c r="D61" s="1299" t="s">
        <v>2416</v>
      </c>
      <c r="E61" s="2401" t="s">
        <v>363</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938</v>
      </c>
      <c r="C62" s="313">
        <f ca="1">IF(项目基本情况!B11="自然人","——",ROUND(F62*F63,0))</f>
        <v>0</v>
      </c>
      <c r="D62" s="2420" t="s">
        <v>939</v>
      </c>
      <c r="E62" s="2401" t="s">
        <v>940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944</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946</v>
      </c>
      <c r="C64" s="312">
        <f ca="1">ROUND(C57*F64,0)</f>
        <v>0</v>
      </c>
      <c r="D64" s="2419" t="s">
        <v>976</v>
      </c>
      <c r="E64" s="2401" t="s">
        <v>363</v>
      </c>
      <c r="F64" s="712">
        <f t="shared" ca="1" si="0"/>
        <v>0</v>
      </c>
      <c r="I64" s="2545" t="s">
        <v>107</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ROUND(C56*F65,0)</f>
        <v>0</v>
      </c>
      <c r="D65" s="2419" t="s">
        <v>367</v>
      </c>
      <c r="E65" s="2401" t="s">
        <v>363</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ROUND(C48*F66,0)</f>
        <v>0</v>
      </c>
      <c r="D66" s="2419" t="s">
        <v>369</v>
      </c>
      <c r="E66" s="2401" t="s">
        <v>363</v>
      </c>
      <c r="F66" s="692">
        <f t="shared" ca="1" si="0"/>
        <v>0</v>
      </c>
      <c r="O66" s="2585" t="s">
        <v>2453</v>
      </c>
      <c r="P66" s="2595" t="s">
        <v>2477</v>
      </c>
      <c r="Q66" s="2586" t="e">
        <f ca="1">L60</f>
        <v>#DIV/0!</v>
      </c>
      <c r="R66" s="2586" t="s">
        <v>2460</v>
      </c>
    </row>
    <row r="67" spans="1:18" s="1453" customFormat="1" ht="24.75" thickBot="1">
      <c r="A67" s="2408" t="s">
        <v>2356</v>
      </c>
      <c r="B67" s="2422" t="s">
        <v>375</v>
      </c>
      <c r="C67" s="696">
        <f ca="1">C48-C58</f>
        <v>0</v>
      </c>
      <c r="D67" s="2418" t="s">
        <v>376</v>
      </c>
      <c r="E67" s="2423"/>
      <c r="F67" s="2424"/>
      <c r="O67" s="2587" t="s">
        <v>2454</v>
      </c>
      <c r="P67" s="2595" t="s">
        <v>2484</v>
      </c>
      <c r="Q67" s="2590">
        <f ca="1">L51</f>
        <v>0</v>
      </c>
      <c r="R67" s="2591" t="s">
        <v>2494</v>
      </c>
    </row>
    <row r="68" spans="1:18" s="1453" customFormat="1" ht="20.25" thickBot="1">
      <c r="A68" s="2398" t="s">
        <v>2359</v>
      </c>
      <c r="B68" s="2399" t="s">
        <v>377</v>
      </c>
      <c r="C68" s="681" t="e">
        <f ca="1">ROUND(C67*(1-((1+F70)/(1+F68))^F69)/(F68-F70),0)</f>
        <v>#DIV/0!</v>
      </c>
      <c r="D68" s="2420" t="s">
        <v>371</v>
      </c>
      <c r="E68" s="2401" t="s">
        <v>372</v>
      </c>
      <c r="F68" s="692">
        <f ca="1">F40</f>
        <v>0</v>
      </c>
      <c r="O68" s="2587" t="s">
        <v>2455</v>
      </c>
      <c r="P68" s="2596" t="s">
        <v>2488</v>
      </c>
      <c r="Q68" s="2586">
        <f ca="1">ROUND(Q69-Q70*Q71,0)</f>
        <v>0</v>
      </c>
      <c r="R68" s="2586" t="s">
        <v>2493</v>
      </c>
    </row>
    <row r="69" spans="1:18" s="1453" customFormat="1" ht="15.75" thickBot="1">
      <c r="A69" s="2402"/>
      <c r="B69" s="2403"/>
      <c r="C69" s="686"/>
      <c r="D69" s="2425" t="s">
        <v>961</v>
      </c>
      <c r="E69" s="2401" t="s">
        <v>379</v>
      </c>
      <c r="F69" s="717">
        <f ca="1">F41</f>
        <v>0</v>
      </c>
      <c r="O69" s="2587" t="s">
        <v>2463</v>
      </c>
      <c r="P69" s="2596" t="s">
        <v>2478</v>
      </c>
      <c r="Q69" s="2586">
        <f ca="1">C39</f>
        <v>0</v>
      </c>
      <c r="R69" s="2586" t="s">
        <v>2471</v>
      </c>
    </row>
    <row r="70" spans="1:18" s="1453" customFormat="1" ht="15.75" thickBot="1">
      <c r="A70" s="2405"/>
      <c r="B70" s="2406"/>
      <c r="C70" s="690"/>
      <c r="D70" s="2421"/>
      <c r="E70" s="2401" t="s">
        <v>380</v>
      </c>
      <c r="F70" s="2530">
        <f ca="1">F42</f>
        <v>0</v>
      </c>
      <c r="O70" s="2587" t="s">
        <v>2464</v>
      </c>
      <c r="P70" s="2596" t="s">
        <v>2479</v>
      </c>
      <c r="Q70" s="2586">
        <f ca="1">C13</f>
        <v>0</v>
      </c>
      <c r="R70" s="2586" t="s">
        <v>2471</v>
      </c>
    </row>
    <row r="71" spans="1:18" s="1453" customFormat="1" ht="15.75" thickBot="1">
      <c r="A71" s="2426" t="s">
        <v>2366</v>
      </c>
      <c r="B71" s="2427" t="s">
        <v>381</v>
      </c>
      <c r="C71" s="720" t="e">
        <f ca="1">ROUND(C68/F71,0)</f>
        <v>#DIV/0!</v>
      </c>
      <c r="D71" s="2428" t="s">
        <v>382</v>
      </c>
      <c r="E71" s="2429" t="s">
        <v>383</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964</v>
      </c>
      <c r="C78" s="733"/>
    </row>
    <row r="79" spans="1:18">
      <c r="B79" s="2871" t="s">
        <v>2704</v>
      </c>
      <c r="C79" s="648" t="e">
        <f ca="1">1-C80</f>
        <v>#DIV/0!</v>
      </c>
    </row>
    <row r="80" spans="1:18">
      <c r="B80" s="2871" t="s">
        <v>2705</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2675</v>
      </c>
      <c r="B1" s="2782"/>
      <c r="C1" s="2782"/>
      <c r="D1" s="2782"/>
      <c r="E1" s="2783"/>
    </row>
    <row r="2" spans="1:6" ht="14.25">
      <c r="A2" s="2784" t="s">
        <v>2676</v>
      </c>
      <c r="B2" s="2778">
        <f ca="1">SUMIF(B6:B13,"&lt;&gt;#ref!",B6:B13)</f>
        <v>0</v>
      </c>
      <c r="C2" s="2779" t="s">
        <v>2673</v>
      </c>
      <c r="D2" s="2780" t="s">
        <v>2678</v>
      </c>
      <c r="E2" s="2788">
        <f>SUM(E6:E13)</f>
        <v>0</v>
      </c>
    </row>
    <row r="3" spans="1:6" ht="14.25">
      <c r="A3" s="2784" t="s">
        <v>2677</v>
      </c>
      <c r="B3" s="2778" t="e">
        <f ca="1">ROUND(B2*10000/E2,0)</f>
        <v>#DIV/0!</v>
      </c>
      <c r="C3" s="2779" t="s">
        <v>2674</v>
      </c>
      <c r="D3" s="2785"/>
      <c r="E3" s="2789"/>
    </row>
    <row r="4" spans="1:6" ht="14.25">
      <c r="A4" s="2790"/>
      <c r="B4" s="2785"/>
      <c r="C4" s="2785"/>
      <c r="D4" s="2785"/>
      <c r="E4" s="2789"/>
    </row>
    <row r="5" spans="1:6">
      <c r="A5" s="2794" t="s">
        <v>2680</v>
      </c>
      <c r="B5" s="3627" t="s">
        <v>2682</v>
      </c>
      <c r="C5" s="3627"/>
      <c r="D5" s="2793"/>
      <c r="E5" s="3334" t="s">
        <v>2681</v>
      </c>
      <c r="F5" s="3335" t="s">
        <v>3056</v>
      </c>
    </row>
    <row r="6" spans="1:6">
      <c r="A6" s="2791">
        <f>'数据-取费表'!AN6</f>
        <v>0</v>
      </c>
      <c r="B6" s="2787" t="e">
        <f ca="1">IF(F6="是",'数据-取费表'!AO6,0)</f>
        <v>#REF!</v>
      </c>
      <c r="C6" s="2779" t="s">
        <v>2673</v>
      </c>
      <c r="D6" s="2785"/>
      <c r="E6" s="1541">
        <f>IF(OR(A6=0,F6="否"),0,'数据-取费表'!K6+'数据-取费表'!S6)</f>
        <v>0</v>
      </c>
      <c r="F6" s="3336" t="s">
        <v>3057</v>
      </c>
    </row>
    <row r="7" spans="1:6">
      <c r="A7" s="2791">
        <f>'数据-取费表'!AN7</f>
        <v>0</v>
      </c>
      <c r="B7" s="2787" t="e">
        <f ca="1">IF(F7="是",'数据-取费表'!AO7,0)</f>
        <v>#REF!</v>
      </c>
      <c r="C7" s="2779" t="s">
        <v>2673</v>
      </c>
      <c r="D7" s="2785"/>
      <c r="E7" s="1541">
        <f>IF(OR(A7=0,F7="否"),0,'数据-取费表'!K7+'数据-取费表'!S7)</f>
        <v>0</v>
      </c>
      <c r="F7" s="3336" t="s">
        <v>3057</v>
      </c>
    </row>
    <row r="8" spans="1:6">
      <c r="A8" s="2791">
        <f>'数据-取费表'!AN8</f>
        <v>0</v>
      </c>
      <c r="B8" s="2787" t="e">
        <f ca="1">IF(F8="是",'数据-取费表'!AO8,0)</f>
        <v>#REF!</v>
      </c>
      <c r="C8" s="2779" t="s">
        <v>2673</v>
      </c>
      <c r="D8" s="2785"/>
      <c r="E8" s="1541">
        <f>IF(OR(A8=0,F8="否"),0,'数据-取费表'!K8+'数据-取费表'!S8)</f>
        <v>0</v>
      </c>
      <c r="F8" s="3336" t="s">
        <v>3057</v>
      </c>
    </row>
    <row r="9" spans="1:6">
      <c r="A9" s="2791">
        <f>'数据-取费表'!AN9</f>
        <v>0</v>
      </c>
      <c r="B9" s="2787" t="e">
        <f ca="1">IF(F9="是",'数据-取费表'!AO9,0)</f>
        <v>#REF!</v>
      </c>
      <c r="C9" s="2779" t="s">
        <v>2673</v>
      </c>
      <c r="D9" s="2785"/>
      <c r="E9" s="1541">
        <f>IF(OR(A9=0,F9="否"),0,'数据-取费表'!K9+'数据-取费表'!S9)</f>
        <v>0</v>
      </c>
      <c r="F9" s="3336" t="s">
        <v>3057</v>
      </c>
    </row>
    <row r="10" spans="1:6">
      <c r="A10" s="2791">
        <f>'数据-取费表'!AN10</f>
        <v>0</v>
      </c>
      <c r="B10" s="2787" t="e">
        <f ca="1">IF(F10="是",'数据-取费表'!AO10,0)</f>
        <v>#REF!</v>
      </c>
      <c r="C10" s="2779" t="s">
        <v>2673</v>
      </c>
      <c r="D10" s="2785"/>
      <c r="E10" s="1541">
        <f>IF(OR(A10=0,F10="否"),0,'数据-取费表'!K10+'数据-取费表'!S10)</f>
        <v>0</v>
      </c>
      <c r="F10" s="3336" t="s">
        <v>3057</v>
      </c>
    </row>
    <row r="11" spans="1:6">
      <c r="A11" s="2791">
        <f>'数据-取费表'!AN11</f>
        <v>0</v>
      </c>
      <c r="B11" s="2787" t="e">
        <f ca="1">IF(F11="是",'数据-取费表'!AO11,0)</f>
        <v>#REF!</v>
      </c>
      <c r="C11" s="2779" t="s">
        <v>2673</v>
      </c>
      <c r="D11" s="2785"/>
      <c r="E11" s="1541">
        <f>IF(OR(A11=0,F11="否"),0,'数据-取费表'!K11+'数据-取费表'!S11)</f>
        <v>0</v>
      </c>
      <c r="F11" s="3336" t="s">
        <v>3057</v>
      </c>
    </row>
    <row r="12" spans="1:6">
      <c r="A12" s="2791">
        <f>'数据-取费表'!AN12</f>
        <v>0</v>
      </c>
      <c r="B12" s="2787" t="e">
        <f ca="1">IF(F12="是",'数据-取费表'!AO12,0)</f>
        <v>#REF!</v>
      </c>
      <c r="C12" s="2779" t="s">
        <v>2673</v>
      </c>
      <c r="D12" s="2785"/>
      <c r="E12" s="1541">
        <f>IF(OR(A12=0,F12="否"),0,'数据-取费表'!K12+'数据-取费表'!S12)</f>
        <v>0</v>
      </c>
      <c r="F12" s="3336" t="s">
        <v>3057</v>
      </c>
    </row>
    <row r="13" spans="1:6" ht="14.25" thickBot="1">
      <c r="A13" s="2792">
        <f>'数据-取费表'!AN13</f>
        <v>0</v>
      </c>
      <c r="B13" s="2787" t="e">
        <f ca="1">IF(F13="是",'数据-取费表'!AO13,0)</f>
        <v>#REF!</v>
      </c>
      <c r="C13" s="2795" t="s">
        <v>2673</v>
      </c>
      <c r="D13" s="2786"/>
      <c r="E13" s="1541">
        <f>IF(OR(A13=0,F13="否"),0,'数据-取费表'!K13+'数据-取费表'!S13)</f>
        <v>0</v>
      </c>
      <c r="F13" s="3336"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8" t="s">
        <v>2549</v>
      </c>
      <c r="B1" s="3629"/>
      <c r="C1" s="3630"/>
      <c r="D1" s="3631">
        <f>SUM(I10,I15,I20,I21,I23)</f>
        <v>0</v>
      </c>
      <c r="E1" s="3631"/>
      <c r="F1" s="3631"/>
      <c r="G1" s="3631"/>
      <c r="H1" s="3631"/>
      <c r="I1" s="3632"/>
    </row>
    <row r="2" spans="1:9">
      <c r="A2" s="3633" t="s">
        <v>2550</v>
      </c>
      <c r="B2" s="3634" t="s">
        <v>2551</v>
      </c>
      <c r="C2" s="3634"/>
      <c r="D2" s="2636" t="s">
        <v>2552</v>
      </c>
      <c r="E2" s="2636" t="s">
        <v>2553</v>
      </c>
      <c r="F2" s="2636" t="s">
        <v>2554</v>
      </c>
      <c r="G2" s="2636" t="s">
        <v>2555</v>
      </c>
      <c r="H2" s="2636" t="s">
        <v>2556</v>
      </c>
      <c r="I2" s="2637" t="s">
        <v>2557</v>
      </c>
    </row>
    <row r="3" spans="1:9">
      <c r="A3" s="3633"/>
      <c r="B3" s="3634" t="s">
        <v>2558</v>
      </c>
      <c r="C3" s="3634"/>
      <c r="D3" s="2638"/>
      <c r="E3" s="2636"/>
      <c r="F3" s="2639"/>
      <c r="G3" s="2639"/>
      <c r="H3" s="2640"/>
      <c r="I3" s="2641">
        <f>ROUND(D3*E3*F3*G3*H3/10000,0)</f>
        <v>0</v>
      </c>
    </row>
    <row r="4" spans="1:9">
      <c r="A4" s="3633"/>
      <c r="B4" s="3634" t="s">
        <v>2559</v>
      </c>
      <c r="C4" s="3634"/>
      <c r="D4" s="2638"/>
      <c r="E4" s="2636"/>
      <c r="F4" s="2639"/>
      <c r="G4" s="2639"/>
      <c r="H4" s="2640"/>
      <c r="I4" s="2641">
        <f t="shared" ref="I4:I9" si="0">ROUND(D4*E4*F4*G4*H4/10000,0)</f>
        <v>0</v>
      </c>
    </row>
    <row r="5" spans="1:9">
      <c r="A5" s="3633"/>
      <c r="B5" s="3634" t="s">
        <v>2560</v>
      </c>
      <c r="C5" s="3634"/>
      <c r="D5" s="2638"/>
      <c r="E5" s="2636"/>
      <c r="F5" s="2639"/>
      <c r="G5" s="2639"/>
      <c r="H5" s="2640"/>
      <c r="I5" s="2641">
        <f t="shared" si="0"/>
        <v>0</v>
      </c>
    </row>
    <row r="6" spans="1:9">
      <c r="A6" s="3633"/>
      <c r="B6" s="3634" t="s">
        <v>2561</v>
      </c>
      <c r="C6" s="3634"/>
      <c r="D6" s="2638"/>
      <c r="E6" s="2636"/>
      <c r="F6" s="2639"/>
      <c r="G6" s="2639"/>
      <c r="H6" s="2640"/>
      <c r="I6" s="2641">
        <f t="shared" si="0"/>
        <v>0</v>
      </c>
    </row>
    <row r="7" spans="1:9">
      <c r="A7" s="3633"/>
      <c r="B7" s="3634" t="s">
        <v>2562</v>
      </c>
      <c r="C7" s="3634"/>
      <c r="D7" s="2638"/>
      <c r="E7" s="2636"/>
      <c r="F7" s="2639"/>
      <c r="G7" s="2639"/>
      <c r="H7" s="2640"/>
      <c r="I7" s="2641">
        <f t="shared" si="0"/>
        <v>0</v>
      </c>
    </row>
    <row r="8" spans="1:9">
      <c r="A8" s="3633"/>
      <c r="B8" s="3634" t="s">
        <v>2563</v>
      </c>
      <c r="C8" s="3634"/>
      <c r="D8" s="2638"/>
      <c r="E8" s="2636"/>
      <c r="F8" s="2639"/>
      <c r="G8" s="2639"/>
      <c r="H8" s="2640"/>
      <c r="I8" s="2641">
        <f t="shared" si="0"/>
        <v>0</v>
      </c>
    </row>
    <row r="9" spans="1:9">
      <c r="A9" s="3633"/>
      <c r="B9" s="3634" t="s">
        <v>2564</v>
      </c>
      <c r="C9" s="3634"/>
      <c r="D9" s="2638"/>
      <c r="E9" s="2636"/>
      <c r="F9" s="2639"/>
      <c r="G9" s="2639"/>
      <c r="H9" s="2640"/>
      <c r="I9" s="2641">
        <f t="shared" si="0"/>
        <v>0</v>
      </c>
    </row>
    <row r="10" spans="1:9">
      <c r="A10" s="3633"/>
      <c r="B10" s="3635" t="s">
        <v>2565</v>
      </c>
      <c r="C10" s="3635"/>
      <c r="D10" s="2642"/>
      <c r="E10" s="2642" t="e">
        <f>ROUND(D1*10000/D10/H9,0)</f>
        <v>#DIV/0!</v>
      </c>
      <c r="F10" s="2643"/>
      <c r="G10" s="2643"/>
      <c r="H10" s="2644"/>
      <c r="I10" s="2645">
        <f>SUM(I3:I9)</f>
        <v>0</v>
      </c>
    </row>
    <row r="11" spans="1:9" ht="14.25">
      <c r="A11" s="3633" t="s">
        <v>2566</v>
      </c>
      <c r="B11" s="3634" t="s">
        <v>2567</v>
      </c>
      <c r="C11" s="3634"/>
      <c r="D11" s="2638" t="s">
        <v>2568</v>
      </c>
      <c r="E11" s="2638" t="s">
        <v>2569</v>
      </c>
      <c r="F11" s="2639" t="s">
        <v>2570</v>
      </c>
      <c r="G11" s="2639" t="s">
        <v>2556</v>
      </c>
      <c r="H11" s="2646" t="s">
        <v>2571</v>
      </c>
      <c r="I11" s="2637" t="s">
        <v>2557</v>
      </c>
    </row>
    <row r="12" spans="1:9">
      <c r="A12" s="3633"/>
      <c r="B12" s="3634" t="s">
        <v>2572</v>
      </c>
      <c r="C12" s="3634"/>
      <c r="D12" s="2638"/>
      <c r="E12" s="2638"/>
      <c r="F12" s="2639"/>
      <c r="G12" s="2640"/>
      <c r="H12" s="2647"/>
      <c r="I12" s="2637">
        <f>ROUND(D12*E12*F12*G12/10000,0)</f>
        <v>0</v>
      </c>
    </row>
    <row r="13" spans="1:9">
      <c r="A13" s="3633"/>
      <c r="B13" s="3634" t="s">
        <v>2573</v>
      </c>
      <c r="C13" s="3634"/>
      <c r="D13" s="2638"/>
      <c r="E13" s="2638"/>
      <c r="F13" s="2639"/>
      <c r="G13" s="2640"/>
      <c r="H13" s="2647"/>
      <c r="I13" s="2637">
        <f>ROUND(D13*E13*F13*G13/10000,0)</f>
        <v>0</v>
      </c>
    </row>
    <row r="14" spans="1:9">
      <c r="A14" s="3633"/>
      <c r="B14" s="3634" t="s">
        <v>2574</v>
      </c>
      <c r="C14" s="3634"/>
      <c r="D14" s="2638"/>
      <c r="E14" s="2638"/>
      <c r="F14" s="2639"/>
      <c r="G14" s="2640"/>
      <c r="H14" s="2647"/>
      <c r="I14" s="2637">
        <f>ROUND(D14*E14*F14*G14/10000,0)</f>
        <v>0</v>
      </c>
    </row>
    <row r="15" spans="1:9">
      <c r="A15" s="3633"/>
      <c r="B15" s="3635" t="s">
        <v>2565</v>
      </c>
      <c r="C15" s="3635"/>
      <c r="D15" s="2642"/>
      <c r="E15" s="2642">
        <f>SUM(E12:E14)</f>
        <v>0</v>
      </c>
      <c r="F15" s="2643"/>
      <c r="G15" s="2640"/>
      <c r="H15" s="2647"/>
      <c r="I15" s="2648">
        <f>SUM(I12:I14)</f>
        <v>0</v>
      </c>
    </row>
    <row r="16" spans="1:9" ht="24">
      <c r="A16" s="3633" t="s">
        <v>2575</v>
      </c>
      <c r="B16" s="3634" t="s">
        <v>2576</v>
      </c>
      <c r="C16" s="3634"/>
      <c r="D16" s="2638" t="s">
        <v>2552</v>
      </c>
      <c r="E16" s="2649" t="s">
        <v>2577</v>
      </c>
      <c r="F16" s="2639" t="s">
        <v>2578</v>
      </c>
      <c r="G16" s="2640" t="s">
        <v>2556</v>
      </c>
      <c r="H16" s="2646" t="s">
        <v>2571</v>
      </c>
      <c r="I16" s="2637" t="s">
        <v>2557</v>
      </c>
    </row>
    <row r="17" spans="1:9" ht="14.25">
      <c r="A17" s="3633"/>
      <c r="B17" s="3634" t="s">
        <v>2579</v>
      </c>
      <c r="C17" s="3634"/>
      <c r="D17" s="2638"/>
      <c r="E17" s="2638"/>
      <c r="F17" s="2639"/>
      <c r="G17" s="2640"/>
      <c r="H17" s="2650"/>
      <c r="I17" s="2651">
        <f>ROUND(D17*E17*F17*G17/10000,0)</f>
        <v>0</v>
      </c>
    </row>
    <row r="18" spans="1:9" ht="14.25">
      <c r="A18" s="3633"/>
      <c r="B18" s="3634" t="s">
        <v>2580</v>
      </c>
      <c r="C18" s="3634"/>
      <c r="D18" s="2638"/>
      <c r="E18" s="2638"/>
      <c r="F18" s="2639"/>
      <c r="G18" s="2640"/>
      <c r="H18" s="2650"/>
      <c r="I18" s="2651">
        <f>ROUND(D18*E18*F18*G18/10000,0)</f>
        <v>0</v>
      </c>
    </row>
    <row r="19" spans="1:9" ht="14.25">
      <c r="A19" s="3633"/>
      <c r="B19" s="3634" t="s">
        <v>2581</v>
      </c>
      <c r="C19" s="3634"/>
      <c r="D19" s="2638"/>
      <c r="E19" s="2638"/>
      <c r="F19" s="2639"/>
      <c r="G19" s="2640"/>
      <c r="H19" s="2650"/>
      <c r="I19" s="2651">
        <f>ROUND(D19*E19*F19*G19/10000,0)</f>
        <v>0</v>
      </c>
    </row>
    <row r="20" spans="1:9">
      <c r="A20" s="3633"/>
      <c r="B20" s="3635" t="s">
        <v>2565</v>
      </c>
      <c r="C20" s="3635"/>
      <c r="D20" s="2642">
        <f>SUM(D17:D19)</f>
        <v>0</v>
      </c>
      <c r="E20" s="2642"/>
      <c r="F20" s="2643"/>
      <c r="G20" s="2640"/>
      <c r="H20" s="2647"/>
      <c r="I20" s="2648">
        <f>SUM(I17:I19)</f>
        <v>0</v>
      </c>
    </row>
    <row r="21" spans="1:9">
      <c r="A21" s="3633" t="s">
        <v>2582</v>
      </c>
      <c r="B21" s="3637"/>
      <c r="C21" s="3637"/>
      <c r="D21" s="3637"/>
      <c r="E21" s="3637"/>
      <c r="F21" s="3637"/>
      <c r="G21" s="3637"/>
      <c r="H21" s="3295">
        <v>0.1</v>
      </c>
      <c r="I21" s="2645">
        <f>ROUND(I10*H21,0)</f>
        <v>0</v>
      </c>
    </row>
    <row r="22" spans="1:9" ht="14.25">
      <c r="A22" s="3638" t="s">
        <v>2583</v>
      </c>
      <c r="B22" s="3639"/>
      <c r="C22" s="3640"/>
      <c r="D22" s="2652" t="s">
        <v>2584</v>
      </c>
      <c r="E22" s="2652" t="s">
        <v>2585</v>
      </c>
      <c r="F22" s="2653" t="s">
        <v>2586</v>
      </c>
      <c r="G22" s="2653" t="s">
        <v>2587</v>
      </c>
      <c r="H22" s="2646" t="s">
        <v>2588</v>
      </c>
      <c r="I22" s="2637" t="s">
        <v>2589</v>
      </c>
    </row>
    <row r="23" spans="1:9" ht="14.25" thickBot="1">
      <c r="A23" s="3641"/>
      <c r="B23" s="3642"/>
      <c r="C23" s="3643"/>
      <c r="D23" s="2654"/>
      <c r="E23" s="2654"/>
      <c r="F23" s="2654"/>
      <c r="G23" s="2655"/>
      <c r="H23" s="2656"/>
      <c r="I23" s="2657">
        <f>ROUND(E23*D23*F23*(1-G23)/10000,0)</f>
        <v>0</v>
      </c>
    </row>
    <row r="26" spans="1:9">
      <c r="A26" s="2658" t="s">
        <v>2590</v>
      </c>
      <c r="B26" s="2658"/>
      <c r="C26" s="2658"/>
      <c r="D26" s="2658"/>
      <c r="E26" s="3644">
        <f>C27-C30-C31-C32</f>
        <v>0</v>
      </c>
      <c r="F26" s="3644"/>
      <c r="G26" s="3644"/>
      <c r="H26" s="3247" t="s">
        <v>2961</v>
      </c>
    </row>
    <row r="27" spans="1:9">
      <c r="A27" s="2659">
        <v>1</v>
      </c>
      <c r="B27" s="2660" t="s">
        <v>2591</v>
      </c>
      <c r="C27" s="2660">
        <f>C28+C29</f>
        <v>0</v>
      </c>
      <c r="D27" s="2660"/>
      <c r="E27" s="3645"/>
      <c r="F27" s="3645"/>
      <c r="G27" s="3645"/>
    </row>
    <row r="28" spans="1:9">
      <c r="A28" s="2661" t="s">
        <v>2592</v>
      </c>
      <c r="B28" s="2660" t="s">
        <v>2593</v>
      </c>
      <c r="C28" s="2660"/>
      <c r="D28" s="2660"/>
      <c r="E28" s="3645"/>
      <c r="F28" s="3645"/>
      <c r="G28" s="3645"/>
    </row>
    <row r="29" spans="1:9">
      <c r="A29" s="2661" t="s">
        <v>2594</v>
      </c>
      <c r="B29" s="2660" t="s">
        <v>2595</v>
      </c>
      <c r="C29" s="2660"/>
      <c r="D29" s="2660"/>
      <c r="E29" s="2660" t="s">
        <v>2596</v>
      </c>
      <c r="F29" s="2660"/>
      <c r="G29" s="2660"/>
    </row>
    <row r="30" spans="1:9">
      <c r="A30" s="2659">
        <v>2</v>
      </c>
      <c r="B30" s="2660" t="s">
        <v>2597</v>
      </c>
      <c r="C30" s="2660">
        <f>C27*D30</f>
        <v>0</v>
      </c>
      <c r="D30" s="2662">
        <v>0.2</v>
      </c>
      <c r="E30" s="2660" t="s">
        <v>2598</v>
      </c>
      <c r="F30" s="2660"/>
      <c r="G30" s="2660"/>
    </row>
    <row r="31" spans="1:9">
      <c r="A31" s="2659">
        <v>3</v>
      </c>
      <c r="B31" s="2660" t="s">
        <v>2599</v>
      </c>
      <c r="C31" s="2660">
        <f>C25*D31</f>
        <v>0</v>
      </c>
      <c r="D31" s="2662">
        <v>0.15</v>
      </c>
      <c r="E31" s="2660" t="s">
        <v>2600</v>
      </c>
      <c r="F31" s="2660"/>
      <c r="G31" s="2660"/>
    </row>
    <row r="32" spans="1:9">
      <c r="A32" s="2659">
        <v>4</v>
      </c>
      <c r="B32" s="2660" t="s">
        <v>2601</v>
      </c>
      <c r="C32" s="2660">
        <f>C27*D32</f>
        <v>0</v>
      </c>
      <c r="D32" s="2662">
        <v>0.05</v>
      </c>
      <c r="E32" s="3636"/>
      <c r="F32" s="3636"/>
      <c r="G32" s="3636"/>
    </row>
    <row r="33" spans="1:7" hidden="1">
      <c r="A33" s="3646" t="s">
        <v>2602</v>
      </c>
      <c r="B33" s="3647"/>
      <c r="C33" s="3647"/>
      <c r="D33" s="3648"/>
      <c r="E33" s="3644"/>
      <c r="F33" s="3644"/>
      <c r="G33" s="3644"/>
    </row>
    <row r="34" spans="1:7" hidden="1">
      <c r="A34" s="2663">
        <v>1</v>
      </c>
      <c r="B34" s="2660" t="s">
        <v>2603</v>
      </c>
      <c r="C34" s="2660"/>
      <c r="D34" s="2660"/>
      <c r="E34" s="3645"/>
      <c r="F34" s="3645"/>
      <c r="G34" s="3645"/>
    </row>
    <row r="35" spans="1:7" hidden="1">
      <c r="A35" s="2663">
        <v>2</v>
      </c>
      <c r="B35" s="2660" t="s">
        <v>2604</v>
      </c>
      <c r="C35" s="2660"/>
      <c r="D35" s="2660"/>
      <c r="E35" s="3645"/>
      <c r="F35" s="3645"/>
      <c r="G35" s="3645"/>
    </row>
    <row r="36" spans="1:7" hidden="1">
      <c r="A36" s="2663">
        <v>3</v>
      </c>
      <c r="B36" s="2660" t="s">
        <v>2605</v>
      </c>
      <c r="C36" s="2660"/>
      <c r="D36" s="2660"/>
      <c r="E36" s="3645"/>
      <c r="F36" s="3645"/>
      <c r="G36" s="3645"/>
    </row>
    <row r="37" spans="1:7" hidden="1">
      <c r="A37" s="2663">
        <v>4</v>
      </c>
      <c r="B37" s="2660" t="s">
        <v>2606</v>
      </c>
      <c r="C37" s="2660"/>
      <c r="D37" s="2660"/>
      <c r="E37" s="3645"/>
      <c r="F37" s="3645"/>
      <c r="G37" s="3645"/>
    </row>
    <row r="38" spans="1:7" hidden="1">
      <c r="A38" s="3646" t="s">
        <v>2607</v>
      </c>
      <c r="B38" s="3647"/>
      <c r="C38" s="3647"/>
      <c r="D38" s="3648"/>
      <c r="E38" s="3644"/>
      <c r="F38" s="3644"/>
      <c r="G38" s="36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 zoomScale="90" zoomScaleNormal="90" workbookViewId="0">
      <selection activeCell="L15" sqref="L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t="s">
        <v>3081</v>
      </c>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f>IF(C2="——",ROUND(C49*D3/10000,0),ROUND(C49*D3/10000,0)-D2)</f>
        <v>6880</v>
      </c>
      <c r="C2" s="3094" t="s">
        <v>529</v>
      </c>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f>IF(C2="——",C49,ROUND(B2*10000/D3,0))</f>
        <v>14839</v>
      </c>
      <c r="C3" s="141" t="s">
        <v>985</v>
      </c>
      <c r="D3" s="740">
        <f>IF(D1="",'数据-汇总表'!E3,SUMIF('数据-汇总表'!$C19:$C33,D1,'数据-汇总表'!$E19:$E33))</f>
        <v>4636.6499999999996</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3366"/>
      <c r="Y4" s="3662" t="s">
        <v>986</v>
      </c>
      <c r="Z4" s="3663"/>
      <c r="AA4" s="3649" t="s">
        <v>988</v>
      </c>
      <c r="AB4" s="3649" t="s">
        <v>989</v>
      </c>
      <c r="AC4" s="3649" t="s">
        <v>990</v>
      </c>
    </row>
    <row r="5" spans="1:29">
      <c r="A5" s="145"/>
      <c r="B5" s="146"/>
      <c r="C5" s="3666" t="s">
        <v>992</v>
      </c>
      <c r="D5" s="3667"/>
      <c r="E5" s="3668" t="s">
        <v>3085</v>
      </c>
      <c r="F5" s="3669"/>
      <c r="G5" s="3666" t="s">
        <v>3106</v>
      </c>
      <c r="H5" s="3667"/>
      <c r="I5" s="3666" t="s">
        <v>3186</v>
      </c>
      <c r="J5" s="3667"/>
      <c r="K5" s="151"/>
      <c r="L5" s="2294"/>
      <c r="M5" s="2295"/>
      <c r="N5" s="2295"/>
      <c r="O5" s="2295"/>
      <c r="P5" s="3658"/>
      <c r="Q5" s="3659"/>
      <c r="R5" s="3664"/>
      <c r="S5" s="3665"/>
      <c r="T5" s="3664"/>
      <c r="U5" s="3665"/>
      <c r="V5" s="3676"/>
      <c r="W5" s="3676"/>
      <c r="X5" s="3366"/>
      <c r="Y5" s="3664"/>
      <c r="Z5" s="3665"/>
      <c r="AA5" s="3650"/>
      <c r="AB5" s="3650"/>
      <c r="AC5" s="3650"/>
    </row>
    <row r="6" spans="1:29" ht="14.25" thickBot="1">
      <c r="A6" s="147"/>
      <c r="B6" s="148"/>
      <c r="C6" s="3670" t="s">
        <v>993</v>
      </c>
      <c r="D6" s="3671"/>
      <c r="E6" s="3672" t="s">
        <v>993</v>
      </c>
      <c r="F6" s="3673"/>
      <c r="G6" s="3670" t="s">
        <v>993</v>
      </c>
      <c r="H6" s="3671"/>
      <c r="I6" s="3670" t="s">
        <v>993</v>
      </c>
      <c r="J6" s="3671"/>
      <c r="K6" s="151" t="s">
        <v>117</v>
      </c>
      <c r="L6" s="2294"/>
      <c r="M6" s="2295"/>
      <c r="N6" s="2295"/>
      <c r="O6" s="2295"/>
      <c r="P6" s="3660"/>
      <c r="Q6" s="3661"/>
      <c r="R6" s="3664"/>
      <c r="S6" s="3665"/>
      <c r="T6" s="3674"/>
      <c r="U6" s="3675"/>
      <c r="V6" s="3676"/>
      <c r="W6" s="3676"/>
      <c r="X6" s="3366"/>
      <c r="Y6" s="3674"/>
      <c r="Z6" s="3675"/>
      <c r="AA6" s="3651"/>
      <c r="AB6" s="3651"/>
      <c r="AC6" s="3651"/>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77" t="s">
        <v>995</v>
      </c>
      <c r="Q7" s="3678"/>
      <c r="R7" s="1340" t="s">
        <v>115</v>
      </c>
      <c r="S7" s="1341">
        <f t="shared" ref="S7:S15" si="0">F7</f>
        <v>100</v>
      </c>
      <c r="T7" s="1340" t="s">
        <v>115</v>
      </c>
      <c r="U7" s="1341">
        <f t="shared" ref="U7:U15" si="1">H7</f>
        <v>100</v>
      </c>
      <c r="V7" s="1340" t="s">
        <v>115</v>
      </c>
      <c r="W7" s="1341">
        <f t="shared" ref="W7:W15" si="2">J7</f>
        <v>100</v>
      </c>
      <c r="X7" s="286"/>
      <c r="Y7" s="3677" t="s">
        <v>995</v>
      </c>
      <c r="Z7" s="3679"/>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3361" t="str">
        <f t="shared" ref="Q9:Q15" si="6">B9</f>
        <v>用途</v>
      </c>
      <c r="R9" s="1340" t="s">
        <v>65</v>
      </c>
      <c r="S9" s="1341">
        <f t="shared" si="0"/>
        <v>100</v>
      </c>
      <c r="T9" s="1340" t="s">
        <v>65</v>
      </c>
      <c r="U9" s="1341">
        <f t="shared" si="1"/>
        <v>100</v>
      </c>
      <c r="V9" s="1340" t="s">
        <v>65</v>
      </c>
      <c r="W9" s="1341">
        <f t="shared" si="2"/>
        <v>100</v>
      </c>
      <c r="X9" s="286"/>
      <c r="Y9" s="3445"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3361" t="str">
        <f t="shared" si="6"/>
        <v>土地使用年限（年）</v>
      </c>
      <c r="R10" s="1340" t="s">
        <v>65</v>
      </c>
      <c r="S10" s="1341">
        <f t="shared" si="0"/>
        <v>100</v>
      </c>
      <c r="T10" s="1340" t="s">
        <v>65</v>
      </c>
      <c r="U10" s="1341">
        <f t="shared" si="1"/>
        <v>100</v>
      </c>
      <c r="V10" s="1340" t="s">
        <v>65</v>
      </c>
      <c r="W10" s="1341">
        <f t="shared" si="2"/>
        <v>100</v>
      </c>
      <c r="X10" s="286"/>
      <c r="Y10" s="3445"/>
      <c r="Z10" s="3362" t="str">
        <f t="shared" si="7"/>
        <v>土地使用年限（年）</v>
      </c>
      <c r="AA10" s="1342">
        <f t="shared" si="3"/>
        <v>1</v>
      </c>
      <c r="AB10" s="1342">
        <f t="shared" si="4"/>
        <v>1</v>
      </c>
      <c r="AC10" s="1342">
        <f t="shared" si="5"/>
        <v>1</v>
      </c>
    </row>
    <row r="11" spans="1:29" ht="15.75" thickBot="1">
      <c r="A11" s="150"/>
      <c r="B11" s="3363" t="s">
        <v>93</v>
      </c>
      <c r="C11" s="3372">
        <f>'数据-汇总表'!I4</f>
        <v>4.1100000000000003</v>
      </c>
      <c r="D11" s="424">
        <v>100</v>
      </c>
      <c r="E11" s="771">
        <v>3.5</v>
      </c>
      <c r="F11" s="766">
        <f>LOOKUP(E11,68:68,69:69)-LOOKUP(C11,68:68,69:69)+100</f>
        <v>102</v>
      </c>
      <c r="G11" s="770">
        <v>3.5</v>
      </c>
      <c r="H11" s="424">
        <f>LOOKUP(G11,68:68,69:69)-LOOKUP(C11,68:68,69:69)+100</f>
        <v>102</v>
      </c>
      <c r="I11" s="770">
        <v>3.5</v>
      </c>
      <c r="J11" s="424">
        <f>LOOKUP(I11,68:68,69:69)-LOOKUP(C11,68:68,69:69)+100</f>
        <v>102</v>
      </c>
      <c r="K11" s="767">
        <v>2</v>
      </c>
      <c r="L11" s="2299"/>
      <c r="M11" s="2295"/>
      <c r="N11" s="2295"/>
      <c r="O11" s="2295"/>
      <c r="P11" s="3680"/>
      <c r="Q11" s="3361" t="str">
        <f t="shared" si="6"/>
        <v>容积率</v>
      </c>
      <c r="R11" s="1340" t="s">
        <v>104</v>
      </c>
      <c r="S11" s="1341">
        <f t="shared" si="0"/>
        <v>102</v>
      </c>
      <c r="T11" s="1340" t="s">
        <v>104</v>
      </c>
      <c r="U11" s="1341">
        <f t="shared" si="1"/>
        <v>102</v>
      </c>
      <c r="V11" s="1340" t="s">
        <v>104</v>
      </c>
      <c r="W11" s="1341">
        <f t="shared" si="2"/>
        <v>102</v>
      </c>
      <c r="X11" s="286"/>
      <c r="Y11" s="3445"/>
      <c r="Z11" s="3362" t="str">
        <f t="shared" si="7"/>
        <v>容积率</v>
      </c>
      <c r="AA11" s="1342">
        <f t="shared" si="3"/>
        <v>0.98039215686274506</v>
      </c>
      <c r="AB11" s="1342">
        <f t="shared" si="4"/>
        <v>0.98039215686274506</v>
      </c>
      <c r="AC11" s="1342">
        <f t="shared" si="5"/>
        <v>0.98039215686274506</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3361">
        <f t="shared" si="6"/>
        <v>111</v>
      </c>
      <c r="R12" s="1340" t="s">
        <v>104</v>
      </c>
      <c r="S12" s="1341">
        <f t="shared" si="0"/>
        <v>100</v>
      </c>
      <c r="T12" s="1340" t="s">
        <v>104</v>
      </c>
      <c r="U12" s="1341">
        <f t="shared" si="1"/>
        <v>100</v>
      </c>
      <c r="V12" s="1340" t="s">
        <v>104</v>
      </c>
      <c r="W12" s="1341">
        <f t="shared" si="2"/>
        <v>100</v>
      </c>
      <c r="X12" s="286"/>
      <c r="Y12" s="3445"/>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3361">
        <f t="shared" si="6"/>
        <v>111</v>
      </c>
      <c r="R13" s="1340" t="s">
        <v>104</v>
      </c>
      <c r="S13" s="1341">
        <f t="shared" si="0"/>
        <v>100</v>
      </c>
      <c r="T13" s="1340" t="s">
        <v>104</v>
      </c>
      <c r="U13" s="1341">
        <f t="shared" si="1"/>
        <v>100</v>
      </c>
      <c r="V13" s="1340" t="s">
        <v>104</v>
      </c>
      <c r="W13" s="1341">
        <f t="shared" si="2"/>
        <v>100</v>
      </c>
      <c r="X13" s="286"/>
      <c r="Y13" s="3445"/>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3361">
        <f t="shared" si="6"/>
        <v>111</v>
      </c>
      <c r="R14" s="1340" t="s">
        <v>104</v>
      </c>
      <c r="S14" s="1341">
        <f t="shared" si="0"/>
        <v>100</v>
      </c>
      <c r="T14" s="1340" t="s">
        <v>104</v>
      </c>
      <c r="U14" s="1341">
        <f t="shared" si="1"/>
        <v>100</v>
      </c>
      <c r="V14" s="1340" t="s">
        <v>104</v>
      </c>
      <c r="W14" s="1341">
        <f t="shared" si="2"/>
        <v>100</v>
      </c>
      <c r="X14" s="286"/>
      <c r="Y14" s="3445"/>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3364" t="str">
        <f t="shared" si="6"/>
        <v>居住社区成熟度</v>
      </c>
      <c r="R15" s="1350" t="s">
        <v>104</v>
      </c>
      <c r="S15" s="1351">
        <f t="shared" si="0"/>
        <v>100</v>
      </c>
      <c r="T15" s="1350" t="s">
        <v>104</v>
      </c>
      <c r="U15" s="1351">
        <f t="shared" si="1"/>
        <v>100</v>
      </c>
      <c r="V15" s="1350" t="s">
        <v>104</v>
      </c>
      <c r="W15" s="1351">
        <f t="shared" si="2"/>
        <v>100</v>
      </c>
      <c r="X15" s="3366"/>
      <c r="Y15" s="3683"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3364"/>
      <c r="R16" s="1350"/>
      <c r="S16" s="1351"/>
      <c r="T16" s="1350"/>
      <c r="U16" s="1351"/>
      <c r="V16" s="1350"/>
      <c r="W16" s="1351"/>
      <c r="X16" s="3366"/>
      <c r="Y16" s="3684"/>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82"/>
      <c r="Q17" s="3364" t="str">
        <f>B17</f>
        <v>交通便捷度</v>
      </c>
      <c r="R17" s="1350" t="s">
        <v>104</v>
      </c>
      <c r="S17" s="1351">
        <f>F17</f>
        <v>100</v>
      </c>
      <c r="T17" s="1350" t="s">
        <v>104</v>
      </c>
      <c r="U17" s="1351">
        <f>H17</f>
        <v>103</v>
      </c>
      <c r="V17" s="1350" t="s">
        <v>104</v>
      </c>
      <c r="W17" s="1351">
        <f>J17</f>
        <v>103</v>
      </c>
      <c r="X17" s="3366"/>
      <c r="Y17" s="3684"/>
      <c r="Z17" s="3367" t="str">
        <f>Q17</f>
        <v>交通便捷度</v>
      </c>
      <c r="AA17" s="3365">
        <f t="shared" si="3"/>
        <v>1</v>
      </c>
      <c r="AB17" s="3365">
        <f t="shared" si="4"/>
        <v>0.970873786407767</v>
      </c>
      <c r="AC17" s="3365">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82"/>
      <c r="Q18" s="3364"/>
      <c r="R18" s="1350"/>
      <c r="S18" s="1351"/>
      <c r="T18" s="1350"/>
      <c r="U18" s="1351"/>
      <c r="V18" s="1350"/>
      <c r="W18" s="1351"/>
      <c r="X18" s="3366"/>
      <c r="Y18" s="3684"/>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3364" t="str">
        <f>B19</f>
        <v>公共配套设施</v>
      </c>
      <c r="R19" s="1350" t="s">
        <v>104</v>
      </c>
      <c r="S19" s="1351">
        <f>F19</f>
        <v>100</v>
      </c>
      <c r="T19" s="1350" t="s">
        <v>104</v>
      </c>
      <c r="U19" s="1351">
        <f>H19</f>
        <v>100</v>
      </c>
      <c r="V19" s="1350" t="s">
        <v>104</v>
      </c>
      <c r="W19" s="1351">
        <f>J19</f>
        <v>100</v>
      </c>
      <c r="X19" s="3366"/>
      <c r="Y19" s="3684"/>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3364"/>
      <c r="R20" s="1350"/>
      <c r="S20" s="1351"/>
      <c r="T20" s="1350"/>
      <c r="U20" s="1351"/>
      <c r="V20" s="1350"/>
      <c r="W20" s="1351"/>
      <c r="X20" s="3366"/>
      <c r="Y20" s="3684"/>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3364" t="str">
        <f>B21</f>
        <v>基础设施水平</v>
      </c>
      <c r="R21" s="1350" t="s">
        <v>65</v>
      </c>
      <c r="S21" s="1351">
        <f>F21</f>
        <v>100</v>
      </c>
      <c r="T21" s="1350" t="s">
        <v>65</v>
      </c>
      <c r="U21" s="1351">
        <f>H21</f>
        <v>100</v>
      </c>
      <c r="V21" s="1350" t="s">
        <v>65</v>
      </c>
      <c r="W21" s="1351">
        <f>J21</f>
        <v>100</v>
      </c>
      <c r="X21" s="3366"/>
      <c r="Y21" s="3684"/>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3364"/>
      <c r="R22" s="1350"/>
      <c r="S22" s="1351"/>
      <c r="T22" s="1350"/>
      <c r="U22" s="1351"/>
      <c r="V22" s="1350"/>
      <c r="W22" s="1351"/>
      <c r="X22" s="3366"/>
      <c r="Y22" s="3684"/>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3364" t="str">
        <f>B23</f>
        <v>自然及人文环境</v>
      </c>
      <c r="R23" s="1350" t="s">
        <v>104</v>
      </c>
      <c r="S23" s="1351">
        <f>F23</f>
        <v>100</v>
      </c>
      <c r="T23" s="1350" t="s">
        <v>104</v>
      </c>
      <c r="U23" s="1351">
        <f>H23</f>
        <v>100</v>
      </c>
      <c r="V23" s="1350" t="s">
        <v>104</v>
      </c>
      <c r="W23" s="1351">
        <f>J23</f>
        <v>100</v>
      </c>
      <c r="X23" s="3366"/>
      <c r="Y23" s="3684"/>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3364"/>
      <c r="R24" s="1350"/>
      <c r="S24" s="1351"/>
      <c r="T24" s="1350"/>
      <c r="U24" s="1351"/>
      <c r="V24" s="1350"/>
      <c r="W24" s="1351"/>
      <c r="X24" s="3366"/>
      <c r="Y24" s="3684"/>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84"/>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3364" t="str">
        <f t="shared" si="11"/>
        <v>朝向</v>
      </c>
      <c r="R26" s="1350" t="s">
        <v>104</v>
      </c>
      <c r="S26" s="1351">
        <f t="shared" si="12"/>
        <v>100</v>
      </c>
      <c r="T26" s="1350" t="s">
        <v>104</v>
      </c>
      <c r="U26" s="1351">
        <f t="shared" si="13"/>
        <v>100</v>
      </c>
      <c r="V26" s="1350" t="s">
        <v>104</v>
      </c>
      <c r="W26" s="1351">
        <f t="shared" si="14"/>
        <v>100</v>
      </c>
      <c r="X26" s="3366"/>
      <c r="Y26" s="3684"/>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3361">
        <f t="shared" si="11"/>
        <v>111</v>
      </c>
      <c r="R27" s="1340" t="s">
        <v>104</v>
      </c>
      <c r="S27" s="1341">
        <f t="shared" si="12"/>
        <v>100</v>
      </c>
      <c r="T27" s="1340" t="s">
        <v>104</v>
      </c>
      <c r="U27" s="1341">
        <f t="shared" si="13"/>
        <v>100</v>
      </c>
      <c r="V27" s="1340" t="s">
        <v>104</v>
      </c>
      <c r="W27" s="1341">
        <f t="shared" si="14"/>
        <v>100</v>
      </c>
      <c r="X27" s="286"/>
      <c r="Y27" s="3684"/>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3364">
        <f t="shared" si="11"/>
        <v>111</v>
      </c>
      <c r="R28" s="1350" t="s">
        <v>104</v>
      </c>
      <c r="S28" s="1351">
        <f t="shared" si="12"/>
        <v>100</v>
      </c>
      <c r="T28" s="1350" t="s">
        <v>104</v>
      </c>
      <c r="U28" s="1351">
        <f t="shared" si="13"/>
        <v>100</v>
      </c>
      <c r="V28" s="1350" t="s">
        <v>104</v>
      </c>
      <c r="W28" s="1351">
        <f t="shared" si="14"/>
        <v>100</v>
      </c>
      <c r="X28" s="3366"/>
      <c r="Y28" s="3684"/>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3364">
        <f t="shared" si="11"/>
        <v>111</v>
      </c>
      <c r="R29" s="1350" t="s">
        <v>104</v>
      </c>
      <c r="S29" s="1351">
        <f t="shared" si="12"/>
        <v>100</v>
      </c>
      <c r="T29" s="1350" t="s">
        <v>104</v>
      </c>
      <c r="U29" s="1351">
        <f t="shared" si="13"/>
        <v>100</v>
      </c>
      <c r="V29" s="1350" t="s">
        <v>104</v>
      </c>
      <c r="W29" s="1351">
        <f t="shared" si="14"/>
        <v>100</v>
      </c>
      <c r="X29" s="3366"/>
      <c r="Y29" s="3684"/>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3364">
        <f t="shared" si="11"/>
        <v>111</v>
      </c>
      <c r="R30" s="1350" t="s">
        <v>104</v>
      </c>
      <c r="S30" s="1351">
        <f t="shared" si="12"/>
        <v>100</v>
      </c>
      <c r="T30" s="1350" t="s">
        <v>104</v>
      </c>
      <c r="U30" s="1351">
        <f t="shared" si="13"/>
        <v>100</v>
      </c>
      <c r="V30" s="1350" t="s">
        <v>104</v>
      </c>
      <c r="W30" s="1351">
        <f t="shared" si="14"/>
        <v>100</v>
      </c>
      <c r="X30" s="3366"/>
      <c r="Y30" s="3684"/>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3364">
        <f t="shared" si="11"/>
        <v>111</v>
      </c>
      <c r="R31" s="1350" t="s">
        <v>104</v>
      </c>
      <c r="S31" s="1351">
        <f t="shared" si="12"/>
        <v>100</v>
      </c>
      <c r="T31" s="1350" t="s">
        <v>104</v>
      </c>
      <c r="U31" s="1351">
        <f t="shared" si="13"/>
        <v>100</v>
      </c>
      <c r="V31" s="1350" t="s">
        <v>104</v>
      </c>
      <c r="W31" s="1351">
        <f t="shared" si="14"/>
        <v>100</v>
      </c>
      <c r="X31" s="3366"/>
      <c r="Y31" s="3684"/>
      <c r="Z31" s="3367">
        <f t="shared" si="18"/>
        <v>111</v>
      </c>
      <c r="AA31" s="3365">
        <f t="shared" si="15"/>
        <v>1</v>
      </c>
      <c r="AB31" s="3365">
        <f t="shared" si="16"/>
        <v>1</v>
      </c>
      <c r="AC31" s="3365">
        <f t="shared" si="17"/>
        <v>1</v>
      </c>
    </row>
    <row r="32" spans="1:29" ht="15">
      <c r="A32" s="154" t="s">
        <v>999</v>
      </c>
      <c r="B32" s="62" t="s">
        <v>75</v>
      </c>
      <c r="C32" s="110" t="s">
        <v>3081</v>
      </c>
      <c r="D32" s="808">
        <v>100</v>
      </c>
      <c r="E32" s="111" t="s">
        <v>3101</v>
      </c>
      <c r="F32" s="802">
        <f>SUMIF(100:100,E32,101:101)-SUMIF(100:100,C32,101:101)+100</f>
        <v>84</v>
      </c>
      <c r="G32" s="110" t="s">
        <v>3101</v>
      </c>
      <c r="H32" s="808">
        <f>SUMIF(100:100,G32,101:101)-SUMIF(100:100,C32,101:101)+100</f>
        <v>84</v>
      </c>
      <c r="I32" s="111" t="s">
        <v>3101</v>
      </c>
      <c r="J32" s="776">
        <f>SUMIF(100:100,I32,101:101)-SUMIF(100:100,C32,101:101)+100</f>
        <v>84</v>
      </c>
      <c r="K32" s="767">
        <v>8</v>
      </c>
      <c r="L32" s="2300"/>
      <c r="M32" s="2295"/>
      <c r="N32" s="2295"/>
      <c r="O32" s="2295"/>
      <c r="P32" s="3685" t="s">
        <v>70</v>
      </c>
      <c r="Q32" s="3364" t="str">
        <f t="shared" si="11"/>
        <v>建筑类型</v>
      </c>
      <c r="R32" s="1350" t="s">
        <v>104</v>
      </c>
      <c r="S32" s="1351">
        <f t="shared" si="12"/>
        <v>84</v>
      </c>
      <c r="T32" s="1350" t="s">
        <v>104</v>
      </c>
      <c r="U32" s="1351">
        <f t="shared" si="13"/>
        <v>84</v>
      </c>
      <c r="V32" s="1350" t="s">
        <v>104</v>
      </c>
      <c r="W32" s="1351">
        <f t="shared" si="14"/>
        <v>84</v>
      </c>
      <c r="X32" s="3366"/>
      <c r="Y32" s="3688" t="s">
        <v>70</v>
      </c>
      <c r="Z32" s="3367" t="str">
        <f t="shared" si="18"/>
        <v>建筑类型</v>
      </c>
      <c r="AA32" s="3365">
        <f t="shared" si="15"/>
        <v>1.1904761904761905</v>
      </c>
      <c r="AB32" s="3365">
        <f t="shared" si="16"/>
        <v>1.1904761904761905</v>
      </c>
      <c r="AC32" s="3365">
        <f t="shared" si="17"/>
        <v>1.1904761904761905</v>
      </c>
    </row>
    <row r="33" spans="1:29" s="1037" customFormat="1" ht="15">
      <c r="A33" s="1041"/>
      <c r="B33" s="3363" t="s">
        <v>76</v>
      </c>
      <c r="C33" s="3368">
        <f>'数据-基础表'!B3</f>
        <v>507174.08999999997</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100</v>
      </c>
      <c r="X33" s="1360"/>
      <c r="Y33" s="3688"/>
      <c r="Z33" s="1361" t="str">
        <f t="shared" si="18"/>
        <v>项目建筑规模</v>
      </c>
      <c r="AA33" s="3365">
        <f t="shared" si="15"/>
        <v>1</v>
      </c>
      <c r="AB33" s="3365">
        <f t="shared" si="16"/>
        <v>1</v>
      </c>
      <c r="AC33" s="3365">
        <f t="shared" si="17"/>
        <v>1</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3364" t="str">
        <f t="shared" si="11"/>
        <v>建筑结构</v>
      </c>
      <c r="R34" s="1350" t="s">
        <v>104</v>
      </c>
      <c r="S34" s="1351">
        <f t="shared" si="12"/>
        <v>100</v>
      </c>
      <c r="T34" s="1350" t="s">
        <v>104</v>
      </c>
      <c r="U34" s="1351">
        <f t="shared" si="13"/>
        <v>100</v>
      </c>
      <c r="V34" s="1350" t="s">
        <v>104</v>
      </c>
      <c r="W34" s="1351">
        <f t="shared" si="14"/>
        <v>100</v>
      </c>
      <c r="X34" s="3366"/>
      <c r="Y34" s="3688"/>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3364" t="str">
        <f t="shared" si="11"/>
        <v>建筑品质</v>
      </c>
      <c r="R35" s="1350" t="s">
        <v>104</v>
      </c>
      <c r="S35" s="1351">
        <f t="shared" si="12"/>
        <v>100</v>
      </c>
      <c r="T35" s="1350" t="s">
        <v>104</v>
      </c>
      <c r="U35" s="1351">
        <f t="shared" si="13"/>
        <v>100</v>
      </c>
      <c r="V35" s="1350" t="s">
        <v>104</v>
      </c>
      <c r="W35" s="1351">
        <f t="shared" si="14"/>
        <v>100</v>
      </c>
      <c r="X35" s="3366"/>
      <c r="Y35" s="3688"/>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3364" t="str">
        <f t="shared" si="11"/>
        <v>公共部分装修</v>
      </c>
      <c r="R36" s="1350" t="s">
        <v>104</v>
      </c>
      <c r="S36" s="1351">
        <f t="shared" si="12"/>
        <v>100</v>
      </c>
      <c r="T36" s="1350" t="s">
        <v>104</v>
      </c>
      <c r="U36" s="1351">
        <f t="shared" si="13"/>
        <v>100</v>
      </c>
      <c r="V36" s="1350" t="s">
        <v>104</v>
      </c>
      <c r="W36" s="1351">
        <f t="shared" si="14"/>
        <v>100</v>
      </c>
      <c r="X36" s="3366"/>
      <c r="Y36" s="3688"/>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3361" t="str">
        <f t="shared" si="11"/>
        <v>成新度</v>
      </c>
      <c r="R37" s="1340" t="s">
        <v>104</v>
      </c>
      <c r="S37" s="1341">
        <f t="shared" si="12"/>
        <v>100</v>
      </c>
      <c r="T37" s="1340" t="s">
        <v>104</v>
      </c>
      <c r="U37" s="1341">
        <f t="shared" si="13"/>
        <v>100</v>
      </c>
      <c r="V37" s="1340" t="s">
        <v>104</v>
      </c>
      <c r="W37" s="1341">
        <f t="shared" si="14"/>
        <v>100</v>
      </c>
      <c r="X37" s="286"/>
      <c r="Y37" s="3688"/>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3364" t="str">
        <f t="shared" si="11"/>
        <v>物业管理</v>
      </c>
      <c r="R38" s="1350" t="s">
        <v>104</v>
      </c>
      <c r="S38" s="1351">
        <f t="shared" si="12"/>
        <v>100</v>
      </c>
      <c r="T38" s="1350" t="s">
        <v>104</v>
      </c>
      <c r="U38" s="1351">
        <f t="shared" si="13"/>
        <v>100</v>
      </c>
      <c r="V38" s="1350" t="s">
        <v>104</v>
      </c>
      <c r="W38" s="1351">
        <f t="shared" si="14"/>
        <v>100</v>
      </c>
      <c r="X38" s="3366"/>
      <c r="Y38" s="3688"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3364" t="str">
        <f t="shared" si="11"/>
        <v>市政基础设施</v>
      </c>
      <c r="R39" s="1350" t="s">
        <v>104</v>
      </c>
      <c r="S39" s="1351">
        <f t="shared" si="12"/>
        <v>100</v>
      </c>
      <c r="T39" s="1350" t="s">
        <v>104</v>
      </c>
      <c r="U39" s="1351">
        <f t="shared" si="13"/>
        <v>100</v>
      </c>
      <c r="V39" s="1350" t="s">
        <v>104</v>
      </c>
      <c r="W39" s="1351">
        <f t="shared" si="14"/>
        <v>100</v>
      </c>
      <c r="X39" s="3366"/>
      <c r="Y39" s="3688"/>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3364" t="str">
        <f t="shared" si="11"/>
        <v>房型</v>
      </c>
      <c r="R40" s="1350" t="s">
        <v>104</v>
      </c>
      <c r="S40" s="1351">
        <f t="shared" si="12"/>
        <v>100</v>
      </c>
      <c r="T40" s="1350" t="s">
        <v>104</v>
      </c>
      <c r="U40" s="1351">
        <f t="shared" si="13"/>
        <v>100</v>
      </c>
      <c r="V40" s="1350" t="s">
        <v>104</v>
      </c>
      <c r="W40" s="1351">
        <f t="shared" si="14"/>
        <v>100</v>
      </c>
      <c r="X40" s="3366"/>
      <c r="Y40" s="3688"/>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3365">
        <f t="shared" si="15"/>
        <v>1</v>
      </c>
      <c r="AB41" s="3365">
        <f t="shared" si="16"/>
        <v>1</v>
      </c>
      <c r="AC41" s="3365">
        <f t="shared" si="17"/>
        <v>1</v>
      </c>
    </row>
    <row r="42" spans="1:29" ht="15">
      <c r="A42" s="160"/>
      <c r="B42" s="3363"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86"/>
      <c r="Q42" s="3364" t="str">
        <f t="shared" si="11"/>
        <v>内部装修</v>
      </c>
      <c r="R42" s="1350" t="s">
        <v>104</v>
      </c>
      <c r="S42" s="1351">
        <f t="shared" si="12"/>
        <v>91</v>
      </c>
      <c r="T42" s="1350" t="s">
        <v>104</v>
      </c>
      <c r="U42" s="1351">
        <f t="shared" si="13"/>
        <v>100</v>
      </c>
      <c r="V42" s="1350" t="s">
        <v>104</v>
      </c>
      <c r="W42" s="1351">
        <f t="shared" si="14"/>
        <v>91</v>
      </c>
      <c r="X42" s="3366"/>
      <c r="Y42" s="3688"/>
      <c r="Z42" s="3367" t="str">
        <f t="shared" si="18"/>
        <v>内部装修</v>
      </c>
      <c r="AA42" s="3365">
        <f t="shared" si="15"/>
        <v>1.098901098901099</v>
      </c>
      <c r="AB42" s="3365">
        <f t="shared" si="16"/>
        <v>1</v>
      </c>
      <c r="AC42" s="3365">
        <f t="shared" si="17"/>
        <v>1.098901098901099</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3364" t="str">
        <f t="shared" si="11"/>
        <v>内部装修维护情况</v>
      </c>
      <c r="R43" s="1350" t="s">
        <v>104</v>
      </c>
      <c r="S43" s="1351">
        <f t="shared" si="12"/>
        <v>100</v>
      </c>
      <c r="T43" s="1350" t="s">
        <v>104</v>
      </c>
      <c r="U43" s="1351">
        <f t="shared" si="13"/>
        <v>100</v>
      </c>
      <c r="V43" s="1350" t="s">
        <v>104</v>
      </c>
      <c r="W43" s="1351">
        <f t="shared" si="14"/>
        <v>100</v>
      </c>
      <c r="X43" s="3366"/>
      <c r="Y43" s="3688"/>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86"/>
      <c r="Q44" s="3361" t="str">
        <f t="shared" si="11"/>
        <v>赠送面积</v>
      </c>
      <c r="R44" s="1340" t="s">
        <v>104</v>
      </c>
      <c r="S44" s="1341">
        <f t="shared" si="12"/>
        <v>105</v>
      </c>
      <c r="T44" s="1340" t="s">
        <v>104</v>
      </c>
      <c r="U44" s="1341">
        <f t="shared" si="13"/>
        <v>100</v>
      </c>
      <c r="V44" s="1340" t="s">
        <v>104</v>
      </c>
      <c r="W44" s="1341">
        <f t="shared" si="14"/>
        <v>100</v>
      </c>
      <c r="X44" s="286"/>
      <c r="Y44" s="3688"/>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3364">
        <f t="shared" si="11"/>
        <v>111</v>
      </c>
      <c r="R45" s="1350" t="s">
        <v>104</v>
      </c>
      <c r="S45" s="1351">
        <f t="shared" si="12"/>
        <v>100</v>
      </c>
      <c r="T45" s="1350" t="s">
        <v>104</v>
      </c>
      <c r="U45" s="1351">
        <f t="shared" si="13"/>
        <v>100</v>
      </c>
      <c r="V45" s="1350" t="s">
        <v>104</v>
      </c>
      <c r="W45" s="1351">
        <f t="shared" si="14"/>
        <v>100</v>
      </c>
      <c r="X45" s="3366"/>
      <c r="Y45" s="3688"/>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3364">
        <f t="shared" si="11"/>
        <v>111</v>
      </c>
      <c r="R46" s="1350" t="s">
        <v>103</v>
      </c>
      <c r="S46" s="1351">
        <f t="shared" si="12"/>
        <v>100</v>
      </c>
      <c r="T46" s="1350" t="s">
        <v>103</v>
      </c>
      <c r="U46" s="1351">
        <f t="shared" si="13"/>
        <v>100</v>
      </c>
      <c r="V46" s="1350" t="s">
        <v>103</v>
      </c>
      <c r="W46" s="1351">
        <f t="shared" si="14"/>
        <v>100</v>
      </c>
      <c r="X46" s="3366"/>
      <c r="Y46" s="3689"/>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90" t="str">
        <f>A47</f>
        <v>成交单价（元/平方米）</v>
      </c>
      <c r="Q47" s="3690"/>
      <c r="R47" s="3691">
        <f>E47</f>
        <v>12826</v>
      </c>
      <c r="S47" s="3691"/>
      <c r="T47" s="3691">
        <f>G47</f>
        <v>13433</v>
      </c>
      <c r="U47" s="3691"/>
      <c r="V47" s="3691">
        <f>I47</f>
        <v>10945</v>
      </c>
      <c r="W47" s="3691"/>
      <c r="X47" s="1363"/>
      <c r="Y47" s="1364"/>
      <c r="Z47" s="1363"/>
      <c r="AA47" s="1363"/>
      <c r="AB47" s="1363"/>
      <c r="AC47" s="1363"/>
    </row>
    <row r="48" spans="1:29" ht="15.75" thickBot="1">
      <c r="A48" s="164" t="s">
        <v>100</v>
      </c>
      <c r="B48" s="165"/>
      <c r="C48" s="2837">
        <f>R49</f>
        <v>14839</v>
      </c>
      <c r="D48" s="2838"/>
      <c r="E48" s="2839">
        <f>R48</f>
        <v>15667</v>
      </c>
      <c r="F48" s="2839"/>
      <c r="G48" s="2837">
        <f>T48</f>
        <v>15221</v>
      </c>
      <c r="H48" s="2838"/>
      <c r="I48" s="2839">
        <f>V48</f>
        <v>13629</v>
      </c>
      <c r="J48" s="2838"/>
      <c r="K48" s="1365"/>
      <c r="L48" s="2302"/>
      <c r="M48" s="2303"/>
      <c r="N48" s="2303"/>
      <c r="O48" s="2303"/>
      <c r="P48" s="3690" t="str">
        <f>A48</f>
        <v>比较价值（元/平方米）</v>
      </c>
      <c r="Q48" s="3690"/>
      <c r="R48" s="3691">
        <f>IF(F1="售价",ROUND(PRODUCT(R47,AA7:AA46),0),ROUND(PRODUCT(R47,AA7:AA46),1))</f>
        <v>15667</v>
      </c>
      <c r="S48" s="3691"/>
      <c r="T48" s="3691">
        <f>IF(F1="售价",ROUND(PRODUCT(T47,AB7:AB46),0),ROUND(PRODUCT(T47,AB7:AB46),1))</f>
        <v>15221</v>
      </c>
      <c r="U48" s="3691"/>
      <c r="V48" s="3691">
        <f>IF(F1="售价",ROUND(PRODUCT(V47,AC7:AC46),0),ROUND(PRODUCT(V47,AC7:AC46),1))</f>
        <v>13629</v>
      </c>
      <c r="W48" s="3691"/>
      <c r="X48" s="1363"/>
      <c r="Y48" s="1363"/>
      <c r="Z48" s="1363"/>
      <c r="AA48" s="1363"/>
      <c r="AB48" s="1363"/>
      <c r="AC48" s="1363"/>
    </row>
    <row r="49" spans="1:29" ht="15.75" thickBot="1">
      <c r="A49" s="114" t="s">
        <v>3018</v>
      </c>
      <c r="B49" s="115"/>
      <c r="C49" s="2840">
        <f>R49</f>
        <v>14839</v>
      </c>
      <c r="D49" s="2841"/>
      <c r="E49" s="2841"/>
      <c r="F49" s="2841"/>
      <c r="G49" s="2841"/>
      <c r="H49" s="2841"/>
      <c r="I49" s="2841"/>
      <c r="J49" s="2841"/>
      <c r="K49" s="1366"/>
      <c r="L49" s="2302"/>
      <c r="M49" s="2303"/>
      <c r="N49" s="2303"/>
      <c r="O49" s="2303"/>
      <c r="P49" s="3692" t="str">
        <f>A49</f>
        <v>估价对象XX用房的比较价值（楼面单价，元/平方米）</v>
      </c>
      <c r="Q49" s="3693"/>
      <c r="R49" s="3694">
        <f>IF(F1="售价",ROUND(AVERAGE(R48:V48),0),ROUND(AVERAGE(R48:V48),1))</f>
        <v>14839</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f>IF(E47&lt;E48,E48/E47-1,E47/E48-1)</f>
        <v>0.22150319663184148</v>
      </c>
      <c r="F52" s="841" t="str">
        <f>IF(OR(E52&gt;=0.3,E52&lt;=-0.3),"超过30%","")</f>
        <v/>
      </c>
      <c r="G52" s="840">
        <f>IF(G47&lt;G48,G48/G47-1,G47/G48-1)</f>
        <v>0.13310503982729105</v>
      </c>
      <c r="H52" s="841" t="str">
        <f>IF(OR(G52&gt;=0.3,G52&lt;=-0.3),"超过30%","")</f>
        <v/>
      </c>
      <c r="I52" s="840">
        <f>IF(I47&lt;I48,I48/I47-1,I47/I48-1)</f>
        <v>0.24522613065326637</v>
      </c>
      <c r="J52" s="841" t="str">
        <f>IF(OR(I52&gt;=0.3,I52&lt;=-0.3),"超过30%","")</f>
        <v/>
      </c>
      <c r="K52" s="2304"/>
      <c r="L52" s="2305"/>
      <c r="M52" s="2303"/>
      <c r="N52" s="2303"/>
      <c r="O52" s="2303"/>
    </row>
    <row r="53" spans="1:29" ht="13.5" customHeight="1">
      <c r="A53" s="2303"/>
      <c r="B53" s="2303"/>
      <c r="C53" s="838" t="s">
        <v>411</v>
      </c>
      <c r="D53" s="842"/>
      <c r="E53" s="840">
        <f>IF(E48&lt;G48,G48/E48-1,E48/G48-1)</f>
        <v>2.9301622758031609E-2</v>
      </c>
      <c r="F53" s="841" t="str">
        <f>IF(OR(E53&gt;=0.2,E53&lt;=-0.2),"超过20%","")</f>
        <v/>
      </c>
      <c r="G53" s="840">
        <f>IF(G48&lt;I48,I48/G48-1,G48/I48-1)</f>
        <v>0.11680974392838794</v>
      </c>
      <c r="H53" s="841" t="str">
        <f>IF(OR(G53&gt;=0.2,G53&lt;=-0.2),"超过20%","")</f>
        <v/>
      </c>
      <c r="I53" s="840">
        <f>IF(I48&lt;E48,E48/I48-1,I48/E48-1)</f>
        <v>0.14953408173747151</v>
      </c>
      <c r="J53" s="841" t="str">
        <f>IF(OR(I53&gt;=0.2,I53&lt;=-0.2),"超过20%","")</f>
        <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2" zoomScale="90" zoomScaleNormal="90" workbookViewId="0">
      <selection activeCell="B7" sqref="B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t="e">
        <f ca="1">IF(C2="——",C49,ROUND(B2*10000/D3,0))</f>
        <v>#REF!</v>
      </c>
      <c r="C3" s="141" t="s">
        <v>985</v>
      </c>
      <c r="D3" s="740">
        <f>IF(D1="",'数据-汇总表'!E3,SUMIF('数据-汇总表'!$C19:$C33,D1,'数据-汇总表'!$E19:$E33))</f>
        <v>62458.42</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3366"/>
      <c r="Y4" s="3662" t="s">
        <v>986</v>
      </c>
      <c r="Z4" s="3663"/>
      <c r="AA4" s="3649" t="s">
        <v>988</v>
      </c>
      <c r="AB4" s="3649" t="s">
        <v>989</v>
      </c>
      <c r="AC4" s="3649" t="s">
        <v>990</v>
      </c>
    </row>
    <row r="5" spans="1:29">
      <c r="A5" s="145"/>
      <c r="B5" s="146"/>
      <c r="C5" s="3666" t="s">
        <v>992</v>
      </c>
      <c r="D5" s="3667"/>
      <c r="E5" s="3668" t="s">
        <v>3085</v>
      </c>
      <c r="F5" s="3669"/>
      <c r="G5" s="3666" t="s">
        <v>3106</v>
      </c>
      <c r="H5" s="3667"/>
      <c r="I5" s="3666" t="s">
        <v>3107</v>
      </c>
      <c r="J5" s="3667"/>
      <c r="K5" s="151"/>
      <c r="L5" s="2294"/>
      <c r="M5" s="2295"/>
      <c r="N5" s="2295"/>
      <c r="O5" s="2295"/>
      <c r="P5" s="3658"/>
      <c r="Q5" s="3659"/>
      <c r="R5" s="3664"/>
      <c r="S5" s="3665"/>
      <c r="T5" s="3664"/>
      <c r="U5" s="3665"/>
      <c r="V5" s="3676"/>
      <c r="W5" s="3676"/>
      <c r="X5" s="3366"/>
      <c r="Y5" s="3664"/>
      <c r="Z5" s="3665"/>
      <c r="AA5" s="3650"/>
      <c r="AB5" s="3650"/>
      <c r="AC5" s="3650"/>
    </row>
    <row r="6" spans="1:29" ht="14.25" thickBot="1">
      <c r="A6" s="147"/>
      <c r="B6" s="148"/>
      <c r="C6" s="3670" t="s">
        <v>993</v>
      </c>
      <c r="D6" s="3671"/>
      <c r="E6" s="3672" t="s">
        <v>993</v>
      </c>
      <c r="F6" s="3673"/>
      <c r="G6" s="3670" t="s">
        <v>993</v>
      </c>
      <c r="H6" s="3671"/>
      <c r="I6" s="3670" t="s">
        <v>993</v>
      </c>
      <c r="J6" s="3671"/>
      <c r="K6" s="151" t="s">
        <v>117</v>
      </c>
      <c r="L6" s="2294"/>
      <c r="M6" s="2295"/>
      <c r="N6" s="2295"/>
      <c r="O6" s="2295"/>
      <c r="P6" s="3660"/>
      <c r="Q6" s="3661"/>
      <c r="R6" s="3664"/>
      <c r="S6" s="3665"/>
      <c r="T6" s="3674"/>
      <c r="U6" s="3675"/>
      <c r="V6" s="3676"/>
      <c r="W6" s="3676"/>
      <c r="X6" s="3366"/>
      <c r="Y6" s="3674"/>
      <c r="Z6" s="3675"/>
      <c r="AA6" s="3651"/>
      <c r="AB6" s="3651"/>
      <c r="AC6" s="3651"/>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77" t="s">
        <v>995</v>
      </c>
      <c r="Q7" s="3678"/>
      <c r="R7" s="1340" t="s">
        <v>115</v>
      </c>
      <c r="S7" s="1341">
        <f t="shared" ref="S7:S15" si="0">F7</f>
        <v>100</v>
      </c>
      <c r="T7" s="1340" t="s">
        <v>115</v>
      </c>
      <c r="U7" s="1341">
        <f t="shared" ref="U7:U15" si="1">H7</f>
        <v>100</v>
      </c>
      <c r="V7" s="1340" t="s">
        <v>115</v>
      </c>
      <c r="W7" s="1341">
        <f t="shared" ref="W7:W15" si="2">J7</f>
        <v>100</v>
      </c>
      <c r="X7" s="286"/>
      <c r="Y7" s="3677" t="s">
        <v>995</v>
      </c>
      <c r="Z7" s="3679"/>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3361" t="str">
        <f t="shared" ref="Q9:Q15" si="6">B9</f>
        <v>用途</v>
      </c>
      <c r="R9" s="1340" t="s">
        <v>65</v>
      </c>
      <c r="S9" s="1341">
        <f t="shared" si="0"/>
        <v>100</v>
      </c>
      <c r="T9" s="1340" t="s">
        <v>65</v>
      </c>
      <c r="U9" s="1341">
        <f t="shared" si="1"/>
        <v>100</v>
      </c>
      <c r="V9" s="1340" t="s">
        <v>65</v>
      </c>
      <c r="W9" s="1341">
        <f t="shared" si="2"/>
        <v>100</v>
      </c>
      <c r="X9" s="286"/>
      <c r="Y9" s="3445"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3361" t="str">
        <f t="shared" si="6"/>
        <v>土地使用年限（年）</v>
      </c>
      <c r="R10" s="1340" t="s">
        <v>65</v>
      </c>
      <c r="S10" s="1341">
        <f t="shared" si="0"/>
        <v>100</v>
      </c>
      <c r="T10" s="1340" t="s">
        <v>65</v>
      </c>
      <c r="U10" s="1341">
        <f t="shared" si="1"/>
        <v>100</v>
      </c>
      <c r="V10" s="1340" t="s">
        <v>65</v>
      </c>
      <c r="W10" s="1341">
        <f t="shared" si="2"/>
        <v>100</v>
      </c>
      <c r="X10" s="286"/>
      <c r="Y10" s="3445"/>
      <c r="Z10" s="3362" t="str">
        <f t="shared" si="7"/>
        <v>土地使用年限（年）</v>
      </c>
      <c r="AA10" s="1342">
        <f t="shared" si="3"/>
        <v>1</v>
      </c>
      <c r="AB10" s="1342">
        <f t="shared" si="4"/>
        <v>1</v>
      </c>
      <c r="AC10" s="1342">
        <f t="shared" si="5"/>
        <v>1</v>
      </c>
    </row>
    <row r="11" spans="1:29" ht="15.75" thickBot="1">
      <c r="A11" s="150"/>
      <c r="B11" s="3363" t="s">
        <v>93</v>
      </c>
      <c r="C11" s="770">
        <f>'数据-汇总表'!I7</f>
        <v>0</v>
      </c>
      <c r="D11" s="424">
        <v>100</v>
      </c>
      <c r="E11" s="771">
        <v>3.5</v>
      </c>
      <c r="F11" s="766">
        <f>LOOKUP(E11,68:68,69:69)-LOOKUP(C11,68:68,69:69)+100</f>
        <v>94</v>
      </c>
      <c r="G11" s="770">
        <v>3.5</v>
      </c>
      <c r="H11" s="424">
        <f>LOOKUP(G11,68:68,69:69)-LOOKUP(C11,68:68,69:69)+100</f>
        <v>94</v>
      </c>
      <c r="I11" s="770">
        <v>3.5</v>
      </c>
      <c r="J11" s="424">
        <f>LOOKUP(I11,68:68,69:69)-LOOKUP(C11,68:68,69:69)+100</f>
        <v>94</v>
      </c>
      <c r="K11" s="767">
        <v>2</v>
      </c>
      <c r="L11" s="2299"/>
      <c r="M11" s="2295"/>
      <c r="N11" s="2295"/>
      <c r="O11" s="2295"/>
      <c r="P11" s="3680"/>
      <c r="Q11" s="3361" t="str">
        <f t="shared" si="6"/>
        <v>容积率</v>
      </c>
      <c r="R11" s="1340" t="s">
        <v>104</v>
      </c>
      <c r="S11" s="1341">
        <f t="shared" si="0"/>
        <v>94</v>
      </c>
      <c r="T11" s="1340" t="s">
        <v>104</v>
      </c>
      <c r="U11" s="1341">
        <f t="shared" si="1"/>
        <v>94</v>
      </c>
      <c r="V11" s="1340" t="s">
        <v>104</v>
      </c>
      <c r="W11" s="1341">
        <f t="shared" si="2"/>
        <v>94</v>
      </c>
      <c r="X11" s="286"/>
      <c r="Y11" s="3445"/>
      <c r="Z11" s="3362" t="str">
        <f t="shared" si="7"/>
        <v>容积率</v>
      </c>
      <c r="AA11" s="1342">
        <f t="shared" si="3"/>
        <v>1.0638297872340425</v>
      </c>
      <c r="AB11" s="1342">
        <f t="shared" si="4"/>
        <v>1.0638297872340425</v>
      </c>
      <c r="AC11" s="1342">
        <f t="shared" si="5"/>
        <v>1.0638297872340425</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3361">
        <f t="shared" si="6"/>
        <v>111</v>
      </c>
      <c r="R12" s="1340" t="s">
        <v>104</v>
      </c>
      <c r="S12" s="1341">
        <f t="shared" si="0"/>
        <v>100</v>
      </c>
      <c r="T12" s="1340" t="s">
        <v>104</v>
      </c>
      <c r="U12" s="1341">
        <f t="shared" si="1"/>
        <v>100</v>
      </c>
      <c r="V12" s="1340" t="s">
        <v>104</v>
      </c>
      <c r="W12" s="1341">
        <f t="shared" si="2"/>
        <v>100</v>
      </c>
      <c r="X12" s="286"/>
      <c r="Y12" s="3445"/>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3361">
        <f t="shared" si="6"/>
        <v>111</v>
      </c>
      <c r="R13" s="1340" t="s">
        <v>104</v>
      </c>
      <c r="S13" s="1341">
        <f t="shared" si="0"/>
        <v>100</v>
      </c>
      <c r="T13" s="1340" t="s">
        <v>104</v>
      </c>
      <c r="U13" s="1341">
        <f t="shared" si="1"/>
        <v>100</v>
      </c>
      <c r="V13" s="1340" t="s">
        <v>104</v>
      </c>
      <c r="W13" s="1341">
        <f t="shared" si="2"/>
        <v>100</v>
      </c>
      <c r="X13" s="286"/>
      <c r="Y13" s="3445"/>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3361">
        <f t="shared" si="6"/>
        <v>111</v>
      </c>
      <c r="R14" s="1340" t="s">
        <v>104</v>
      </c>
      <c r="S14" s="1341">
        <f t="shared" si="0"/>
        <v>100</v>
      </c>
      <c r="T14" s="1340" t="s">
        <v>104</v>
      </c>
      <c r="U14" s="1341">
        <f t="shared" si="1"/>
        <v>100</v>
      </c>
      <c r="V14" s="1340" t="s">
        <v>104</v>
      </c>
      <c r="W14" s="1341">
        <f t="shared" si="2"/>
        <v>100</v>
      </c>
      <c r="X14" s="286"/>
      <c r="Y14" s="3445"/>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3364" t="str">
        <f t="shared" si="6"/>
        <v>居住社区成熟度</v>
      </c>
      <c r="R15" s="1350" t="s">
        <v>104</v>
      </c>
      <c r="S15" s="1351">
        <f t="shared" si="0"/>
        <v>100</v>
      </c>
      <c r="T15" s="1350" t="s">
        <v>104</v>
      </c>
      <c r="U15" s="1351">
        <f t="shared" si="1"/>
        <v>100</v>
      </c>
      <c r="V15" s="1350" t="s">
        <v>104</v>
      </c>
      <c r="W15" s="1351">
        <f t="shared" si="2"/>
        <v>100</v>
      </c>
      <c r="X15" s="3366"/>
      <c r="Y15" s="3683"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3364"/>
      <c r="R16" s="1350"/>
      <c r="S16" s="1351"/>
      <c r="T16" s="1350"/>
      <c r="U16" s="1351"/>
      <c r="V16" s="1350"/>
      <c r="W16" s="1351"/>
      <c r="X16" s="3366"/>
      <c r="Y16" s="3684"/>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97</v>
      </c>
      <c r="G17" s="100"/>
      <c r="H17" s="796">
        <f>SUMIF(78:78,G18,79:79)-SUMIF(78:78,C18,79:79)+100</f>
        <v>100</v>
      </c>
      <c r="I17" s="100"/>
      <c r="J17" s="796">
        <f>SUMIF(78:78,I18,79:79)-SUMIF(78:78,C18,79:79)+100</f>
        <v>97</v>
      </c>
      <c r="K17" s="786">
        <f>'土地比较法-住宅'!K21</f>
        <v>3</v>
      </c>
      <c r="L17" s="2300"/>
      <c r="M17" s="2295"/>
      <c r="N17" s="2295"/>
      <c r="O17" s="2295"/>
      <c r="P17" s="3682"/>
      <c r="Q17" s="3364" t="str">
        <f>B17</f>
        <v>交通便捷度</v>
      </c>
      <c r="R17" s="1350" t="s">
        <v>104</v>
      </c>
      <c r="S17" s="1351">
        <f>F17</f>
        <v>97</v>
      </c>
      <c r="T17" s="1350" t="s">
        <v>104</v>
      </c>
      <c r="U17" s="1351">
        <f>H17</f>
        <v>100</v>
      </c>
      <c r="V17" s="1350" t="s">
        <v>104</v>
      </c>
      <c r="W17" s="1351">
        <f>J17</f>
        <v>97</v>
      </c>
      <c r="X17" s="3366"/>
      <c r="Y17" s="3684"/>
      <c r="Z17" s="3367" t="str">
        <f>Q17</f>
        <v>交通便捷度</v>
      </c>
      <c r="AA17" s="3365">
        <f t="shared" si="3"/>
        <v>1.0309278350515463</v>
      </c>
      <c r="AB17" s="3365">
        <f t="shared" si="4"/>
        <v>1</v>
      </c>
      <c r="AC17" s="3365">
        <f t="shared" si="5"/>
        <v>1.0309278350515463</v>
      </c>
    </row>
    <row r="18" spans="1:29" ht="14.25">
      <c r="A18" s="150"/>
      <c r="B18" s="1038"/>
      <c r="C18" s="102" t="s">
        <v>3109</v>
      </c>
      <c r="D18" s="791"/>
      <c r="E18" s="104" t="s">
        <v>3113</v>
      </c>
      <c r="F18" s="791"/>
      <c r="G18" s="103" t="s">
        <v>3109</v>
      </c>
      <c r="H18" s="789"/>
      <c r="I18" s="103" t="s">
        <v>3113</v>
      </c>
      <c r="J18" s="789"/>
      <c r="K18" s="158"/>
      <c r="L18" s="2300"/>
      <c r="M18" s="2295"/>
      <c r="N18" s="2295"/>
      <c r="O18" s="2295"/>
      <c r="P18" s="3682"/>
      <c r="Q18" s="3364"/>
      <c r="R18" s="1350"/>
      <c r="S18" s="1351"/>
      <c r="T18" s="1350"/>
      <c r="U18" s="1351"/>
      <c r="V18" s="1350"/>
      <c r="W18" s="1351"/>
      <c r="X18" s="3366"/>
      <c r="Y18" s="3684"/>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3364" t="str">
        <f>B19</f>
        <v>公共配套设施</v>
      </c>
      <c r="R19" s="1350" t="s">
        <v>104</v>
      </c>
      <c r="S19" s="1351">
        <f>F19</f>
        <v>100</v>
      </c>
      <c r="T19" s="1350" t="s">
        <v>104</v>
      </c>
      <c r="U19" s="1351">
        <f>H19</f>
        <v>100</v>
      </c>
      <c r="V19" s="1350" t="s">
        <v>104</v>
      </c>
      <c r="W19" s="1351">
        <f>J19</f>
        <v>100</v>
      </c>
      <c r="X19" s="3366"/>
      <c r="Y19" s="3684"/>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3364"/>
      <c r="R20" s="1350"/>
      <c r="S20" s="1351"/>
      <c r="T20" s="1350"/>
      <c r="U20" s="1351"/>
      <c r="V20" s="1350"/>
      <c r="W20" s="1351"/>
      <c r="X20" s="3366"/>
      <c r="Y20" s="3684"/>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3364" t="str">
        <f>B21</f>
        <v>基础设施水平</v>
      </c>
      <c r="R21" s="1350" t="s">
        <v>65</v>
      </c>
      <c r="S21" s="1351">
        <f>F21</f>
        <v>100</v>
      </c>
      <c r="T21" s="1350" t="s">
        <v>65</v>
      </c>
      <c r="U21" s="1351">
        <f>H21</f>
        <v>100</v>
      </c>
      <c r="V21" s="1350" t="s">
        <v>65</v>
      </c>
      <c r="W21" s="1351">
        <f>J21</f>
        <v>100</v>
      </c>
      <c r="X21" s="3366"/>
      <c r="Y21" s="3684"/>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3364"/>
      <c r="R22" s="1350"/>
      <c r="S22" s="1351"/>
      <c r="T22" s="1350"/>
      <c r="U22" s="1351"/>
      <c r="V22" s="1350"/>
      <c r="W22" s="1351"/>
      <c r="X22" s="3366"/>
      <c r="Y22" s="3684"/>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3364" t="str">
        <f>B23</f>
        <v>自然及人文环境</v>
      </c>
      <c r="R23" s="1350" t="s">
        <v>104</v>
      </c>
      <c r="S23" s="1351">
        <f>F23</f>
        <v>100</v>
      </c>
      <c r="T23" s="1350" t="s">
        <v>104</v>
      </c>
      <c r="U23" s="1351">
        <f>H23</f>
        <v>100</v>
      </c>
      <c r="V23" s="1350" t="s">
        <v>104</v>
      </c>
      <c r="W23" s="1351">
        <f>J23</f>
        <v>100</v>
      </c>
      <c r="X23" s="3366"/>
      <c r="Y23" s="3684"/>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3364"/>
      <c r="R24" s="1350"/>
      <c r="S24" s="1351"/>
      <c r="T24" s="1350"/>
      <c r="U24" s="1351"/>
      <c r="V24" s="1350"/>
      <c r="W24" s="1351"/>
      <c r="X24" s="3366"/>
      <c r="Y24" s="3684"/>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84"/>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3364" t="str">
        <f t="shared" si="11"/>
        <v>朝向</v>
      </c>
      <c r="R26" s="1350" t="s">
        <v>104</v>
      </c>
      <c r="S26" s="1351">
        <f t="shared" si="12"/>
        <v>100</v>
      </c>
      <c r="T26" s="1350" t="s">
        <v>104</v>
      </c>
      <c r="U26" s="1351">
        <f t="shared" si="13"/>
        <v>100</v>
      </c>
      <c r="V26" s="1350" t="s">
        <v>104</v>
      </c>
      <c r="W26" s="1351">
        <f t="shared" si="14"/>
        <v>100</v>
      </c>
      <c r="X26" s="3366"/>
      <c r="Y26" s="3684"/>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3361">
        <f t="shared" si="11"/>
        <v>111</v>
      </c>
      <c r="R27" s="1340" t="s">
        <v>104</v>
      </c>
      <c r="S27" s="1341">
        <f t="shared" si="12"/>
        <v>100</v>
      </c>
      <c r="T27" s="1340" t="s">
        <v>104</v>
      </c>
      <c r="U27" s="1341">
        <f t="shared" si="13"/>
        <v>100</v>
      </c>
      <c r="V27" s="1340" t="s">
        <v>104</v>
      </c>
      <c r="W27" s="1341">
        <f t="shared" si="14"/>
        <v>100</v>
      </c>
      <c r="X27" s="286"/>
      <c r="Y27" s="3684"/>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3364">
        <f t="shared" si="11"/>
        <v>111</v>
      </c>
      <c r="R28" s="1350" t="s">
        <v>104</v>
      </c>
      <c r="S28" s="1351">
        <f t="shared" si="12"/>
        <v>100</v>
      </c>
      <c r="T28" s="1350" t="s">
        <v>104</v>
      </c>
      <c r="U28" s="1351">
        <f t="shared" si="13"/>
        <v>100</v>
      </c>
      <c r="V28" s="1350" t="s">
        <v>104</v>
      </c>
      <c r="W28" s="1351">
        <f t="shared" si="14"/>
        <v>100</v>
      </c>
      <c r="X28" s="3366"/>
      <c r="Y28" s="3684"/>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3364">
        <f t="shared" si="11"/>
        <v>111</v>
      </c>
      <c r="R29" s="1350" t="s">
        <v>104</v>
      </c>
      <c r="S29" s="1351">
        <f t="shared" si="12"/>
        <v>100</v>
      </c>
      <c r="T29" s="1350" t="s">
        <v>104</v>
      </c>
      <c r="U29" s="1351">
        <f t="shared" si="13"/>
        <v>100</v>
      </c>
      <c r="V29" s="1350" t="s">
        <v>104</v>
      </c>
      <c r="W29" s="1351">
        <f t="shared" si="14"/>
        <v>100</v>
      </c>
      <c r="X29" s="3366"/>
      <c r="Y29" s="3684"/>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3364">
        <f t="shared" si="11"/>
        <v>111</v>
      </c>
      <c r="R30" s="1350" t="s">
        <v>104</v>
      </c>
      <c r="S30" s="1351">
        <f t="shared" si="12"/>
        <v>100</v>
      </c>
      <c r="T30" s="1350" t="s">
        <v>104</v>
      </c>
      <c r="U30" s="1351">
        <f t="shared" si="13"/>
        <v>100</v>
      </c>
      <c r="V30" s="1350" t="s">
        <v>104</v>
      </c>
      <c r="W30" s="1351">
        <f t="shared" si="14"/>
        <v>100</v>
      </c>
      <c r="X30" s="3366"/>
      <c r="Y30" s="3684"/>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3364">
        <f t="shared" si="11"/>
        <v>111</v>
      </c>
      <c r="R31" s="1350" t="s">
        <v>104</v>
      </c>
      <c r="S31" s="1351">
        <f t="shared" si="12"/>
        <v>100</v>
      </c>
      <c r="T31" s="1350" t="s">
        <v>104</v>
      </c>
      <c r="U31" s="1351">
        <f t="shared" si="13"/>
        <v>100</v>
      </c>
      <c r="V31" s="1350" t="s">
        <v>104</v>
      </c>
      <c r="W31" s="1351">
        <f t="shared" si="14"/>
        <v>100</v>
      </c>
      <c r="X31" s="3366"/>
      <c r="Y31" s="3684"/>
      <c r="Z31" s="3367">
        <f t="shared" si="18"/>
        <v>111</v>
      </c>
      <c r="AA31" s="3365">
        <f t="shared" si="15"/>
        <v>1</v>
      </c>
      <c r="AB31" s="3365">
        <f t="shared" si="16"/>
        <v>1</v>
      </c>
      <c r="AC31" s="3365">
        <f t="shared" si="17"/>
        <v>1</v>
      </c>
    </row>
    <row r="32" spans="1:29" ht="15">
      <c r="A32" s="154" t="s">
        <v>999</v>
      </c>
      <c r="B32" s="62" t="s">
        <v>75</v>
      </c>
      <c r="C32" s="110" t="s">
        <v>3171</v>
      </c>
      <c r="D32" s="808">
        <v>100</v>
      </c>
      <c r="E32" s="111" t="s">
        <v>3101</v>
      </c>
      <c r="F32" s="802">
        <f>SUMIF(100:100,E32,101:101)-SUMIF(100:100,C32,101:101)+100</f>
        <v>92</v>
      </c>
      <c r="G32" s="110" t="s">
        <v>3101</v>
      </c>
      <c r="H32" s="808">
        <f>SUMIF(100:100,G32,101:101)-SUMIF(100:100,C32,101:101)+100</f>
        <v>92</v>
      </c>
      <c r="I32" s="111" t="s">
        <v>3101</v>
      </c>
      <c r="J32" s="776">
        <f>SUMIF(100:100,I32,101:101)-SUMIF(100:100,C32,101:101)+100</f>
        <v>92</v>
      </c>
      <c r="K32" s="767">
        <v>8</v>
      </c>
      <c r="L32" s="2300"/>
      <c r="M32" s="2295"/>
      <c r="N32" s="2295"/>
      <c r="O32" s="2295"/>
      <c r="P32" s="3685" t="s">
        <v>70</v>
      </c>
      <c r="Q32" s="3364" t="str">
        <f t="shared" si="11"/>
        <v>建筑类型</v>
      </c>
      <c r="R32" s="1350" t="s">
        <v>104</v>
      </c>
      <c r="S32" s="1351">
        <f t="shared" si="12"/>
        <v>92</v>
      </c>
      <c r="T32" s="1350" t="s">
        <v>104</v>
      </c>
      <c r="U32" s="1351">
        <f t="shared" si="13"/>
        <v>92</v>
      </c>
      <c r="V32" s="1350" t="s">
        <v>104</v>
      </c>
      <c r="W32" s="1351">
        <f t="shared" si="14"/>
        <v>92</v>
      </c>
      <c r="X32" s="3366"/>
      <c r="Y32" s="3688" t="s">
        <v>70</v>
      </c>
      <c r="Z32" s="3367" t="str">
        <f t="shared" si="18"/>
        <v>建筑类型</v>
      </c>
      <c r="AA32" s="3365">
        <f t="shared" si="15"/>
        <v>1.0869565217391304</v>
      </c>
      <c r="AB32" s="3365">
        <f t="shared" si="16"/>
        <v>1.0869565217391304</v>
      </c>
      <c r="AC32" s="3365">
        <f t="shared" si="17"/>
        <v>1.0869565217391304</v>
      </c>
    </row>
    <row r="33" spans="1:29" s="1037" customFormat="1" ht="15">
      <c r="A33" s="1041"/>
      <c r="B33" s="3363" t="s">
        <v>76</v>
      </c>
      <c r="C33" s="3368">
        <v>460000</v>
      </c>
      <c r="D33" s="3369">
        <v>100</v>
      </c>
      <c r="E33" s="3370">
        <v>445733</v>
      </c>
      <c r="F33" s="3371">
        <f>LOOKUP(E33,103:103,104:104)-LOOKUP(C33,103:103,104:104)+100</f>
        <v>100</v>
      </c>
      <c r="G33" s="3372">
        <v>490000</v>
      </c>
      <c r="H33" s="3369">
        <f>LOOKUP(G33,103:103,104:104)-LOOKUP(C33,103:103,104:104)+100</f>
        <v>100</v>
      </c>
      <c r="I33" s="3370">
        <v>340000</v>
      </c>
      <c r="J33" s="3369">
        <f>LOOKUP(I33,103:103,104:104)-LOOKUP(C33,103:103,104:104)+100</f>
        <v>99</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99</v>
      </c>
      <c r="X33" s="1360"/>
      <c r="Y33" s="3688"/>
      <c r="Z33" s="1361" t="str">
        <f t="shared" si="18"/>
        <v>项目建筑规模</v>
      </c>
      <c r="AA33" s="3365">
        <f t="shared" si="15"/>
        <v>1</v>
      </c>
      <c r="AB33" s="3365">
        <f t="shared" si="16"/>
        <v>1</v>
      </c>
      <c r="AC33" s="3365">
        <f t="shared" si="17"/>
        <v>1.0101010101010102</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3364" t="str">
        <f t="shared" si="11"/>
        <v>建筑结构</v>
      </c>
      <c r="R34" s="1350" t="s">
        <v>104</v>
      </c>
      <c r="S34" s="1351">
        <f t="shared" si="12"/>
        <v>100</v>
      </c>
      <c r="T34" s="1350" t="s">
        <v>104</v>
      </c>
      <c r="U34" s="1351">
        <f t="shared" si="13"/>
        <v>100</v>
      </c>
      <c r="V34" s="1350" t="s">
        <v>104</v>
      </c>
      <c r="W34" s="1351">
        <f t="shared" si="14"/>
        <v>100</v>
      </c>
      <c r="X34" s="3366"/>
      <c r="Y34" s="3688"/>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3364" t="str">
        <f t="shared" si="11"/>
        <v>建筑品质</v>
      </c>
      <c r="R35" s="1350" t="s">
        <v>104</v>
      </c>
      <c r="S35" s="1351">
        <f t="shared" si="12"/>
        <v>100</v>
      </c>
      <c r="T35" s="1350" t="s">
        <v>104</v>
      </c>
      <c r="U35" s="1351">
        <f t="shared" si="13"/>
        <v>100</v>
      </c>
      <c r="V35" s="1350" t="s">
        <v>104</v>
      </c>
      <c r="W35" s="1351">
        <f t="shared" si="14"/>
        <v>100</v>
      </c>
      <c r="X35" s="3366"/>
      <c r="Y35" s="3688"/>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3364" t="str">
        <f t="shared" si="11"/>
        <v>公共部分装修</v>
      </c>
      <c r="R36" s="1350" t="s">
        <v>104</v>
      </c>
      <c r="S36" s="1351">
        <f t="shared" si="12"/>
        <v>100</v>
      </c>
      <c r="T36" s="1350" t="s">
        <v>104</v>
      </c>
      <c r="U36" s="1351">
        <f t="shared" si="13"/>
        <v>100</v>
      </c>
      <c r="V36" s="1350" t="s">
        <v>104</v>
      </c>
      <c r="W36" s="1351">
        <f t="shared" si="14"/>
        <v>100</v>
      </c>
      <c r="X36" s="3366"/>
      <c r="Y36" s="3688"/>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3361" t="str">
        <f t="shared" si="11"/>
        <v>成新度</v>
      </c>
      <c r="R37" s="1340" t="s">
        <v>104</v>
      </c>
      <c r="S37" s="1341">
        <f t="shared" si="12"/>
        <v>100</v>
      </c>
      <c r="T37" s="1340" t="s">
        <v>104</v>
      </c>
      <c r="U37" s="1341">
        <f t="shared" si="13"/>
        <v>100</v>
      </c>
      <c r="V37" s="1340" t="s">
        <v>104</v>
      </c>
      <c r="W37" s="1341">
        <f t="shared" si="14"/>
        <v>100</v>
      </c>
      <c r="X37" s="286"/>
      <c r="Y37" s="3688"/>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3364" t="str">
        <f t="shared" si="11"/>
        <v>物业管理</v>
      </c>
      <c r="R38" s="1350" t="s">
        <v>104</v>
      </c>
      <c r="S38" s="1351">
        <f t="shared" si="12"/>
        <v>100</v>
      </c>
      <c r="T38" s="1350" t="s">
        <v>104</v>
      </c>
      <c r="U38" s="1351">
        <f t="shared" si="13"/>
        <v>100</v>
      </c>
      <c r="V38" s="1350" t="s">
        <v>104</v>
      </c>
      <c r="W38" s="1351">
        <f t="shared" si="14"/>
        <v>100</v>
      </c>
      <c r="X38" s="3366"/>
      <c r="Y38" s="3688"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3364" t="str">
        <f t="shared" si="11"/>
        <v>市政基础设施</v>
      </c>
      <c r="R39" s="1350" t="s">
        <v>104</v>
      </c>
      <c r="S39" s="1351">
        <f t="shared" si="12"/>
        <v>100</v>
      </c>
      <c r="T39" s="1350" t="s">
        <v>104</v>
      </c>
      <c r="U39" s="1351">
        <f t="shared" si="13"/>
        <v>100</v>
      </c>
      <c r="V39" s="1350" t="s">
        <v>104</v>
      </c>
      <c r="W39" s="1351">
        <f t="shared" si="14"/>
        <v>100</v>
      </c>
      <c r="X39" s="3366"/>
      <c r="Y39" s="3688"/>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3364" t="str">
        <f t="shared" si="11"/>
        <v>房型</v>
      </c>
      <c r="R40" s="1350" t="s">
        <v>104</v>
      </c>
      <c r="S40" s="1351">
        <f t="shared" si="12"/>
        <v>100</v>
      </c>
      <c r="T40" s="1350" t="s">
        <v>104</v>
      </c>
      <c r="U40" s="1351">
        <f t="shared" si="13"/>
        <v>100</v>
      </c>
      <c r="V40" s="1350" t="s">
        <v>104</v>
      </c>
      <c r="W40" s="1351">
        <f t="shared" si="14"/>
        <v>100</v>
      </c>
      <c r="X40" s="3366"/>
      <c r="Y40" s="3688"/>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3365">
        <f t="shared" si="15"/>
        <v>1</v>
      </c>
      <c r="AB41" s="3365">
        <f t="shared" si="16"/>
        <v>1</v>
      </c>
      <c r="AC41" s="3365">
        <f t="shared" si="17"/>
        <v>1</v>
      </c>
    </row>
    <row r="42" spans="1:29" ht="15">
      <c r="A42" s="160"/>
      <c r="B42" s="3363" t="s">
        <v>83</v>
      </c>
      <c r="C42" s="109" t="s">
        <v>3108</v>
      </c>
      <c r="D42" s="776">
        <v>100</v>
      </c>
      <c r="E42" s="108" t="s">
        <v>3108</v>
      </c>
      <c r="F42" s="802">
        <f>SUMIF(122:122,E42,123:123)-SUMIF(122:122,C42,123:123)+100</f>
        <v>100</v>
      </c>
      <c r="G42" s="109" t="s">
        <v>3087</v>
      </c>
      <c r="H42" s="776">
        <f>SUMIF(122:122,G42,123:123)-SUMIF(122:122,C42,123:123)+100</f>
        <v>109</v>
      </c>
      <c r="I42" s="108" t="s">
        <v>3087</v>
      </c>
      <c r="J42" s="776">
        <f>SUMIF(122:122,I42,123:123)-SUMIF(122:122,C42,123:123)+100</f>
        <v>109</v>
      </c>
      <c r="K42" s="767">
        <v>3</v>
      </c>
      <c r="L42" s="2300"/>
      <c r="M42" s="2295"/>
      <c r="N42" s="2295"/>
      <c r="O42" s="2295"/>
      <c r="P42" s="3686"/>
      <c r="Q42" s="3364" t="str">
        <f t="shared" si="11"/>
        <v>内部装修</v>
      </c>
      <c r="R42" s="1350" t="s">
        <v>104</v>
      </c>
      <c r="S42" s="1351">
        <f t="shared" si="12"/>
        <v>100</v>
      </c>
      <c r="T42" s="1350" t="s">
        <v>104</v>
      </c>
      <c r="U42" s="1351">
        <f t="shared" si="13"/>
        <v>109</v>
      </c>
      <c r="V42" s="1350" t="s">
        <v>104</v>
      </c>
      <c r="W42" s="1351">
        <f t="shared" si="14"/>
        <v>109</v>
      </c>
      <c r="X42" s="3366"/>
      <c r="Y42" s="3688"/>
      <c r="Z42" s="3367" t="str">
        <f t="shared" si="18"/>
        <v>内部装修</v>
      </c>
      <c r="AA42" s="3365">
        <f t="shared" si="15"/>
        <v>1</v>
      </c>
      <c r="AB42" s="3365">
        <f t="shared" si="16"/>
        <v>0.91743119266055051</v>
      </c>
      <c r="AC42" s="3365">
        <f t="shared" si="17"/>
        <v>0.91743119266055051</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3364" t="str">
        <f t="shared" si="11"/>
        <v>内部装修维护情况</v>
      </c>
      <c r="R43" s="1350" t="s">
        <v>104</v>
      </c>
      <c r="S43" s="1351">
        <f t="shared" si="12"/>
        <v>100</v>
      </c>
      <c r="T43" s="1350" t="s">
        <v>104</v>
      </c>
      <c r="U43" s="1351">
        <f t="shared" si="13"/>
        <v>100</v>
      </c>
      <c r="V43" s="1350" t="s">
        <v>104</v>
      </c>
      <c r="W43" s="1351">
        <f t="shared" si="14"/>
        <v>100</v>
      </c>
      <c r="X43" s="3366"/>
      <c r="Y43" s="3688"/>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86"/>
      <c r="Q44" s="3361" t="str">
        <f t="shared" si="11"/>
        <v>赠送面积</v>
      </c>
      <c r="R44" s="1340" t="s">
        <v>104</v>
      </c>
      <c r="S44" s="1341">
        <f t="shared" si="12"/>
        <v>105</v>
      </c>
      <c r="T44" s="1340" t="s">
        <v>104</v>
      </c>
      <c r="U44" s="1341">
        <f t="shared" si="13"/>
        <v>100</v>
      </c>
      <c r="V44" s="1340" t="s">
        <v>104</v>
      </c>
      <c r="W44" s="1341">
        <f t="shared" si="14"/>
        <v>100</v>
      </c>
      <c r="X44" s="286"/>
      <c r="Y44" s="3688"/>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3364">
        <f t="shared" si="11"/>
        <v>111</v>
      </c>
      <c r="R45" s="1350" t="s">
        <v>104</v>
      </c>
      <c r="S45" s="1351">
        <f t="shared" si="12"/>
        <v>100</v>
      </c>
      <c r="T45" s="1350" t="s">
        <v>104</v>
      </c>
      <c r="U45" s="1351">
        <f t="shared" si="13"/>
        <v>100</v>
      </c>
      <c r="V45" s="1350" t="s">
        <v>104</v>
      </c>
      <c r="W45" s="1351">
        <f t="shared" si="14"/>
        <v>100</v>
      </c>
      <c r="X45" s="3366"/>
      <c r="Y45" s="3688"/>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3364">
        <f t="shared" si="11"/>
        <v>111</v>
      </c>
      <c r="R46" s="1350" t="s">
        <v>103</v>
      </c>
      <c r="S46" s="1351">
        <f t="shared" si="12"/>
        <v>100</v>
      </c>
      <c r="T46" s="1350" t="s">
        <v>103</v>
      </c>
      <c r="U46" s="1351">
        <f t="shared" si="13"/>
        <v>100</v>
      </c>
      <c r="V46" s="1350" t="s">
        <v>103</v>
      </c>
      <c r="W46" s="1351">
        <f t="shared" si="14"/>
        <v>100</v>
      </c>
      <c r="X46" s="3366"/>
      <c r="Y46" s="3689"/>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ROUND(13000*0.995,0)</f>
        <v>12935</v>
      </c>
      <c r="J47" s="2836"/>
      <c r="K47" s="1362"/>
      <c r="L47" s="2302"/>
      <c r="M47" s="2303"/>
      <c r="N47" s="2295"/>
      <c r="O47" s="2303"/>
      <c r="P47" s="3690" t="str">
        <f>A47</f>
        <v>成交单价（元/平方米）</v>
      </c>
      <c r="Q47" s="3690"/>
      <c r="R47" s="3691">
        <f>E47</f>
        <v>12826</v>
      </c>
      <c r="S47" s="3691"/>
      <c r="T47" s="3691">
        <f>G47</f>
        <v>13433</v>
      </c>
      <c r="U47" s="3691"/>
      <c r="V47" s="3691">
        <f>I47</f>
        <v>12935</v>
      </c>
      <c r="W47" s="3691"/>
      <c r="X47" s="1363"/>
      <c r="Y47" s="1364"/>
      <c r="Z47" s="1363"/>
      <c r="AA47" s="1363"/>
      <c r="AB47" s="1363"/>
      <c r="AC47" s="1363"/>
    </row>
    <row r="48" spans="1:29" ht="15.75" thickBot="1">
      <c r="A48" s="164" t="s">
        <v>100</v>
      </c>
      <c r="B48" s="165"/>
      <c r="C48" s="2837">
        <f>R49</f>
        <v>14368</v>
      </c>
      <c r="D48" s="2838"/>
      <c r="E48" s="2839">
        <f>R48</f>
        <v>14562</v>
      </c>
      <c r="F48" s="2839"/>
      <c r="G48" s="2837">
        <f>T48</f>
        <v>14251</v>
      </c>
      <c r="H48" s="2838"/>
      <c r="I48" s="2839">
        <f>V48</f>
        <v>14290</v>
      </c>
      <c r="J48" s="2838"/>
      <c r="K48" s="1365"/>
      <c r="L48" s="2302"/>
      <c r="M48" s="2303"/>
      <c r="N48" s="2303"/>
      <c r="O48" s="2303"/>
      <c r="P48" s="3690" t="str">
        <f>A48</f>
        <v>比较价值（元/平方米）</v>
      </c>
      <c r="Q48" s="3690"/>
      <c r="R48" s="3691">
        <f>IF(F1="售价",ROUND(PRODUCT(R47,AA7:AA46),0),ROUND(PRODUCT(R47,AA7:AA46),1))</f>
        <v>14562</v>
      </c>
      <c r="S48" s="3691"/>
      <c r="T48" s="3691">
        <f>IF(F1="售价",ROUND(PRODUCT(T47,AB7:AB46),0),ROUND(PRODUCT(T47,AB7:AB46),1))</f>
        <v>14251</v>
      </c>
      <c r="U48" s="3691"/>
      <c r="V48" s="3691">
        <f>IF(F1="售价",ROUND(PRODUCT(V47,AC7:AC46),0),ROUND(PRODUCT(V47,AC7:AC46),1))</f>
        <v>14290</v>
      </c>
      <c r="W48" s="3691"/>
      <c r="X48" s="1363"/>
      <c r="Y48" s="1363"/>
      <c r="Z48" s="1363"/>
      <c r="AA48" s="1363"/>
      <c r="AB48" s="1363"/>
      <c r="AC48" s="1363"/>
    </row>
    <row r="49" spans="1:29" ht="15.75" thickBot="1">
      <c r="A49" s="114" t="s">
        <v>3018</v>
      </c>
      <c r="B49" s="115"/>
      <c r="C49" s="2840">
        <f>R49</f>
        <v>14368</v>
      </c>
      <c r="D49" s="2841"/>
      <c r="E49" s="2841"/>
      <c r="F49" s="2841"/>
      <c r="G49" s="2841"/>
      <c r="H49" s="2841"/>
      <c r="I49" s="2841"/>
      <c r="J49" s="2841"/>
      <c r="K49" s="1366"/>
      <c r="L49" s="2302"/>
      <c r="M49" s="2303"/>
      <c r="N49" s="2303"/>
      <c r="O49" s="2303"/>
      <c r="P49" s="3692" t="str">
        <f>A49</f>
        <v>估价对象XX用房的比较价值（楼面单价，元/平方米）</v>
      </c>
      <c r="Q49" s="3693"/>
      <c r="R49" s="3694">
        <f>IF(F1="售价",ROUND(AVERAGE(R48:V48),0),ROUND(AVERAGE(R48:V48),1))</f>
        <v>14368</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f>IF(E47&lt;E48,E48/E47-1,E47/E48-1)</f>
        <v>0.13535007016996725</v>
      </c>
      <c r="F52" s="841" t="str">
        <f>IF(OR(E52&gt;=0.3,E52&lt;=-0.3),"超过30%","")</f>
        <v/>
      </c>
      <c r="G52" s="840">
        <f>IF(G47&lt;G48,G48/G47-1,G47/G48-1)</f>
        <v>6.0894811285639783E-2</v>
      </c>
      <c r="H52" s="841" t="str">
        <f>IF(OR(G52&gt;=0.3,G52&lt;=-0.3),"超过30%","")</f>
        <v/>
      </c>
      <c r="I52" s="840">
        <f>IF(I47&lt;I48,I48/I47-1,I47/I48-1)</f>
        <v>0.10475454194047162</v>
      </c>
      <c r="J52" s="841" t="str">
        <f>IF(OR(I52&gt;=0.3,I52&lt;=-0.3),"超过30%","")</f>
        <v/>
      </c>
      <c r="K52" s="2304"/>
      <c r="L52" s="2305"/>
      <c r="M52" s="2303"/>
      <c r="N52" s="2303"/>
      <c r="O52" s="2303"/>
    </row>
    <row r="53" spans="1:29" ht="13.5" customHeight="1">
      <c r="A53" s="2303"/>
      <c r="B53" s="2303"/>
      <c r="C53" s="838" t="s">
        <v>411</v>
      </c>
      <c r="D53" s="842"/>
      <c r="E53" s="840">
        <f>IF(E48&lt;G48,G48/E48-1,E48/G48-1)</f>
        <v>2.1823029962809715E-2</v>
      </c>
      <c r="F53" s="841" t="str">
        <f>IF(OR(E53&gt;=0.2,E53&lt;=-0.2),"超过20%","")</f>
        <v/>
      </c>
      <c r="G53" s="840">
        <f>IF(G48&lt;I48,I48/G48-1,G48/I48-1)</f>
        <v>2.7366500596448518E-3</v>
      </c>
      <c r="H53" s="841" t="str">
        <f>IF(OR(G53&gt;=0.2,G53&lt;=-0.2),"超过20%","")</f>
        <v/>
      </c>
      <c r="I53" s="840">
        <f>IF(I48&lt;E48,E48/I48-1,I48/E48-1)</f>
        <v>1.9034289713086183E-2</v>
      </c>
      <c r="J53" s="841" t="str">
        <f>IF(OR(I53&gt;=0.2,I53&lt;=-0.2),"超过20%","")</f>
        <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3.8500193274062511E-2</v>
      </c>
      <c r="H54" s="841" t="str">
        <f>IF(OR(G54&gt;=0.3,G54&lt;=-0.3),"超过30%","")</f>
        <v/>
      </c>
      <c r="I54" s="840">
        <f>IF(I47&lt;E47,E47/I47-1,I47/E47-1)</f>
        <v>8.4983627007639839E-3</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M15" sqref="M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t="s">
        <v>3079</v>
      </c>
      <c r="E1" s="3101"/>
      <c r="F1" s="3102" t="s">
        <v>2698</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984</v>
      </c>
      <c r="B3" s="740" t="e">
        <f ca="1">IF(C2="——",C49,ROUND(B2*10000/D3,0))</f>
        <v>#REF!</v>
      </c>
      <c r="C3" s="141" t="s">
        <v>985</v>
      </c>
      <c r="D3" s="740">
        <f>IF(D1="",'数据-汇总表'!E3,SUMIF('数据-汇总表'!$C19:$C33,D1,'数据-汇总表'!$E19:$E33))</f>
        <v>55986.3</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1338"/>
      <c r="Y4" s="3662" t="s">
        <v>986</v>
      </c>
      <c r="Z4" s="3663"/>
      <c r="AA4" s="3649" t="s">
        <v>988</v>
      </c>
      <c r="AB4" s="3649" t="s">
        <v>989</v>
      </c>
      <c r="AC4" s="3649" t="s">
        <v>990</v>
      </c>
    </row>
    <row r="5" spans="1:29">
      <c r="A5" s="145"/>
      <c r="B5" s="146"/>
      <c r="C5" s="3666" t="s">
        <v>992</v>
      </c>
      <c r="D5" s="3667"/>
      <c r="E5" s="3668" t="s">
        <v>3085</v>
      </c>
      <c r="F5" s="3669"/>
      <c r="G5" s="3666" t="s">
        <v>3106</v>
      </c>
      <c r="H5" s="3667"/>
      <c r="I5" s="3666" t="s">
        <v>3184</v>
      </c>
      <c r="J5" s="3667"/>
      <c r="K5" s="151"/>
      <c r="L5" s="2294"/>
      <c r="M5" s="2295"/>
      <c r="N5" s="2295"/>
      <c r="O5" s="2295"/>
      <c r="P5" s="3658"/>
      <c r="Q5" s="3659"/>
      <c r="R5" s="3664"/>
      <c r="S5" s="3665"/>
      <c r="T5" s="3664"/>
      <c r="U5" s="3665"/>
      <c r="V5" s="3676"/>
      <c r="W5" s="3676"/>
      <c r="X5" s="1338"/>
      <c r="Y5" s="3664"/>
      <c r="Z5" s="3665"/>
      <c r="AA5" s="3650"/>
      <c r="AB5" s="3650"/>
      <c r="AC5" s="3650"/>
    </row>
    <row r="6" spans="1:29" ht="14.25" thickBot="1">
      <c r="A6" s="147"/>
      <c r="B6" s="148"/>
      <c r="C6" s="3670" t="s">
        <v>993</v>
      </c>
      <c r="D6" s="3671"/>
      <c r="E6" s="3672" t="s">
        <v>993</v>
      </c>
      <c r="F6" s="3673"/>
      <c r="G6" s="3670" t="s">
        <v>993</v>
      </c>
      <c r="H6" s="3671"/>
      <c r="I6" s="3670" t="s">
        <v>993</v>
      </c>
      <c r="J6" s="3671"/>
      <c r="K6" s="151" t="s">
        <v>994</v>
      </c>
      <c r="L6" s="2294"/>
      <c r="M6" s="2295"/>
      <c r="N6" s="2295"/>
      <c r="O6" s="2295"/>
      <c r="P6" s="3660"/>
      <c r="Q6" s="3661"/>
      <c r="R6" s="3664"/>
      <c r="S6" s="3665"/>
      <c r="T6" s="3674"/>
      <c r="U6" s="3675"/>
      <c r="V6" s="3676"/>
      <c r="W6" s="3676"/>
      <c r="X6" s="1338"/>
      <c r="Y6" s="3674"/>
      <c r="Z6" s="3675"/>
      <c r="AA6" s="3651"/>
      <c r="AB6" s="3651"/>
      <c r="AC6" s="3651"/>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77" t="s">
        <v>995</v>
      </c>
      <c r="Q7" s="3678"/>
      <c r="R7" s="1340" t="s">
        <v>115</v>
      </c>
      <c r="S7" s="1341">
        <f t="shared" ref="S7:S15" si="0">F7</f>
        <v>100</v>
      </c>
      <c r="T7" s="1340" t="s">
        <v>115</v>
      </c>
      <c r="U7" s="1341">
        <f t="shared" ref="U7:U15" si="1">H7</f>
        <v>100</v>
      </c>
      <c r="V7" s="1340" t="s">
        <v>115</v>
      </c>
      <c r="W7" s="1341">
        <f t="shared" ref="W7:W15" si="2">J7</f>
        <v>100</v>
      </c>
      <c r="X7" s="286"/>
      <c r="Y7" s="3677" t="s">
        <v>995</v>
      </c>
      <c r="Z7" s="3679"/>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75" thickBot="1">
      <c r="A11" s="150"/>
      <c r="B11" s="12" t="s">
        <v>93</v>
      </c>
      <c r="C11" s="3372">
        <f>'数据-汇总表'!I4</f>
        <v>4.1100000000000003</v>
      </c>
      <c r="D11" s="424">
        <v>100</v>
      </c>
      <c r="E11" s="771">
        <v>3.5</v>
      </c>
      <c r="F11" s="766">
        <f>LOOKUP(E11,68:68,69:69)-LOOKUP(C11,68:68,69:69)+100</f>
        <v>102</v>
      </c>
      <c r="G11" s="770">
        <v>3.5</v>
      </c>
      <c r="H11" s="424">
        <f>LOOKUP(G11,68:68,69:69)-LOOKUP(C11,68:68,69:69)+100</f>
        <v>102</v>
      </c>
      <c r="I11" s="770">
        <v>3.5</v>
      </c>
      <c r="J11" s="424">
        <f>LOOKUP(I11,68:68,69:69)-LOOKUP(C11,68:68,69:69)+100</f>
        <v>102</v>
      </c>
      <c r="K11" s="767">
        <v>2</v>
      </c>
      <c r="L11" s="2299"/>
      <c r="M11" s="2295"/>
      <c r="N11" s="2295"/>
      <c r="O11" s="2295"/>
      <c r="P11" s="3680"/>
      <c r="Q11" s="7" t="str">
        <f t="shared" si="6"/>
        <v>容积率</v>
      </c>
      <c r="R11" s="1340" t="s">
        <v>104</v>
      </c>
      <c r="S11" s="1341">
        <f t="shared" si="0"/>
        <v>102</v>
      </c>
      <c r="T11" s="1340" t="s">
        <v>104</v>
      </c>
      <c r="U11" s="1341">
        <f t="shared" si="1"/>
        <v>102</v>
      </c>
      <c r="V11" s="1340" t="s">
        <v>104</v>
      </c>
      <c r="W11" s="1341">
        <f t="shared" si="2"/>
        <v>102</v>
      </c>
      <c r="X11" s="286"/>
      <c r="Y11" s="3445"/>
      <c r="Z11" s="287" t="str">
        <f t="shared" si="7"/>
        <v>容积率</v>
      </c>
      <c r="AA11" s="1342">
        <f t="shared" si="3"/>
        <v>0.98039215686274506</v>
      </c>
      <c r="AB11" s="1342">
        <f t="shared" si="4"/>
        <v>0.98039215686274506</v>
      </c>
      <c r="AC11" s="1342">
        <f t="shared" si="5"/>
        <v>0.98039215686274506</v>
      </c>
    </row>
    <row r="12" spans="1:29" s="40" customFormat="1" ht="14.25" hidden="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7">
        <f t="shared" si="6"/>
        <v>111</v>
      </c>
      <c r="R12" s="1340" t="s">
        <v>104</v>
      </c>
      <c r="S12" s="1341">
        <f t="shared" si="0"/>
        <v>100</v>
      </c>
      <c r="T12" s="1340" t="s">
        <v>104</v>
      </c>
      <c r="U12" s="1341">
        <f t="shared" si="1"/>
        <v>100</v>
      </c>
      <c r="V12" s="1340" t="s">
        <v>104</v>
      </c>
      <c r="W12" s="1341">
        <f t="shared" si="2"/>
        <v>100</v>
      </c>
      <c r="X12" s="286"/>
      <c r="Y12" s="3445"/>
      <c r="Z12" s="287">
        <f t="shared" si="7"/>
        <v>111</v>
      </c>
      <c r="AA12" s="1342">
        <f>D12/F12</f>
        <v>1</v>
      </c>
      <c r="AB12" s="1342">
        <f>D12/H12</f>
        <v>1</v>
      </c>
      <c r="AC12" s="1342">
        <f>D12/J12</f>
        <v>1</v>
      </c>
    </row>
    <row r="13" spans="1:29" ht="14.25" hidden="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7">
        <f t="shared" si="6"/>
        <v>111</v>
      </c>
      <c r="R13" s="1340" t="s">
        <v>104</v>
      </c>
      <c r="S13" s="1341">
        <f t="shared" si="0"/>
        <v>100</v>
      </c>
      <c r="T13" s="1340" t="s">
        <v>104</v>
      </c>
      <c r="U13" s="1341">
        <f t="shared" si="1"/>
        <v>100</v>
      </c>
      <c r="V13" s="1340" t="s">
        <v>104</v>
      </c>
      <c r="W13" s="1341">
        <f t="shared" si="2"/>
        <v>100</v>
      </c>
      <c r="X13" s="286"/>
      <c r="Y13" s="3445"/>
      <c r="Z13" s="287">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7">
        <f t="shared" si="6"/>
        <v>111</v>
      </c>
      <c r="R14" s="1340" t="s">
        <v>104</v>
      </c>
      <c r="S14" s="1341">
        <f t="shared" si="0"/>
        <v>100</v>
      </c>
      <c r="T14" s="1340" t="s">
        <v>104</v>
      </c>
      <c r="U14" s="1341">
        <f t="shared" si="1"/>
        <v>100</v>
      </c>
      <c r="V14" s="1340" t="s">
        <v>104</v>
      </c>
      <c r="W14" s="1341">
        <f t="shared" si="2"/>
        <v>100</v>
      </c>
      <c r="X14" s="286"/>
      <c r="Y14" s="3445"/>
      <c r="Z14" s="287">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1349" t="str">
        <f t="shared" si="6"/>
        <v>居住社区成熟度</v>
      </c>
      <c r="R15" s="1350" t="s">
        <v>104</v>
      </c>
      <c r="S15" s="1351">
        <f t="shared" si="0"/>
        <v>100</v>
      </c>
      <c r="T15" s="1350" t="s">
        <v>104</v>
      </c>
      <c r="U15" s="1351">
        <f t="shared" si="1"/>
        <v>100</v>
      </c>
      <c r="V15" s="1350" t="s">
        <v>104</v>
      </c>
      <c r="W15" s="1351">
        <f t="shared" si="2"/>
        <v>100</v>
      </c>
      <c r="X15" s="1338"/>
      <c r="Y15" s="3683" t="s">
        <v>69</v>
      </c>
      <c r="Z15" s="1352" t="str">
        <f t="shared" si="7"/>
        <v>居住社区成熟度</v>
      </c>
      <c r="AA15" s="1353">
        <f t="shared" si="3"/>
        <v>1</v>
      </c>
      <c r="AB15" s="1353">
        <f t="shared" si="4"/>
        <v>1</v>
      </c>
      <c r="AC15" s="1353">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1349"/>
      <c r="R16" s="1350"/>
      <c r="S16" s="1351"/>
      <c r="T16" s="1350"/>
      <c r="U16" s="1351"/>
      <c r="V16" s="1350"/>
      <c r="W16" s="1351"/>
      <c r="X16" s="1338"/>
      <c r="Y16" s="3684"/>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82"/>
      <c r="Q17" s="1349" t="str">
        <f>B17</f>
        <v>交通便捷度</v>
      </c>
      <c r="R17" s="1350" t="s">
        <v>104</v>
      </c>
      <c r="S17" s="1351">
        <f>F17</f>
        <v>100</v>
      </c>
      <c r="T17" s="1350" t="s">
        <v>104</v>
      </c>
      <c r="U17" s="1351">
        <f>H17</f>
        <v>103</v>
      </c>
      <c r="V17" s="1350" t="s">
        <v>104</v>
      </c>
      <c r="W17" s="1351">
        <f>J17</f>
        <v>103</v>
      </c>
      <c r="X17" s="1338"/>
      <c r="Y17" s="3684"/>
      <c r="Z17" s="1352" t="str">
        <f>Q17</f>
        <v>交通便捷度</v>
      </c>
      <c r="AA17" s="1353">
        <f t="shared" si="3"/>
        <v>1</v>
      </c>
      <c r="AB17" s="1353">
        <f t="shared" si="4"/>
        <v>0.970873786407767</v>
      </c>
      <c r="AC17" s="1353">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82"/>
      <c r="Q18" s="1349"/>
      <c r="R18" s="1350"/>
      <c r="S18" s="1351"/>
      <c r="T18" s="1350"/>
      <c r="U18" s="1351"/>
      <c r="V18" s="1350"/>
      <c r="W18" s="1351"/>
      <c r="X18" s="1338"/>
      <c r="Y18" s="3684"/>
      <c r="Z18" s="1352"/>
      <c r="AA18" s="1353">
        <v>1</v>
      </c>
      <c r="AB18" s="1353">
        <v>1</v>
      </c>
      <c r="AC18" s="1353">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1349" t="str">
        <f>B19</f>
        <v>公共配套设施</v>
      </c>
      <c r="R19" s="1350" t="s">
        <v>104</v>
      </c>
      <c r="S19" s="1351">
        <f>F19</f>
        <v>100</v>
      </c>
      <c r="T19" s="1350" t="s">
        <v>104</v>
      </c>
      <c r="U19" s="1351">
        <f>H19</f>
        <v>100</v>
      </c>
      <c r="V19" s="1350" t="s">
        <v>104</v>
      </c>
      <c r="W19" s="1351">
        <f>J19</f>
        <v>100</v>
      </c>
      <c r="X19" s="1338"/>
      <c r="Y19" s="3684"/>
      <c r="Z19" s="1352" t="str">
        <f>Q19</f>
        <v>公共配套设施</v>
      </c>
      <c r="AA19" s="1353">
        <f t="shared" si="3"/>
        <v>1</v>
      </c>
      <c r="AB19" s="1353">
        <f t="shared" si="4"/>
        <v>1</v>
      </c>
      <c r="AC19" s="1353">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1349"/>
      <c r="R20" s="1350"/>
      <c r="S20" s="1351"/>
      <c r="T20" s="1350"/>
      <c r="U20" s="1351"/>
      <c r="V20" s="1350"/>
      <c r="W20" s="1351"/>
      <c r="X20" s="1338"/>
      <c r="Y20" s="3684"/>
      <c r="Z20" s="1352"/>
      <c r="AA20" s="1353">
        <v>1</v>
      </c>
      <c r="AB20" s="1353">
        <v>1</v>
      </c>
      <c r="AC20" s="1353">
        <v>1</v>
      </c>
    </row>
    <row r="21" spans="1:29" ht="27">
      <c r="A21" s="150"/>
      <c r="B21" s="1410" t="s">
        <v>2645</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2744"/>
      <c r="R22" s="1350"/>
      <c r="S22" s="1351"/>
      <c r="T22" s="1350"/>
      <c r="U22" s="1351"/>
      <c r="V22" s="1350"/>
      <c r="W22" s="1351"/>
      <c r="X22" s="2746"/>
      <c r="Y22" s="3684"/>
      <c r="Z22" s="2745"/>
      <c r="AA22" s="1353">
        <v>1</v>
      </c>
      <c r="AB22" s="1353">
        <v>1</v>
      </c>
      <c r="AC22" s="1353">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1349" t="str">
        <f>B23</f>
        <v>自然及人文环境</v>
      </c>
      <c r="R23" s="1350" t="s">
        <v>104</v>
      </c>
      <c r="S23" s="1351">
        <f>F23</f>
        <v>100</v>
      </c>
      <c r="T23" s="1350" t="s">
        <v>104</v>
      </c>
      <c r="U23" s="1351">
        <f>H23</f>
        <v>100</v>
      </c>
      <c r="V23" s="1350" t="s">
        <v>104</v>
      </c>
      <c r="W23" s="1351">
        <f>J23</f>
        <v>100</v>
      </c>
      <c r="X23" s="1338"/>
      <c r="Y23" s="3684"/>
      <c r="Z23" s="1352" t="str">
        <f>Q23</f>
        <v>自然及人文环境</v>
      </c>
      <c r="AA23" s="1353">
        <f>D23/F23</f>
        <v>1</v>
      </c>
      <c r="AB23" s="1353">
        <f>D23/H23</f>
        <v>1</v>
      </c>
      <c r="AC23" s="1353">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1349"/>
      <c r="R24" s="1350"/>
      <c r="S24" s="1351"/>
      <c r="T24" s="1350"/>
      <c r="U24" s="1351"/>
      <c r="V24" s="1350"/>
      <c r="W24" s="1351"/>
      <c r="X24" s="1338"/>
      <c r="Y24" s="3684"/>
      <c r="Z24" s="1352"/>
      <c r="AA24" s="1353">
        <v>1</v>
      </c>
      <c r="AB24" s="1353">
        <v>1</v>
      </c>
      <c r="AC24" s="1353">
        <v>1</v>
      </c>
    </row>
    <row r="25" spans="1:29" ht="15" hidden="1">
      <c r="A25" s="150"/>
      <c r="B25" s="12"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84"/>
      <c r="Z25" s="1352" t="str">
        <f>Q25</f>
        <v>楼层-1</v>
      </c>
      <c r="AA25" s="1353">
        <f t="shared" ref="AA25:AA46" si="15">D25/F25</f>
        <v>1</v>
      </c>
      <c r="AB25" s="1353">
        <f t="shared" ref="AB25:AB46" si="16">D25/H25</f>
        <v>1</v>
      </c>
      <c r="AC25" s="1353">
        <f t="shared" ref="AC25:AC46" si="17">D25/J25</f>
        <v>1</v>
      </c>
    </row>
    <row r="26" spans="1:29" ht="15" hidden="1">
      <c r="A26" s="150"/>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1349" t="str">
        <f t="shared" si="11"/>
        <v>朝向</v>
      </c>
      <c r="R26" s="1350" t="s">
        <v>104</v>
      </c>
      <c r="S26" s="1351">
        <f t="shared" si="12"/>
        <v>100</v>
      </c>
      <c r="T26" s="1350" t="s">
        <v>104</v>
      </c>
      <c r="U26" s="1351">
        <f t="shared" si="13"/>
        <v>100</v>
      </c>
      <c r="V26" s="1350" t="s">
        <v>104</v>
      </c>
      <c r="W26" s="1351">
        <f t="shared" si="14"/>
        <v>100</v>
      </c>
      <c r="X26" s="1338"/>
      <c r="Y26" s="3684"/>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7">
        <f t="shared" si="11"/>
        <v>111</v>
      </c>
      <c r="R27" s="1340" t="s">
        <v>104</v>
      </c>
      <c r="S27" s="1341">
        <f t="shared" si="12"/>
        <v>100</v>
      </c>
      <c r="T27" s="1340" t="s">
        <v>104</v>
      </c>
      <c r="U27" s="1341">
        <f t="shared" si="13"/>
        <v>100</v>
      </c>
      <c r="V27" s="1340" t="s">
        <v>104</v>
      </c>
      <c r="W27" s="1341">
        <f t="shared" si="14"/>
        <v>100</v>
      </c>
      <c r="X27" s="286"/>
      <c r="Y27" s="3684"/>
      <c r="Z27" s="287">
        <f>Q27</f>
        <v>111</v>
      </c>
      <c r="AA27" s="1353">
        <f t="shared" si="15"/>
        <v>1</v>
      </c>
      <c r="AB27" s="1353">
        <f t="shared" si="16"/>
        <v>1</v>
      </c>
      <c r="AC27" s="1353">
        <f t="shared" si="17"/>
        <v>1</v>
      </c>
    </row>
    <row r="28" spans="1:29" ht="14.25" hidden="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1349">
        <f t="shared" si="11"/>
        <v>111</v>
      </c>
      <c r="R28" s="1350" t="s">
        <v>104</v>
      </c>
      <c r="S28" s="1351">
        <f t="shared" si="12"/>
        <v>100</v>
      </c>
      <c r="T28" s="1350" t="s">
        <v>104</v>
      </c>
      <c r="U28" s="1351">
        <f t="shared" si="13"/>
        <v>100</v>
      </c>
      <c r="V28" s="1350" t="s">
        <v>104</v>
      </c>
      <c r="W28" s="1351">
        <f t="shared" si="14"/>
        <v>100</v>
      </c>
      <c r="X28" s="1338"/>
      <c r="Y28" s="3684"/>
      <c r="Z28" s="1352">
        <f t="shared" ref="Z28:Z46" si="18">Q28</f>
        <v>111</v>
      </c>
      <c r="AA28" s="1353">
        <f t="shared" si="15"/>
        <v>1</v>
      </c>
      <c r="AB28" s="1353">
        <f t="shared" si="16"/>
        <v>1</v>
      </c>
      <c r="AC28" s="1353">
        <f t="shared" si="17"/>
        <v>1</v>
      </c>
    </row>
    <row r="29" spans="1:29" ht="14.25" hidden="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1349">
        <f t="shared" si="11"/>
        <v>111</v>
      </c>
      <c r="R29" s="1350" t="s">
        <v>104</v>
      </c>
      <c r="S29" s="1351">
        <f t="shared" si="12"/>
        <v>100</v>
      </c>
      <c r="T29" s="1350" t="s">
        <v>104</v>
      </c>
      <c r="U29" s="1351">
        <f t="shared" si="13"/>
        <v>100</v>
      </c>
      <c r="V29" s="1350" t="s">
        <v>104</v>
      </c>
      <c r="W29" s="1351">
        <f t="shared" si="14"/>
        <v>100</v>
      </c>
      <c r="X29" s="1338"/>
      <c r="Y29" s="3684"/>
      <c r="Z29" s="1352">
        <f t="shared" si="18"/>
        <v>111</v>
      </c>
      <c r="AA29" s="1353">
        <f t="shared" si="15"/>
        <v>1</v>
      </c>
      <c r="AB29" s="1353">
        <f t="shared" si="16"/>
        <v>1</v>
      </c>
      <c r="AC29" s="1353">
        <f t="shared" si="17"/>
        <v>1</v>
      </c>
    </row>
    <row r="30" spans="1:29" ht="14.25" hidden="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1349">
        <f t="shared" si="11"/>
        <v>111</v>
      </c>
      <c r="R30" s="1350" t="s">
        <v>104</v>
      </c>
      <c r="S30" s="1351">
        <f t="shared" si="12"/>
        <v>100</v>
      </c>
      <c r="T30" s="1350" t="s">
        <v>104</v>
      </c>
      <c r="U30" s="1351">
        <f t="shared" si="13"/>
        <v>100</v>
      </c>
      <c r="V30" s="1350" t="s">
        <v>104</v>
      </c>
      <c r="W30" s="1351">
        <f t="shared" si="14"/>
        <v>100</v>
      </c>
      <c r="X30" s="1338"/>
      <c r="Y30" s="3684"/>
      <c r="Z30" s="1352">
        <f t="shared" si="18"/>
        <v>111</v>
      </c>
      <c r="AA30" s="1353">
        <f t="shared" si="15"/>
        <v>1</v>
      </c>
      <c r="AB30" s="1353">
        <f t="shared" si="16"/>
        <v>1</v>
      </c>
      <c r="AC30" s="1353">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1349">
        <f t="shared" si="11"/>
        <v>111</v>
      </c>
      <c r="R31" s="1350" t="s">
        <v>104</v>
      </c>
      <c r="S31" s="1351">
        <f t="shared" si="12"/>
        <v>100</v>
      </c>
      <c r="T31" s="1350" t="s">
        <v>104</v>
      </c>
      <c r="U31" s="1351">
        <f t="shared" si="13"/>
        <v>100</v>
      </c>
      <c r="V31" s="1350" t="s">
        <v>104</v>
      </c>
      <c r="W31" s="1351">
        <f t="shared" si="14"/>
        <v>100</v>
      </c>
      <c r="X31" s="1338"/>
      <c r="Y31" s="3684"/>
      <c r="Z31" s="1352">
        <f t="shared" si="18"/>
        <v>111</v>
      </c>
      <c r="AA31" s="1353">
        <f t="shared" si="15"/>
        <v>1</v>
      </c>
      <c r="AB31" s="1353">
        <f t="shared" si="16"/>
        <v>1</v>
      </c>
      <c r="AC31" s="1353">
        <f t="shared" si="17"/>
        <v>1</v>
      </c>
    </row>
    <row r="32" spans="1:29" ht="15">
      <c r="A32" s="154" t="s">
        <v>999</v>
      </c>
      <c r="B32" s="62" t="s">
        <v>75</v>
      </c>
      <c r="C32" s="110" t="s">
        <v>3101</v>
      </c>
      <c r="D32" s="808">
        <v>100</v>
      </c>
      <c r="E32" s="111" t="s">
        <v>3101</v>
      </c>
      <c r="F32" s="802">
        <f>SUMIF(100:100,E32,101:101)-SUMIF(100:100,C32,101:101)+100</f>
        <v>100</v>
      </c>
      <c r="G32" s="110" t="s">
        <v>3101</v>
      </c>
      <c r="H32" s="808">
        <f>SUMIF(100:100,G32,101:101)-SUMIF(100:100,C32,101:101)+100</f>
        <v>100</v>
      </c>
      <c r="I32" s="111" t="s">
        <v>3101</v>
      </c>
      <c r="J32" s="776">
        <f>SUMIF(100:100,I32,101:101)-SUMIF(100:100,C32,101:101)+100</f>
        <v>100</v>
      </c>
      <c r="K32" s="767">
        <v>8</v>
      </c>
      <c r="L32" s="2300"/>
      <c r="M32" s="2295"/>
      <c r="N32" s="2295"/>
      <c r="O32" s="2295"/>
      <c r="P32" s="3685" t="s">
        <v>70</v>
      </c>
      <c r="Q32" s="1349" t="str">
        <f t="shared" si="11"/>
        <v>建筑类型</v>
      </c>
      <c r="R32" s="1350" t="s">
        <v>104</v>
      </c>
      <c r="S32" s="1351">
        <f t="shared" si="12"/>
        <v>100</v>
      </c>
      <c r="T32" s="1350" t="s">
        <v>104</v>
      </c>
      <c r="U32" s="1351">
        <f t="shared" si="13"/>
        <v>100</v>
      </c>
      <c r="V32" s="1350" t="s">
        <v>104</v>
      </c>
      <c r="W32" s="1351">
        <f t="shared" si="14"/>
        <v>100</v>
      </c>
      <c r="X32" s="1338"/>
      <c r="Y32" s="3688" t="s">
        <v>70</v>
      </c>
      <c r="Z32" s="1352" t="str">
        <f t="shared" si="18"/>
        <v>建筑类型</v>
      </c>
      <c r="AA32" s="1353">
        <f t="shared" si="15"/>
        <v>1</v>
      </c>
      <c r="AB32" s="1353">
        <f t="shared" si="16"/>
        <v>1</v>
      </c>
      <c r="AC32" s="1353">
        <f t="shared" si="17"/>
        <v>1</v>
      </c>
    </row>
    <row r="33" spans="1:29" s="1037" customFormat="1" ht="15">
      <c r="A33" s="1041"/>
      <c r="B33" s="12" t="s">
        <v>76</v>
      </c>
      <c r="C33" s="3368">
        <f>'数据-基础表'!B3</f>
        <v>507174.08999999997</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100</v>
      </c>
      <c r="X33" s="1360"/>
      <c r="Y33" s="3688"/>
      <c r="Z33" s="1361" t="str">
        <f t="shared" si="18"/>
        <v>项目建筑规模</v>
      </c>
      <c r="AA33" s="1353">
        <f t="shared" si="15"/>
        <v>1</v>
      </c>
      <c r="AB33" s="1353">
        <f t="shared" si="16"/>
        <v>1</v>
      </c>
      <c r="AC33" s="1353">
        <f t="shared" si="17"/>
        <v>1</v>
      </c>
    </row>
    <row r="34" spans="1:29" ht="15">
      <c r="A34" s="160"/>
      <c r="B34" s="12"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1349" t="str">
        <f t="shared" si="11"/>
        <v>建筑结构</v>
      </c>
      <c r="R34" s="1350" t="s">
        <v>104</v>
      </c>
      <c r="S34" s="1351">
        <f t="shared" si="12"/>
        <v>100</v>
      </c>
      <c r="T34" s="1350" t="s">
        <v>104</v>
      </c>
      <c r="U34" s="1351">
        <f t="shared" si="13"/>
        <v>100</v>
      </c>
      <c r="V34" s="1350" t="s">
        <v>104</v>
      </c>
      <c r="W34" s="1351">
        <f t="shared" si="14"/>
        <v>100</v>
      </c>
      <c r="X34" s="1338"/>
      <c r="Y34" s="3688"/>
      <c r="Z34" s="1352" t="str">
        <f t="shared" si="18"/>
        <v>建筑结构</v>
      </c>
      <c r="AA34" s="1353">
        <f t="shared" si="15"/>
        <v>1</v>
      </c>
      <c r="AB34" s="1353">
        <f t="shared" si="16"/>
        <v>1</v>
      </c>
      <c r="AC34" s="1353">
        <f t="shared" si="17"/>
        <v>1</v>
      </c>
    </row>
    <row r="35" spans="1:29" ht="15">
      <c r="A35" s="160"/>
      <c r="B35" s="12"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1349" t="str">
        <f t="shared" si="11"/>
        <v>建筑品质</v>
      </c>
      <c r="R35" s="1350" t="s">
        <v>104</v>
      </c>
      <c r="S35" s="1351">
        <f t="shared" si="12"/>
        <v>100</v>
      </c>
      <c r="T35" s="1350" t="s">
        <v>104</v>
      </c>
      <c r="U35" s="1351">
        <f t="shared" si="13"/>
        <v>100</v>
      </c>
      <c r="V35" s="1350" t="s">
        <v>104</v>
      </c>
      <c r="W35" s="1351">
        <f t="shared" si="14"/>
        <v>100</v>
      </c>
      <c r="X35" s="1338"/>
      <c r="Y35" s="3688"/>
      <c r="Z35" s="1352" t="str">
        <f t="shared" si="18"/>
        <v>建筑品质</v>
      </c>
      <c r="AA35" s="1353">
        <f t="shared" si="15"/>
        <v>1</v>
      </c>
      <c r="AB35" s="1353">
        <f t="shared" si="16"/>
        <v>1</v>
      </c>
      <c r="AC35" s="1353">
        <f t="shared" si="17"/>
        <v>1</v>
      </c>
    </row>
    <row r="36" spans="1:29" ht="15">
      <c r="A36" s="160"/>
      <c r="B36" s="12"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1349" t="str">
        <f t="shared" si="11"/>
        <v>公共部分装修</v>
      </c>
      <c r="R36" s="1350" t="s">
        <v>104</v>
      </c>
      <c r="S36" s="1351">
        <f t="shared" si="12"/>
        <v>100</v>
      </c>
      <c r="T36" s="1350" t="s">
        <v>104</v>
      </c>
      <c r="U36" s="1351">
        <f t="shared" si="13"/>
        <v>100</v>
      </c>
      <c r="V36" s="1350" t="s">
        <v>104</v>
      </c>
      <c r="W36" s="1351">
        <f t="shared" si="14"/>
        <v>100</v>
      </c>
      <c r="X36" s="1338"/>
      <c r="Y36" s="3688"/>
      <c r="Z36" s="1352" t="str">
        <f t="shared" si="18"/>
        <v>公共部分装修</v>
      </c>
      <c r="AA36" s="1353">
        <f t="shared" si="15"/>
        <v>1</v>
      </c>
      <c r="AB36" s="1353">
        <f t="shared" si="16"/>
        <v>1</v>
      </c>
      <c r="AC36" s="1353">
        <f t="shared" si="17"/>
        <v>1</v>
      </c>
    </row>
    <row r="37" spans="1:29" s="40" customFormat="1" ht="15">
      <c r="A37" s="1039"/>
      <c r="B37" s="12"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7" t="str">
        <f t="shared" si="11"/>
        <v>成新度</v>
      </c>
      <c r="R37" s="1340" t="s">
        <v>104</v>
      </c>
      <c r="S37" s="1341">
        <f t="shared" si="12"/>
        <v>100</v>
      </c>
      <c r="T37" s="1340" t="s">
        <v>104</v>
      </c>
      <c r="U37" s="1341">
        <f t="shared" si="13"/>
        <v>100</v>
      </c>
      <c r="V37" s="1340" t="s">
        <v>104</v>
      </c>
      <c r="W37" s="1341">
        <f t="shared" si="14"/>
        <v>100</v>
      </c>
      <c r="X37" s="286"/>
      <c r="Y37" s="3688"/>
      <c r="Z37" s="287" t="str">
        <f t="shared" si="18"/>
        <v>成新度</v>
      </c>
      <c r="AA37" s="1342">
        <f t="shared" si="15"/>
        <v>1</v>
      </c>
      <c r="AB37" s="1342">
        <f t="shared" si="16"/>
        <v>1</v>
      </c>
      <c r="AC37" s="1342">
        <f t="shared" si="17"/>
        <v>1</v>
      </c>
    </row>
    <row r="38" spans="1:29" ht="15">
      <c r="A38" s="160"/>
      <c r="B38" s="12"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1349" t="str">
        <f t="shared" si="11"/>
        <v>物业管理</v>
      </c>
      <c r="R38" s="1350" t="s">
        <v>104</v>
      </c>
      <c r="S38" s="1351">
        <f t="shared" si="12"/>
        <v>100</v>
      </c>
      <c r="T38" s="1350" t="s">
        <v>104</v>
      </c>
      <c r="U38" s="1351">
        <f t="shared" si="13"/>
        <v>100</v>
      </c>
      <c r="V38" s="1350" t="s">
        <v>104</v>
      </c>
      <c r="W38" s="1351">
        <f t="shared" si="14"/>
        <v>100</v>
      </c>
      <c r="X38" s="1338"/>
      <c r="Y38" s="3688" t="s">
        <v>70</v>
      </c>
      <c r="Z38" s="1352" t="str">
        <f t="shared" si="18"/>
        <v>物业管理</v>
      </c>
      <c r="AA38" s="1353">
        <f t="shared" si="15"/>
        <v>1</v>
      </c>
      <c r="AB38" s="1353">
        <f t="shared" si="16"/>
        <v>1</v>
      </c>
      <c r="AC38" s="1353">
        <f t="shared" si="17"/>
        <v>1</v>
      </c>
    </row>
    <row r="39" spans="1:29" ht="15">
      <c r="A39" s="160"/>
      <c r="B39" s="12"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1349" t="str">
        <f t="shared" si="11"/>
        <v>市政基础设施</v>
      </c>
      <c r="R39" s="1350" t="s">
        <v>104</v>
      </c>
      <c r="S39" s="1351">
        <f t="shared" si="12"/>
        <v>100</v>
      </c>
      <c r="T39" s="1350" t="s">
        <v>104</v>
      </c>
      <c r="U39" s="1351">
        <f t="shared" si="13"/>
        <v>100</v>
      </c>
      <c r="V39" s="1350" t="s">
        <v>104</v>
      </c>
      <c r="W39" s="1351">
        <f t="shared" si="14"/>
        <v>100</v>
      </c>
      <c r="X39" s="1338"/>
      <c r="Y39" s="3688"/>
      <c r="Z39" s="1352" t="str">
        <f t="shared" si="18"/>
        <v>市政基础设施</v>
      </c>
      <c r="AA39" s="1353">
        <f t="shared" si="15"/>
        <v>1</v>
      </c>
      <c r="AB39" s="1353">
        <f t="shared" si="16"/>
        <v>1</v>
      </c>
      <c r="AC39" s="1353">
        <f t="shared" si="17"/>
        <v>1</v>
      </c>
    </row>
    <row r="40" spans="1:29" ht="15" hidden="1">
      <c r="A40" s="160"/>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1349" t="str">
        <f t="shared" si="11"/>
        <v>房型</v>
      </c>
      <c r="R40" s="1350" t="s">
        <v>104</v>
      </c>
      <c r="S40" s="1351">
        <f t="shared" si="12"/>
        <v>100</v>
      </c>
      <c r="T40" s="1350" t="s">
        <v>104</v>
      </c>
      <c r="U40" s="1351">
        <f t="shared" si="13"/>
        <v>100</v>
      </c>
      <c r="V40" s="1350" t="s">
        <v>104</v>
      </c>
      <c r="W40" s="1351">
        <f t="shared" si="14"/>
        <v>100</v>
      </c>
      <c r="X40" s="1338"/>
      <c r="Y40" s="3688"/>
      <c r="Z40" s="1352" t="str">
        <f t="shared" si="18"/>
        <v>房型</v>
      </c>
      <c r="AA40" s="1353">
        <f t="shared" si="15"/>
        <v>1</v>
      </c>
      <c r="AB40" s="1353">
        <f t="shared" si="16"/>
        <v>1</v>
      </c>
      <c r="AC40" s="1353">
        <f t="shared" si="17"/>
        <v>1</v>
      </c>
    </row>
    <row r="41" spans="1:29" s="1037" customFormat="1" ht="27" hidden="1">
      <c r="A41" s="1041"/>
      <c r="B41" s="12"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1353">
        <f t="shared" si="15"/>
        <v>1</v>
      </c>
      <c r="AB41" s="1353">
        <f t="shared" si="16"/>
        <v>1</v>
      </c>
      <c r="AC41" s="1353">
        <f t="shared" si="17"/>
        <v>1</v>
      </c>
    </row>
    <row r="42" spans="1:29" ht="15">
      <c r="A42" s="160"/>
      <c r="B42" s="12"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86"/>
      <c r="Q42" s="1349" t="str">
        <f t="shared" si="11"/>
        <v>内部装修</v>
      </c>
      <c r="R42" s="1350" t="s">
        <v>104</v>
      </c>
      <c r="S42" s="1351">
        <f t="shared" si="12"/>
        <v>91</v>
      </c>
      <c r="T42" s="1350" t="s">
        <v>104</v>
      </c>
      <c r="U42" s="1351">
        <f t="shared" si="13"/>
        <v>100</v>
      </c>
      <c r="V42" s="1350" t="s">
        <v>104</v>
      </c>
      <c r="W42" s="1351">
        <f t="shared" si="14"/>
        <v>91</v>
      </c>
      <c r="X42" s="1338"/>
      <c r="Y42" s="3688"/>
      <c r="Z42" s="1352" t="str">
        <f t="shared" si="18"/>
        <v>内部装修</v>
      </c>
      <c r="AA42" s="1353">
        <f t="shared" si="15"/>
        <v>1.098901098901099</v>
      </c>
      <c r="AB42" s="1353">
        <f t="shared" si="16"/>
        <v>1</v>
      </c>
      <c r="AC42" s="1353">
        <f t="shared" si="17"/>
        <v>1.098901098901099</v>
      </c>
    </row>
    <row r="43" spans="1:29" ht="27">
      <c r="A43" s="160"/>
      <c r="B43" s="12"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1349" t="str">
        <f t="shared" si="11"/>
        <v>内部装修维护情况</v>
      </c>
      <c r="R43" s="1350" t="s">
        <v>104</v>
      </c>
      <c r="S43" s="1351">
        <f t="shared" si="12"/>
        <v>100</v>
      </c>
      <c r="T43" s="1350" t="s">
        <v>104</v>
      </c>
      <c r="U43" s="1351">
        <f t="shared" si="13"/>
        <v>100</v>
      </c>
      <c r="V43" s="1350" t="s">
        <v>104</v>
      </c>
      <c r="W43" s="1351">
        <f t="shared" si="14"/>
        <v>100</v>
      </c>
      <c r="X43" s="1338"/>
      <c r="Y43" s="3688"/>
      <c r="Z43" s="1352" t="str">
        <f t="shared" si="18"/>
        <v>内部装修维护情况</v>
      </c>
      <c r="AA43" s="1353">
        <f t="shared" si="15"/>
        <v>1</v>
      </c>
      <c r="AB43" s="1353">
        <f t="shared" si="16"/>
        <v>1</v>
      </c>
      <c r="AC43" s="1353">
        <f t="shared" si="17"/>
        <v>1</v>
      </c>
    </row>
    <row r="44" spans="1:29" s="40" customFormat="1" ht="15" thickBot="1">
      <c r="A44" s="1039"/>
      <c r="B44" s="1355" t="s">
        <v>3083</v>
      </c>
      <c r="C44" s="1356" t="s">
        <v>3105</v>
      </c>
      <c r="D44" s="424">
        <v>100</v>
      </c>
      <c r="E44" s="1356" t="s">
        <v>3104</v>
      </c>
      <c r="F44" s="766">
        <f>SUMIF(126:126,E44,127:127)-SUMIF(126:126,C44,127:127)+100</f>
        <v>105</v>
      </c>
      <c r="G44" s="1356" t="s">
        <v>3105</v>
      </c>
      <c r="H44" s="424">
        <f>SUMIF(126:126,G44,127:127)-SUMIF(126:126,C44,127:127)+100</f>
        <v>100</v>
      </c>
      <c r="I44" s="1356" t="s">
        <v>3105</v>
      </c>
      <c r="J44" s="424">
        <f>SUMIF(126:126,I44,127:127)-SUMIF(126:126,C44,127:127)+100</f>
        <v>100</v>
      </c>
      <c r="K44" s="152"/>
      <c r="L44" s="2296"/>
      <c r="M44" s="2258"/>
      <c r="N44" s="2258"/>
      <c r="O44" s="2258"/>
      <c r="P44" s="3686"/>
      <c r="Q44" s="7" t="str">
        <f t="shared" si="11"/>
        <v>赠送面积</v>
      </c>
      <c r="R44" s="1340" t="s">
        <v>104</v>
      </c>
      <c r="S44" s="1341">
        <f t="shared" si="12"/>
        <v>105</v>
      </c>
      <c r="T44" s="1340" t="s">
        <v>104</v>
      </c>
      <c r="U44" s="1341">
        <f t="shared" si="13"/>
        <v>100</v>
      </c>
      <c r="V44" s="1340" t="s">
        <v>104</v>
      </c>
      <c r="W44" s="1341">
        <f t="shared" si="14"/>
        <v>100</v>
      </c>
      <c r="X44" s="286"/>
      <c r="Y44" s="3688"/>
      <c r="Z44" s="287" t="str">
        <f t="shared" si="18"/>
        <v>赠送面积</v>
      </c>
      <c r="AA44" s="1342">
        <f t="shared" si="15"/>
        <v>0.95238095238095233</v>
      </c>
      <c r="AB44" s="1342">
        <f t="shared" si="16"/>
        <v>1</v>
      </c>
      <c r="AC44" s="1342">
        <f t="shared" si="17"/>
        <v>1</v>
      </c>
    </row>
    <row r="45" spans="1:29" ht="14.25" hidden="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1349">
        <f t="shared" si="11"/>
        <v>111</v>
      </c>
      <c r="R45" s="1350" t="s">
        <v>104</v>
      </c>
      <c r="S45" s="1351">
        <f t="shared" si="12"/>
        <v>100</v>
      </c>
      <c r="T45" s="1350" t="s">
        <v>104</v>
      </c>
      <c r="U45" s="1351">
        <f t="shared" si="13"/>
        <v>100</v>
      </c>
      <c r="V45" s="1350" t="s">
        <v>104</v>
      </c>
      <c r="W45" s="1351">
        <f t="shared" si="14"/>
        <v>100</v>
      </c>
      <c r="X45" s="1338"/>
      <c r="Y45" s="3688"/>
      <c r="Z45" s="1352">
        <f t="shared" si="18"/>
        <v>111</v>
      </c>
      <c r="AA45" s="1353">
        <f t="shared" si="15"/>
        <v>1</v>
      </c>
      <c r="AB45" s="1353">
        <f t="shared" si="16"/>
        <v>1</v>
      </c>
      <c r="AC45" s="1353">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1349">
        <f t="shared" si="11"/>
        <v>111</v>
      </c>
      <c r="R46" s="1350" t="s">
        <v>103</v>
      </c>
      <c r="S46" s="1351">
        <f t="shared" si="12"/>
        <v>100</v>
      </c>
      <c r="T46" s="1350" t="s">
        <v>103</v>
      </c>
      <c r="U46" s="1351">
        <f t="shared" si="13"/>
        <v>100</v>
      </c>
      <c r="V46" s="1350" t="s">
        <v>103</v>
      </c>
      <c r="W46" s="1351">
        <f t="shared" si="14"/>
        <v>100</v>
      </c>
      <c r="X46" s="1338"/>
      <c r="Y46" s="3689"/>
      <c r="Z46" s="1352">
        <f t="shared" si="18"/>
        <v>111</v>
      </c>
      <c r="AA46" s="1353">
        <f t="shared" si="15"/>
        <v>1</v>
      </c>
      <c r="AB46" s="1353">
        <f t="shared" si="16"/>
        <v>1</v>
      </c>
      <c r="AC46" s="1353">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90" t="str">
        <f>A47</f>
        <v>成交单价（元/平方米）</v>
      </c>
      <c r="Q47" s="3690"/>
      <c r="R47" s="3691">
        <f>E47</f>
        <v>12826</v>
      </c>
      <c r="S47" s="3691"/>
      <c r="T47" s="3691">
        <f>G47</f>
        <v>13433</v>
      </c>
      <c r="U47" s="3691"/>
      <c r="V47" s="3691">
        <f>I47</f>
        <v>10945</v>
      </c>
      <c r="W47" s="3691"/>
      <c r="X47" s="1363"/>
      <c r="Y47" s="1364"/>
      <c r="Z47" s="1363"/>
      <c r="AA47" s="1363"/>
      <c r="AB47" s="1363"/>
      <c r="AC47" s="1363"/>
    </row>
    <row r="48" spans="1:29" ht="15.75" thickBot="1">
      <c r="A48" s="164" t="s">
        <v>100</v>
      </c>
      <c r="B48" s="165"/>
      <c r="C48" s="2837">
        <f>R49</f>
        <v>12465</v>
      </c>
      <c r="D48" s="2838"/>
      <c r="E48" s="2839">
        <f>R48</f>
        <v>13160</v>
      </c>
      <c r="F48" s="2839"/>
      <c r="G48" s="2837">
        <f>T48</f>
        <v>12786</v>
      </c>
      <c r="H48" s="2838"/>
      <c r="I48" s="2839">
        <f>V48</f>
        <v>11448</v>
      </c>
      <c r="J48" s="2838"/>
      <c r="K48" s="1365"/>
      <c r="L48" s="2302"/>
      <c r="M48" s="2303"/>
      <c r="N48" s="2303"/>
      <c r="O48" s="2303"/>
      <c r="P48" s="3690" t="str">
        <f>A48</f>
        <v>比较价值（元/平方米）</v>
      </c>
      <c r="Q48" s="3690"/>
      <c r="R48" s="3691">
        <f>IF(F1="售价",ROUND(PRODUCT(R47,AA7:AA46),0),ROUND(PRODUCT(R47,AA7:AA46),1))</f>
        <v>13160</v>
      </c>
      <c r="S48" s="3691"/>
      <c r="T48" s="3691">
        <f>IF(F1="售价",ROUND(PRODUCT(T47,AB7:AB46),0),ROUND(PRODUCT(T47,AB7:AB46),1))</f>
        <v>12786</v>
      </c>
      <c r="U48" s="3691"/>
      <c r="V48" s="3691">
        <f>IF(F1="售价",ROUND(PRODUCT(V47,AC7:AC46),0),ROUND(PRODUCT(V47,AC7:AC46),1))</f>
        <v>11448</v>
      </c>
      <c r="W48" s="3691"/>
      <c r="X48" s="1363"/>
      <c r="Y48" s="1363"/>
      <c r="Z48" s="1363"/>
      <c r="AA48" s="1363"/>
      <c r="AB48" s="1363"/>
      <c r="AC48" s="1363"/>
    </row>
    <row r="49" spans="1:29" ht="15.75" thickBot="1">
      <c r="A49" s="114" t="s">
        <v>3018</v>
      </c>
      <c r="B49" s="115"/>
      <c r="C49" s="2840">
        <f>R49</f>
        <v>12465</v>
      </c>
      <c r="D49" s="2841"/>
      <c r="E49" s="2841"/>
      <c r="F49" s="2841"/>
      <c r="G49" s="2841"/>
      <c r="H49" s="2841"/>
      <c r="I49" s="2841"/>
      <c r="J49" s="2841"/>
      <c r="K49" s="1366"/>
      <c r="L49" s="2302"/>
      <c r="M49" s="2303"/>
      <c r="N49" s="2303"/>
      <c r="O49" s="2303"/>
      <c r="P49" s="3692" t="str">
        <f>A49</f>
        <v>估价对象XX用房的比较价值（楼面单价，元/平方米）</v>
      </c>
      <c r="Q49" s="3693"/>
      <c r="R49" s="3694">
        <f>IF(F1="售价",ROUND(AVERAGE(R48:V48),0),ROUND(AVERAGE(R48:V48),1))</f>
        <v>12465</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f>IF(E47&lt;E48,E48/E47-1,E47/E48-1)</f>
        <v>2.6040854514267853E-2</v>
      </c>
      <c r="F52" s="841" t="str">
        <f>IF(OR(E52&gt;=0.3,E52&lt;=-0.3),"超过30%","")</f>
        <v/>
      </c>
      <c r="G52" s="840">
        <f>IF(G47&lt;G48,G48/G47-1,G47/G48-1)</f>
        <v>5.0602221179415041E-2</v>
      </c>
      <c r="H52" s="841" t="str">
        <f>IF(OR(G52&gt;=0.3,G52&lt;=-0.3),"超过30%","")</f>
        <v/>
      </c>
      <c r="I52" s="840">
        <f>IF(I47&lt;I48,I48/I47-1,I47/I48-1)</f>
        <v>4.5957058017359609E-2</v>
      </c>
      <c r="J52" s="841" t="str">
        <f>IF(OR(I52&gt;=0.3,I52&lt;=-0.3),"超过30%","")</f>
        <v/>
      </c>
      <c r="K52" s="2304"/>
      <c r="L52" s="2305"/>
      <c r="M52" s="2303"/>
      <c r="N52" s="2303"/>
      <c r="O52" s="2303"/>
    </row>
    <row r="53" spans="1:29" ht="13.5" customHeight="1">
      <c r="A53" s="2303"/>
      <c r="B53" s="2303"/>
      <c r="C53" s="838" t="s">
        <v>1004</v>
      </c>
      <c r="D53" s="842"/>
      <c r="E53" s="840">
        <f>IF(E48&lt;G48,G48/E48-1,E48/G48-1)</f>
        <v>2.9250743000156509E-2</v>
      </c>
      <c r="F53" s="841" t="str">
        <f>IF(OR(E53&gt;=0.2,E53&lt;=-0.2),"超过20%","")</f>
        <v/>
      </c>
      <c r="G53" s="840">
        <f>IF(G48&lt;I48,I48/G48-1,G48/I48-1)</f>
        <v>0.11687631027253675</v>
      </c>
      <c r="H53" s="841" t="str">
        <f>IF(OR(G53&gt;=0.2,G53&lt;=-0.2),"超过20%","")</f>
        <v/>
      </c>
      <c r="I53" s="840">
        <f>IF(I48&lt;E48,E48/I48-1,I48/E48-1)</f>
        <v>0.14954577218728171</v>
      </c>
      <c r="J53" s="841" t="str">
        <f>IF(OR(I53&gt;=0.2,I53&lt;=-0.2),"超过20%","")</f>
        <v/>
      </c>
      <c r="K53" s="2304"/>
      <c r="L53" s="2305"/>
      <c r="M53" s="2303"/>
      <c r="N53" s="2303"/>
      <c r="O53" s="2303"/>
    </row>
    <row r="54" spans="1:29" s="118" customFormat="1" ht="13.5" customHeight="1">
      <c r="A54" s="2308"/>
      <c r="B54" s="2308"/>
      <c r="C54" s="838" t="s">
        <v>1005</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2798</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1013</v>
      </c>
      <c r="D78" s="919" t="s">
        <v>1014</v>
      </c>
      <c r="E78" s="919" t="s">
        <v>1015</v>
      </c>
      <c r="F78" s="919" t="s">
        <v>1016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1013</v>
      </c>
      <c r="D80" s="919" t="s">
        <v>1014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2648</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3102</v>
      </c>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3096</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2311</v>
      </c>
      <c r="J143" s="2161">
        <v>15</v>
      </c>
      <c r="K143" s="2168">
        <f>ROUND(100+(J143-J140)*K139*100,1)</f>
        <v>102</v>
      </c>
    </row>
    <row r="144" spans="1:17" ht="15">
      <c r="B144" s="2160">
        <v>1</v>
      </c>
      <c r="C144" s="2161">
        <v>98</v>
      </c>
      <c r="D144" s="1158" t="s">
        <v>2312</v>
      </c>
      <c r="E144" s="2163">
        <v>102</v>
      </c>
      <c r="F144" s="2170">
        <v>100</v>
      </c>
      <c r="G144" s="1158" t="s">
        <v>2312</v>
      </c>
      <c r="H144" s="2165">
        <v>105</v>
      </c>
      <c r="I144" s="2166" t="s">
        <v>2311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2315</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2010</v>
      </c>
    </row>
    <row r="2" spans="1:1">
      <c r="A2" s="1945"/>
    </row>
    <row r="3" spans="1:1" ht="18.75">
      <c r="A3" s="2884" t="str">
        <f>项目基本情况!B5&amp;"："</f>
        <v>西安绿德置业有限公司：</v>
      </c>
    </row>
    <row r="4" spans="1:1" ht="37.5">
      <c r="A4" s="1946" t="str">
        <f>"受贵公司委托，我公司对"&amp;项目基本情况!S1&amp;"进行了预评估。"</f>
        <v>受贵公司委托，我公司对陕西省西安市西安曲江新区南三环以北、公园南路以西出让国有建设用地使用权及在建建筑物房地产抵押价值进行了预评估。</v>
      </c>
    </row>
    <row r="5" spans="1:1" ht="18.75">
      <c r="A5" s="1947" t="s">
        <v>2011</v>
      </c>
    </row>
    <row r="6" spans="1:1" ht="18.75">
      <c r="A6" s="3049" t="s">
        <v>2871</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西安曲江新区南三环以北、公园南路以西出让国有建设用地使用权及在建建筑物房地产，为西安绿德置业有限公司所有。根据，估价对象（分摊）出让国有建设用地使用权面积为14746.3平方米，建筑面积为62458.42平方米。</v>
      </c>
    </row>
    <row r="8" spans="1:1" ht="56.25">
      <c r="A8" s="1990" t="s">
        <v>2865</v>
      </c>
    </row>
    <row r="9" spans="1:1" ht="18.75">
      <c r="A9" s="3049" t="s">
        <v>2872</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14746.3平方米，规划建筑面积为62458.42平方米。</v>
      </c>
    </row>
    <row r="11" spans="1:1" ht="75">
      <c r="A11" s="1990" t="s">
        <v>2906</v>
      </c>
    </row>
    <row r="12" spans="1:1" ht="18.75">
      <c r="A12" s="1947" t="s">
        <v>2012</v>
      </c>
    </row>
    <row r="13" spans="1:1" ht="38.25" customHeight="1">
      <c r="A13" s="1948" t="str">
        <f>IF(项目基本情况!B8="抵押",IF(项目基本情况!B5=项目基本情况!B6,定义!C51,定义!B51),定义!D51)</f>
        <v>为估价委托人在向五矿国际信托有限公司办理贷款手续过程中，确定房地产抵押贷款额度提供参考依据而评估房地产抵押价值。</v>
      </c>
    </row>
    <row r="14" spans="1:1" ht="18.75">
      <c r="A14" s="1949" t="s">
        <v>2013</v>
      </c>
    </row>
    <row r="15" spans="1:1" ht="18.75">
      <c r="A15" s="1950" t="str">
        <f>TEXT(项目基本情况!D3,"yyyy年m月d日;;")&amp;IF(项目基本情况!D3=项目基本情况!B3,"（评估专业人员实地查勘之日）","")</f>
        <v>2017年8月30日（评估专业人员实地查勘之日）</v>
      </c>
    </row>
    <row r="16" spans="1:1" ht="18.75">
      <c r="A16" s="1949" t="s">
        <v>2015</v>
      </c>
    </row>
    <row r="17" spans="1:1" ht="75">
      <c r="A17" s="1946" t="s">
        <v>2866</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2030</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2110</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33" sqref="L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2" t="e">
        <f ca="1">IF(C2="——",ROUND(C49*D3/10000,0),ROUND(C49*D3/10000,0)-D2)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1" t="s">
        <v>168</v>
      </c>
      <c r="D3" s="740">
        <f>IF(D1="",'数据-汇总表'!E3,SUMIF('数据-汇总表'!$C19:$C33,D1,'数据-汇总表'!$E19:$E33))</f>
        <v>62458.42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2" t="s">
        <v>53</v>
      </c>
      <c r="B4" s="143"/>
      <c r="C4" s="3652" t="s">
        <v>54</v>
      </c>
      <c r="D4" s="3653"/>
      <c r="E4" s="3654" t="s">
        <v>55</v>
      </c>
      <c r="F4" s="3655"/>
      <c r="G4" s="3652" t="s">
        <v>56</v>
      </c>
      <c r="H4" s="3653"/>
      <c r="I4" s="3652" t="s">
        <v>57</v>
      </c>
      <c r="J4" s="3653"/>
      <c r="K4" s="186" t="s">
        <v>58</v>
      </c>
      <c r="L4" s="2294"/>
      <c r="M4" s="2295"/>
      <c r="N4" s="2295"/>
      <c r="O4" s="2295"/>
      <c r="P4" s="3656" t="s">
        <v>53</v>
      </c>
      <c r="Q4" s="3657"/>
      <c r="R4" s="3662" t="s">
        <v>55</v>
      </c>
      <c r="S4" s="3663"/>
      <c r="T4" s="3662" t="s">
        <v>56</v>
      </c>
      <c r="U4" s="3663"/>
      <c r="V4" s="3676" t="s">
        <v>57</v>
      </c>
      <c r="W4" s="3676"/>
      <c r="X4" s="1338"/>
      <c r="Y4" s="3662" t="s">
        <v>53</v>
      </c>
      <c r="Z4" s="3663"/>
      <c r="AA4" s="3649" t="s">
        <v>55</v>
      </c>
      <c r="AB4" s="3676" t="s">
        <v>56</v>
      </c>
      <c r="AC4" s="3649" t="s">
        <v>57</v>
      </c>
    </row>
    <row r="5" spans="1:29">
      <c r="A5" s="145"/>
      <c r="B5" s="146"/>
      <c r="C5" s="3666" t="s">
        <v>59</v>
      </c>
      <c r="D5" s="3667"/>
      <c r="E5" s="3668" t="s">
        <v>60</v>
      </c>
      <c r="F5" s="3669"/>
      <c r="G5" s="3666" t="s">
        <v>61</v>
      </c>
      <c r="H5" s="3667"/>
      <c r="I5" s="3666" t="s">
        <v>62</v>
      </c>
      <c r="J5" s="3667"/>
      <c r="K5" s="186"/>
      <c r="L5" s="2294"/>
      <c r="M5" s="2295"/>
      <c r="N5" s="2295"/>
      <c r="O5" s="2295"/>
      <c r="P5" s="3658"/>
      <c r="Q5" s="3659"/>
      <c r="R5" s="3664"/>
      <c r="S5" s="3665"/>
      <c r="T5" s="3664"/>
      <c r="U5" s="3665"/>
      <c r="V5" s="3676"/>
      <c r="W5" s="3676"/>
      <c r="X5" s="1338"/>
      <c r="Y5" s="3664"/>
      <c r="Z5" s="3665"/>
      <c r="AA5" s="3650"/>
      <c r="AB5" s="3676"/>
      <c r="AC5" s="3650"/>
    </row>
    <row r="6" spans="1:29" ht="14.25" thickBot="1">
      <c r="A6" s="147"/>
      <c r="B6" s="148"/>
      <c r="C6" s="3670" t="s">
        <v>63</v>
      </c>
      <c r="D6" s="3671"/>
      <c r="E6" s="3672" t="s">
        <v>63</v>
      </c>
      <c r="F6" s="3673"/>
      <c r="G6" s="3670" t="s">
        <v>63</v>
      </c>
      <c r="H6" s="3671"/>
      <c r="I6" s="3670" t="s">
        <v>63</v>
      </c>
      <c r="J6" s="3671"/>
      <c r="K6" s="186" t="s">
        <v>117</v>
      </c>
      <c r="L6" s="2294"/>
      <c r="M6" s="2295"/>
      <c r="N6" s="2295"/>
      <c r="O6" s="2295"/>
      <c r="P6" s="3660"/>
      <c r="Q6" s="3661"/>
      <c r="R6" s="3664"/>
      <c r="S6" s="3665"/>
      <c r="T6" s="3674"/>
      <c r="U6" s="3675"/>
      <c r="V6" s="3676"/>
      <c r="W6" s="3676"/>
      <c r="X6" s="1338"/>
      <c r="Y6" s="3674"/>
      <c r="Z6" s="3675"/>
      <c r="AA6" s="3651"/>
      <c r="AB6" s="3676"/>
      <c r="AC6" s="3651"/>
    </row>
    <row r="7" spans="1:29" s="40" customFormat="1" ht="15" thickBot="1">
      <c r="A7" s="1012" t="s">
        <v>64</v>
      </c>
      <c r="B7" s="1013"/>
      <c r="C7" s="1014">
        <f>'数据-取费表'!B2</f>
        <v>42977</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77" t="s">
        <v>64</v>
      </c>
      <c r="Q7" s="3678"/>
      <c r="R7" s="1340" t="s">
        <v>65</v>
      </c>
      <c r="S7" s="1341">
        <f t="shared" ref="S7:S15" si="0">F7</f>
        <v>0</v>
      </c>
      <c r="T7" s="1340" t="s">
        <v>65</v>
      </c>
      <c r="U7" s="1341">
        <f t="shared" ref="U7:U15" si="1">H7</f>
        <v>0</v>
      </c>
      <c r="V7" s="1340" t="s">
        <v>65</v>
      </c>
      <c r="W7" s="1341">
        <f t="shared" ref="W7:W15" si="2">J7</f>
        <v>0</v>
      </c>
      <c r="X7" s="286"/>
      <c r="Y7" s="3677" t="s">
        <v>64</v>
      </c>
      <c r="Z7" s="367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77" t="s">
        <v>1018</v>
      </c>
      <c r="Q8" s="3679"/>
      <c r="R8" s="1340" t="s">
        <v>65</v>
      </c>
      <c r="S8" s="1341">
        <f t="shared" si="0"/>
        <v>0</v>
      </c>
      <c r="T8" s="1340" t="s">
        <v>65</v>
      </c>
      <c r="U8" s="1341">
        <f t="shared" si="1"/>
        <v>0</v>
      </c>
      <c r="V8" s="1340" t="s">
        <v>65</v>
      </c>
      <c r="W8" s="1341">
        <f t="shared" si="2"/>
        <v>0</v>
      </c>
      <c r="X8" s="286"/>
      <c r="Y8" s="3677" t="s">
        <v>1018</v>
      </c>
      <c r="Z8" s="3679"/>
      <c r="AA8" s="1342" t="e">
        <f t="shared" ref="AA8:AA46" si="3">D8/F8</f>
        <v>#DIV/0!</v>
      </c>
      <c r="AB8" s="1342" t="e">
        <f t="shared" ref="AB8:AB46" si="4">D8/H8</f>
        <v>#DIV/0!</v>
      </c>
      <c r="AC8" s="1342" t="e">
        <f t="shared" ref="AC8:AC46" si="5">D8/J8</f>
        <v>#DIV/0!</v>
      </c>
    </row>
    <row r="9" spans="1:29" s="40" customFormat="1" ht="14.25">
      <c r="A9" s="1019" t="s">
        <v>1019</v>
      </c>
      <c r="B9" s="62" t="s">
        <v>1020</v>
      </c>
      <c r="C9" s="1344"/>
      <c r="D9" s="423">
        <v>100</v>
      </c>
      <c r="E9" s="1345"/>
      <c r="F9" s="759">
        <f>SUMIF(63:63,E9,64:64)-SUMIF(63:63,C9,64:64)+100</f>
        <v>100</v>
      </c>
      <c r="G9" s="1345"/>
      <c r="H9" s="423">
        <f>SUMIF(63:63,G9,64:64)-SUMIF(63:63,C9,64:64)+100</f>
        <v>100</v>
      </c>
      <c r="I9" s="1345"/>
      <c r="J9" s="423">
        <f>SUMIF(63:63,I9,64:64)-SUMIF(63:63,C9,64:64)+100</f>
        <v>100</v>
      </c>
      <c r="K9" s="1017"/>
      <c r="L9" s="2296"/>
      <c r="M9" s="2258"/>
      <c r="N9" s="2258"/>
      <c r="O9" s="2258"/>
      <c r="P9" s="368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7"/>
      <c r="M10" s="2298"/>
      <c r="N10" s="2298"/>
      <c r="O10" s="2298"/>
      <c r="P10" s="368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
      <c r="A11" s="150"/>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80"/>
      <c r="Q11" s="7" t="str">
        <f t="shared" si="6"/>
        <v>容积率</v>
      </c>
      <c r="R11" s="1340" t="s">
        <v>65</v>
      </c>
      <c r="S11" s="1341" t="e">
        <f t="shared" si="0"/>
        <v>#N/A</v>
      </c>
      <c r="T11" s="1340" t="s">
        <v>65</v>
      </c>
      <c r="U11" s="1341" t="e">
        <f t="shared" si="1"/>
        <v>#N/A</v>
      </c>
      <c r="V11" s="1340" t="s">
        <v>65</v>
      </c>
      <c r="W11" s="1341" t="e">
        <f t="shared" si="2"/>
        <v>#N/A</v>
      </c>
      <c r="X11" s="286"/>
      <c r="Y11" s="344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7"/>
      <c r="L12" s="2296"/>
      <c r="M12" s="2258"/>
      <c r="N12" s="2258"/>
      <c r="O12" s="2258"/>
      <c r="P12" s="3680"/>
      <c r="Q12" s="7">
        <f t="shared" si="6"/>
        <v>111</v>
      </c>
      <c r="R12" s="1340" t="s">
        <v>65</v>
      </c>
      <c r="S12" s="1341">
        <f t="shared" si="0"/>
        <v>100</v>
      </c>
      <c r="T12" s="1340" t="s">
        <v>65</v>
      </c>
      <c r="U12" s="1341">
        <f t="shared" si="1"/>
        <v>100</v>
      </c>
      <c r="V12" s="1340" t="s">
        <v>65</v>
      </c>
      <c r="W12" s="1341">
        <f t="shared" si="2"/>
        <v>100</v>
      </c>
      <c r="X12" s="286"/>
      <c r="Y12" s="3445"/>
      <c r="Z12" s="287">
        <f t="shared" si="7"/>
        <v>111</v>
      </c>
      <c r="AA12" s="1342">
        <f>D12/F12</f>
        <v>1</v>
      </c>
      <c r="AB12" s="1342">
        <f>D12/H12</f>
        <v>1</v>
      </c>
      <c r="AC12" s="1342">
        <f>D12/J12</f>
        <v>1</v>
      </c>
    </row>
    <row r="13" spans="1:29" ht="14.25">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87"/>
      <c r="L13" s="2300"/>
      <c r="M13" s="2295"/>
      <c r="N13" s="2295"/>
      <c r="O13" s="2295"/>
      <c r="P13" s="3680"/>
      <c r="Q13" s="7">
        <f t="shared" si="6"/>
        <v>111</v>
      </c>
      <c r="R13" s="1340" t="s">
        <v>65</v>
      </c>
      <c r="S13" s="1341">
        <f t="shared" si="0"/>
        <v>100</v>
      </c>
      <c r="T13" s="1340" t="s">
        <v>65</v>
      </c>
      <c r="U13" s="1341">
        <f t="shared" si="1"/>
        <v>100</v>
      </c>
      <c r="V13" s="1340" t="s">
        <v>65</v>
      </c>
      <c r="W13" s="1341">
        <f t="shared" si="2"/>
        <v>100</v>
      </c>
      <c r="X13" s="286"/>
      <c r="Y13" s="3445"/>
      <c r="Z13" s="287">
        <f t="shared" si="7"/>
        <v>111</v>
      </c>
      <c r="AA13" s="1342">
        <f t="shared" si="3"/>
        <v>1</v>
      </c>
      <c r="AB13" s="1342">
        <f t="shared" si="4"/>
        <v>1</v>
      </c>
      <c r="AC13" s="1342">
        <f t="shared" si="5"/>
        <v>1</v>
      </c>
    </row>
    <row r="14" spans="1:29" ht="15" thickBot="1">
      <c r="A14" s="153"/>
      <c r="B14" s="1030">
        <v>111</v>
      </c>
      <c r="C14" s="94"/>
      <c r="D14" s="779">
        <v>100</v>
      </c>
      <c r="E14" s="93"/>
      <c r="F14" s="780">
        <f>SUMIF(74:74,E14,75:75)-SUMIF(74:74,C14,75:75)+100</f>
        <v>100</v>
      </c>
      <c r="G14" s="93"/>
      <c r="H14" s="779">
        <f>SUMIF(74:74,G14,75:75)-SUMIF(74:74,C14,75:75)+100</f>
        <v>100</v>
      </c>
      <c r="I14" s="93"/>
      <c r="J14" s="779">
        <f>SUMIF(74:74,I14,75:75)-SUMIF(74:74,C14,75:75)+100</f>
        <v>100</v>
      </c>
      <c r="K14" s="187"/>
      <c r="L14" s="2300"/>
      <c r="M14" s="2295"/>
      <c r="N14" s="2295"/>
      <c r="O14" s="2295"/>
      <c r="P14" s="3680"/>
      <c r="Q14" s="7">
        <f t="shared" si="6"/>
        <v>111</v>
      </c>
      <c r="R14" s="1340" t="s">
        <v>65</v>
      </c>
      <c r="S14" s="1341">
        <f t="shared" si="0"/>
        <v>100</v>
      </c>
      <c r="T14" s="1340" t="s">
        <v>65</v>
      </c>
      <c r="U14" s="1341">
        <f t="shared" si="1"/>
        <v>100</v>
      </c>
      <c r="V14" s="1340" t="s">
        <v>65</v>
      </c>
      <c r="W14" s="1341">
        <f t="shared" si="2"/>
        <v>100</v>
      </c>
      <c r="X14" s="286"/>
      <c r="Y14" s="3445"/>
      <c r="Z14" s="287">
        <f t="shared" si="7"/>
        <v>111</v>
      </c>
      <c r="AA14" s="1342">
        <f t="shared" si="3"/>
        <v>1</v>
      </c>
      <c r="AB14" s="1342">
        <f t="shared" si="4"/>
        <v>1</v>
      </c>
      <c r="AC14" s="1342">
        <f t="shared" si="5"/>
        <v>1</v>
      </c>
    </row>
    <row r="15" spans="1:29" ht="67.5">
      <c r="A15" s="154" t="s">
        <v>69</v>
      </c>
      <c r="B15" s="58" t="s">
        <v>130</v>
      </c>
      <c r="C15" s="156"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81" t="s">
        <v>69</v>
      </c>
      <c r="Q15" s="1349" t="str">
        <f t="shared" si="6"/>
        <v>商业繁华度</v>
      </c>
      <c r="R15" s="1350" t="s">
        <v>65</v>
      </c>
      <c r="S15" s="1351">
        <f t="shared" si="0"/>
        <v>100</v>
      </c>
      <c r="T15" s="1350" t="s">
        <v>65</v>
      </c>
      <c r="U15" s="1351">
        <f t="shared" si="1"/>
        <v>100</v>
      </c>
      <c r="V15" s="1350" t="s">
        <v>65</v>
      </c>
      <c r="W15" s="1351">
        <f t="shared" si="2"/>
        <v>100</v>
      </c>
      <c r="X15" s="1338"/>
      <c r="Y15" s="3683" t="s">
        <v>69</v>
      </c>
      <c r="Z15" s="1352" t="str">
        <f t="shared" si="7"/>
        <v>商业繁华度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295"/>
      <c r="P16" s="3682"/>
      <c r="Q16" s="1349"/>
      <c r="R16" s="1350"/>
      <c r="S16" s="1351"/>
      <c r="T16" s="1350"/>
      <c r="U16" s="1351"/>
      <c r="V16" s="1350"/>
      <c r="W16" s="1351"/>
      <c r="X16" s="1338"/>
      <c r="Y16" s="3684"/>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82"/>
      <c r="Q17" s="1349" t="str">
        <f>B17</f>
        <v>交通便捷度</v>
      </c>
      <c r="R17" s="1350" t="s">
        <v>65</v>
      </c>
      <c r="S17" s="1351">
        <f>F17</f>
        <v>100</v>
      </c>
      <c r="T17" s="1350" t="s">
        <v>65</v>
      </c>
      <c r="U17" s="1351">
        <f>H17</f>
        <v>100</v>
      </c>
      <c r="V17" s="1350" t="s">
        <v>65</v>
      </c>
      <c r="W17" s="1351">
        <f>J17</f>
        <v>100</v>
      </c>
      <c r="X17" s="1338"/>
      <c r="Y17" s="3684"/>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295"/>
      <c r="P18" s="3682"/>
      <c r="Q18" s="1349"/>
      <c r="R18" s="1350"/>
      <c r="S18" s="1351"/>
      <c r="T18" s="1350"/>
      <c r="U18" s="1351"/>
      <c r="V18" s="1350"/>
      <c r="W18" s="1351"/>
      <c r="X18" s="1338"/>
      <c r="Y18" s="3684"/>
      <c r="Z18" s="1352"/>
      <c r="AA18" s="1353">
        <v>1</v>
      </c>
      <c r="AB18" s="1353">
        <v>1</v>
      </c>
      <c r="AC18" s="1353">
        <v>1</v>
      </c>
    </row>
    <row r="19" spans="1:29" ht="40.5">
      <c r="A19" s="150"/>
      <c r="B19" s="1354" t="s">
        <v>2654</v>
      </c>
      <c r="C19" s="157"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82"/>
      <c r="Q19" s="1349" t="str">
        <f>B19</f>
        <v>公共配套设施</v>
      </c>
      <c r="R19" s="1350" t="s">
        <v>65</v>
      </c>
      <c r="S19" s="1351">
        <f>F19</f>
        <v>100</v>
      </c>
      <c r="T19" s="1350" t="s">
        <v>65</v>
      </c>
      <c r="U19" s="1351">
        <f>H19</f>
        <v>100</v>
      </c>
      <c r="V19" s="1350" t="s">
        <v>65</v>
      </c>
      <c r="W19" s="1351">
        <f>J19</f>
        <v>100</v>
      </c>
      <c r="X19" s="1338"/>
      <c r="Y19" s="3684"/>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295"/>
      <c r="P20" s="3682"/>
      <c r="Q20" s="1349"/>
      <c r="R20" s="1350"/>
      <c r="S20" s="1351"/>
      <c r="T20" s="1350"/>
      <c r="U20" s="1351"/>
      <c r="V20" s="1350"/>
      <c r="W20" s="1351"/>
      <c r="X20" s="1338"/>
      <c r="Y20" s="3684"/>
      <c r="Z20" s="1352"/>
      <c r="AA20" s="1353">
        <v>1</v>
      </c>
      <c r="AB20" s="1353">
        <v>1</v>
      </c>
      <c r="AC20" s="1353">
        <v>1</v>
      </c>
    </row>
    <row r="21" spans="1:29" ht="27">
      <c r="A21" s="150"/>
      <c r="B21" s="1410" t="s">
        <v>2655</v>
      </c>
      <c r="C21" s="157"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295"/>
      <c r="P22" s="3682"/>
      <c r="Q22" s="2744"/>
      <c r="R22" s="1350"/>
      <c r="S22" s="1351"/>
      <c r="T22" s="1350"/>
      <c r="U22" s="1351"/>
      <c r="V22" s="1350"/>
      <c r="W22" s="1351"/>
      <c r="X22" s="2746"/>
      <c r="Y22" s="3684"/>
      <c r="Z22" s="2745"/>
      <c r="AA22" s="1353">
        <v>1</v>
      </c>
      <c r="AB22" s="1353">
        <v>1</v>
      </c>
      <c r="AC22" s="1353">
        <v>1</v>
      </c>
    </row>
    <row r="23" spans="1:29" ht="54">
      <c r="A23" s="150"/>
      <c r="B23" s="1354" t="s">
        <v>73</v>
      </c>
      <c r="C23" s="189"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82"/>
      <c r="Q23" s="1349" t="str">
        <f>B23</f>
        <v>自然及人文环境</v>
      </c>
      <c r="R23" s="1350" t="s">
        <v>65</v>
      </c>
      <c r="S23" s="1351">
        <f>F23</f>
        <v>100</v>
      </c>
      <c r="T23" s="1350" t="s">
        <v>65</v>
      </c>
      <c r="U23" s="1351">
        <f>H23</f>
        <v>100</v>
      </c>
      <c r="V23" s="1350" t="s">
        <v>65</v>
      </c>
      <c r="W23" s="1351">
        <f>J23</f>
        <v>100</v>
      </c>
      <c r="X23" s="1338"/>
      <c r="Y23" s="3684"/>
      <c r="Z23" s="1352" t="str">
        <f>Q23</f>
        <v>自然及人文环境</v>
      </c>
      <c r="AA23" s="1353">
        <f t="shared" si="3"/>
        <v>1</v>
      </c>
      <c r="AB23" s="1353">
        <f t="shared" si="4"/>
        <v>1</v>
      </c>
      <c r="AC23" s="1353">
        <f t="shared" si="5"/>
        <v>1</v>
      </c>
    </row>
    <row r="24" spans="1:29" ht="14.25">
      <c r="A24" s="150"/>
      <c r="B24" s="1038"/>
      <c r="C24" s="97"/>
      <c r="D24" s="789"/>
      <c r="E24" s="98"/>
      <c r="F24" s="790"/>
      <c r="G24" s="99"/>
      <c r="H24" s="789"/>
      <c r="I24" s="98"/>
      <c r="J24" s="789"/>
      <c r="K24" s="188"/>
      <c r="L24" s="2300"/>
      <c r="M24" s="2295"/>
      <c r="N24" s="2295"/>
      <c r="O24" s="2295"/>
      <c r="P24" s="3682"/>
      <c r="Q24" s="1349"/>
      <c r="R24" s="1350"/>
      <c r="S24" s="1351"/>
      <c r="T24" s="1350"/>
      <c r="U24" s="1351"/>
      <c r="V24" s="1350"/>
      <c r="W24" s="1351"/>
      <c r="X24" s="1338"/>
      <c r="Y24" s="3684"/>
      <c r="Z24" s="1352"/>
      <c r="AA24" s="1353">
        <v>1</v>
      </c>
      <c r="AB24" s="1353">
        <v>1</v>
      </c>
      <c r="AC24" s="1353">
        <v>1</v>
      </c>
    </row>
    <row r="25" spans="1:29" ht="15">
      <c r="A25" s="150"/>
      <c r="B25" s="12" t="s">
        <v>131</v>
      </c>
      <c r="C25" s="181"/>
      <c r="D25" s="776">
        <v>100</v>
      </c>
      <c r="E25" s="181"/>
      <c r="F25" s="802">
        <f>SUMIF(86:86,E25,87:87)-SUMIF(86:86,C25,87:87)+100</f>
        <v>100</v>
      </c>
      <c r="G25" s="181"/>
      <c r="H25" s="776">
        <f>SUMIF(86:86,G25,87:87)-SUMIF(86:86,C25,87:87)+100</f>
        <v>100</v>
      </c>
      <c r="I25" s="181"/>
      <c r="J25" s="776">
        <f>SUMIF(86:86,I25,87:87)-SUMIF(86:86,C25,87:87)+100</f>
        <v>100</v>
      </c>
      <c r="K25" s="953"/>
      <c r="L25" s="2300"/>
      <c r="M25" s="2295"/>
      <c r="N25" s="2295"/>
      <c r="O25" s="2295"/>
      <c r="P25" s="3682"/>
      <c r="Q25" s="1349" t="str">
        <f t="shared" ref="Q25:Q46" si="11">B25</f>
        <v>临街状况</v>
      </c>
      <c r="R25" s="1350" t="s">
        <v>65</v>
      </c>
      <c r="S25" s="1351">
        <f>F25</f>
        <v>100</v>
      </c>
      <c r="T25" s="1350" t="s">
        <v>65</v>
      </c>
      <c r="U25" s="1351">
        <f>H25</f>
        <v>100</v>
      </c>
      <c r="V25" s="1350" t="s">
        <v>65</v>
      </c>
      <c r="W25" s="1351">
        <f>J25</f>
        <v>100</v>
      </c>
      <c r="X25" s="1338"/>
      <c r="Y25" s="3684"/>
      <c r="Z25" s="1352" t="str">
        <f>Q25</f>
        <v>临街状况</v>
      </c>
      <c r="AA25" s="1353">
        <f t="shared" si="3"/>
        <v>1</v>
      </c>
      <c r="AB25" s="1353">
        <f t="shared" si="4"/>
        <v>1</v>
      </c>
      <c r="AC25" s="1353">
        <f t="shared" si="5"/>
        <v>1</v>
      </c>
    </row>
    <row r="26" spans="1:29" ht="14.25">
      <c r="A26" s="150"/>
      <c r="B26" s="1355" t="s">
        <v>1021</v>
      </c>
      <c r="C26" s="93"/>
      <c r="D26" s="776">
        <v>100</v>
      </c>
      <c r="E26" s="93"/>
      <c r="F26" s="802">
        <f>SUMIF(88:88,E26,89:89)-SUMIF(88:88,C26,89:89)+100</f>
        <v>100</v>
      </c>
      <c r="G26" s="93"/>
      <c r="H26" s="776">
        <f>SUMIF(88:88,G26,89:89)-SUMIF(88:88,C26,89:89)+100</f>
        <v>100</v>
      </c>
      <c r="I26" s="93"/>
      <c r="J26" s="776">
        <f>SUMIF(88:88,I26,89:89)-SUMIF(88:88,C26,89:89)+100</f>
        <v>100</v>
      </c>
      <c r="K26" s="187"/>
      <c r="L26" s="2300"/>
      <c r="M26" s="2295"/>
      <c r="N26" s="2295"/>
      <c r="O26" s="2295"/>
      <c r="P26" s="3682"/>
      <c r="Q26" s="1349" t="str">
        <f t="shared" si="11"/>
        <v>平面位置/可视性</v>
      </c>
      <c r="R26" s="1350" t="s">
        <v>65</v>
      </c>
      <c r="S26" s="1351">
        <f>F26</f>
        <v>100</v>
      </c>
      <c r="T26" s="1350" t="s">
        <v>65</v>
      </c>
      <c r="U26" s="1351">
        <f>H26</f>
        <v>100</v>
      </c>
      <c r="V26" s="1350" t="s">
        <v>65</v>
      </c>
      <c r="W26" s="1351">
        <f>J26</f>
        <v>100</v>
      </c>
      <c r="X26" s="1338"/>
      <c r="Y26" s="3684"/>
      <c r="Z26" s="1352" t="str">
        <f>Q26</f>
        <v>平面位置/可视性</v>
      </c>
      <c r="AA26" s="1353">
        <f t="shared" si="3"/>
        <v>1</v>
      </c>
      <c r="AB26" s="1353">
        <f t="shared" si="4"/>
        <v>1</v>
      </c>
      <c r="AC26" s="1353">
        <f t="shared" si="5"/>
        <v>1</v>
      </c>
    </row>
    <row r="27" spans="1:29" s="40" customFormat="1" ht="15">
      <c r="A27" s="1028"/>
      <c r="B27" s="1354" t="s">
        <v>1022</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82"/>
      <c r="Q27" s="7" t="str">
        <f t="shared" si="11"/>
        <v>人流量</v>
      </c>
      <c r="R27" s="1340" t="s">
        <v>65</v>
      </c>
      <c r="S27" s="1341">
        <f>F27</f>
        <v>100</v>
      </c>
      <c r="T27" s="1340" t="s">
        <v>65</v>
      </c>
      <c r="U27" s="1341">
        <f>H27</f>
        <v>100</v>
      </c>
      <c r="V27" s="1340" t="s">
        <v>65</v>
      </c>
      <c r="W27" s="1341">
        <f>J27</f>
        <v>100</v>
      </c>
      <c r="X27" s="286"/>
      <c r="Y27" s="3684"/>
      <c r="Z27" s="287" t="str">
        <f>Q27</f>
        <v>人流量</v>
      </c>
      <c r="AA27" s="1353">
        <f>D27/F27</f>
        <v>1</v>
      </c>
      <c r="AB27" s="1353">
        <f>D27/H27</f>
        <v>1</v>
      </c>
      <c r="AC27" s="1353">
        <f>D27/J27</f>
        <v>1</v>
      </c>
    </row>
    <row r="28" spans="1:29" ht="14.25">
      <c r="A28" s="150"/>
      <c r="B28" s="12" t="s">
        <v>132</v>
      </c>
      <c r="C28" s="181"/>
      <c r="D28" s="776">
        <v>100</v>
      </c>
      <c r="E28" s="181"/>
      <c r="F28" s="802">
        <f>SUMIF(92:92,E28,93:93)-SUMIF(92:92,C28,93:93)+100</f>
        <v>100</v>
      </c>
      <c r="G28" s="181"/>
      <c r="H28" s="776">
        <f>SUMIF(92:92,G28,93:93)-SUMIF(92:92,C28,93:93)+100</f>
        <v>100</v>
      </c>
      <c r="I28" s="181"/>
      <c r="J28" s="776">
        <f>SUMIF(92:92,I28,93:93)-SUMIF(92:92,C28,93:93)+100</f>
        <v>100</v>
      </c>
      <c r="K28" s="187"/>
      <c r="L28" s="2300"/>
      <c r="M28" s="2295"/>
      <c r="N28" s="2295"/>
      <c r="O28" s="2295"/>
      <c r="P28" s="3682"/>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84"/>
      <c r="Z28" s="1352" t="str">
        <f t="shared" ref="Z28:Z46" si="15">Q28</f>
        <v>楼层</v>
      </c>
      <c r="AA28" s="1353">
        <f t="shared" si="3"/>
        <v>1</v>
      </c>
      <c r="AB28" s="1353">
        <f t="shared" si="4"/>
        <v>1</v>
      </c>
      <c r="AC28" s="1353">
        <f t="shared" si="5"/>
        <v>1</v>
      </c>
    </row>
    <row r="29" spans="1:29" ht="14.25">
      <c r="A29" s="150"/>
      <c r="B29" s="1355">
        <v>111</v>
      </c>
      <c r="C29" s="93"/>
      <c r="D29" s="776">
        <v>100</v>
      </c>
      <c r="E29" s="93"/>
      <c r="F29" s="802">
        <f>SUMIF(94:94,E29,95:95)-SUMIF(94:94,C29,95:95)+100</f>
        <v>100</v>
      </c>
      <c r="G29" s="93"/>
      <c r="H29" s="776">
        <f>SUMIF(94:94,G29,95:95)-SUMIF(94:94,C29,95:95)+100</f>
        <v>100</v>
      </c>
      <c r="I29" s="93"/>
      <c r="J29" s="776">
        <f>SUMIF(94:94,I29,95:95)-SUMIF(94:94,C29,95:95)+100</f>
        <v>100</v>
      </c>
      <c r="K29" s="187"/>
      <c r="L29" s="2300"/>
      <c r="M29" s="2295"/>
      <c r="N29" s="2295"/>
      <c r="O29" s="2295"/>
      <c r="P29" s="3682"/>
      <c r="Q29" s="1349">
        <f t="shared" si="11"/>
        <v>111</v>
      </c>
      <c r="R29" s="1350" t="s">
        <v>65</v>
      </c>
      <c r="S29" s="1351">
        <f t="shared" si="12"/>
        <v>100</v>
      </c>
      <c r="T29" s="1350" t="s">
        <v>65</v>
      </c>
      <c r="U29" s="1351">
        <f t="shared" si="13"/>
        <v>100</v>
      </c>
      <c r="V29" s="1350" t="s">
        <v>65</v>
      </c>
      <c r="W29" s="1351">
        <f t="shared" si="14"/>
        <v>100</v>
      </c>
      <c r="X29" s="1338"/>
      <c r="Y29" s="3684"/>
      <c r="Z29" s="1352">
        <f t="shared" si="15"/>
        <v>111</v>
      </c>
      <c r="AA29" s="1353">
        <f t="shared" si="3"/>
        <v>1</v>
      </c>
      <c r="AB29" s="1353">
        <f t="shared" si="4"/>
        <v>1</v>
      </c>
      <c r="AC29" s="1353">
        <f t="shared" si="5"/>
        <v>1</v>
      </c>
    </row>
    <row r="30" spans="1:29" ht="14.25">
      <c r="A30" s="150"/>
      <c r="B30" s="1355">
        <v>111</v>
      </c>
      <c r="C30" s="93"/>
      <c r="D30" s="776">
        <v>100</v>
      </c>
      <c r="E30" s="93"/>
      <c r="F30" s="802">
        <f>SUMIF(96:96,E30,97:97)-SUMIF(96:96,C30,97:97)+100</f>
        <v>100</v>
      </c>
      <c r="G30" s="93"/>
      <c r="H30" s="776">
        <f>SUMIF(96:96,G30,97:97)-SUMIF(96:96,C30,97:97)+100</f>
        <v>100</v>
      </c>
      <c r="I30" s="93"/>
      <c r="J30" s="776">
        <f>SUMIF(96:96,I30,97:97)-SUMIF(96:96,C30,97:97)+100</f>
        <v>100</v>
      </c>
      <c r="K30" s="187"/>
      <c r="L30" s="2300"/>
      <c r="M30" s="2295"/>
      <c r="N30" s="2295"/>
      <c r="O30" s="2295"/>
      <c r="P30" s="3682"/>
      <c r="Q30" s="1349">
        <f t="shared" si="11"/>
        <v>111</v>
      </c>
      <c r="R30" s="1350" t="s">
        <v>65</v>
      </c>
      <c r="S30" s="1351">
        <f t="shared" si="12"/>
        <v>100</v>
      </c>
      <c r="T30" s="1350" t="s">
        <v>65</v>
      </c>
      <c r="U30" s="1351">
        <f t="shared" si="13"/>
        <v>100</v>
      </c>
      <c r="V30" s="1350" t="s">
        <v>65</v>
      </c>
      <c r="W30" s="1351">
        <f t="shared" si="14"/>
        <v>100</v>
      </c>
      <c r="X30" s="1338"/>
      <c r="Y30" s="3684"/>
      <c r="Z30" s="1352">
        <f t="shared" si="15"/>
        <v>111</v>
      </c>
      <c r="AA30" s="1353">
        <f t="shared" si="3"/>
        <v>1</v>
      </c>
      <c r="AB30" s="1353">
        <f t="shared" si="4"/>
        <v>1</v>
      </c>
      <c r="AC30" s="1353">
        <f t="shared" si="5"/>
        <v>1</v>
      </c>
    </row>
    <row r="31" spans="1:29" ht="15" thickBot="1">
      <c r="A31" s="153"/>
      <c r="B31" s="1355">
        <v>111</v>
      </c>
      <c r="C31" s="94"/>
      <c r="D31" s="779">
        <v>100</v>
      </c>
      <c r="E31" s="93"/>
      <c r="F31" s="780">
        <f>SUMIF(98:98,E31,99:99)-SUMIF(98:98,C31,99:99)+100</f>
        <v>100</v>
      </c>
      <c r="G31" s="93"/>
      <c r="H31" s="779">
        <f>SUMIF(98:98,G31,99:99)-SUMIF(98:98,C31,99:99)+100</f>
        <v>100</v>
      </c>
      <c r="I31" s="93"/>
      <c r="J31" s="779">
        <f>SUMIF(98:98,I31,99:99)-SUMIF(98:98,C31,99:99)+100</f>
        <v>100</v>
      </c>
      <c r="K31" s="187"/>
      <c r="L31" s="2300"/>
      <c r="M31" s="2295"/>
      <c r="N31" s="2295"/>
      <c r="O31" s="2295"/>
      <c r="P31" s="3682"/>
      <c r="Q31" s="1349">
        <f t="shared" si="11"/>
        <v>111</v>
      </c>
      <c r="R31" s="1350" t="s">
        <v>65</v>
      </c>
      <c r="S31" s="1351">
        <f t="shared" si="12"/>
        <v>100</v>
      </c>
      <c r="T31" s="1350" t="s">
        <v>65</v>
      </c>
      <c r="U31" s="1351">
        <f t="shared" si="13"/>
        <v>100</v>
      </c>
      <c r="V31" s="1350" t="s">
        <v>65</v>
      </c>
      <c r="W31" s="1351">
        <f t="shared" si="14"/>
        <v>100</v>
      </c>
      <c r="X31" s="1338"/>
      <c r="Y31" s="3684"/>
      <c r="Z31" s="1352">
        <f t="shared" si="15"/>
        <v>111</v>
      </c>
      <c r="AA31" s="1353">
        <f t="shared" si="3"/>
        <v>1</v>
      </c>
      <c r="AB31" s="1353">
        <f t="shared" si="4"/>
        <v>1</v>
      </c>
      <c r="AC31" s="1353">
        <f t="shared" si="5"/>
        <v>1</v>
      </c>
    </row>
    <row r="32" spans="1:29" ht="15">
      <c r="A32" s="154" t="s">
        <v>1023</v>
      </c>
      <c r="B32" s="62" t="s">
        <v>1024</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85" t="s">
        <v>1025</v>
      </c>
      <c r="Q32" s="1349" t="str">
        <f t="shared" si="11"/>
        <v>商业类型</v>
      </c>
      <c r="R32" s="1350" t="s">
        <v>65</v>
      </c>
      <c r="S32" s="1351">
        <f t="shared" si="12"/>
        <v>100</v>
      </c>
      <c r="T32" s="1350" t="s">
        <v>65</v>
      </c>
      <c r="U32" s="1351">
        <f t="shared" si="13"/>
        <v>100</v>
      </c>
      <c r="V32" s="1350" t="s">
        <v>65</v>
      </c>
      <c r="W32" s="1351">
        <f t="shared" si="14"/>
        <v>100</v>
      </c>
      <c r="X32" s="1338"/>
      <c r="Y32" s="3688" t="s">
        <v>1025</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7"/>
      <c r="L33" s="2299"/>
      <c r="M33" s="2301"/>
      <c r="N33" s="2301"/>
      <c r="O33" s="2301"/>
      <c r="P33" s="3686"/>
      <c r="Q33" s="1357" t="str">
        <f t="shared" si="11"/>
        <v>项目建筑规模</v>
      </c>
      <c r="R33" s="1358" t="s">
        <v>65</v>
      </c>
      <c r="S33" s="1359" t="e">
        <f t="shared" si="12"/>
        <v>#N/A</v>
      </c>
      <c r="T33" s="1358" t="s">
        <v>65</v>
      </c>
      <c r="U33" s="1359" t="e">
        <f t="shared" si="13"/>
        <v>#N/A</v>
      </c>
      <c r="V33" s="1358" t="s">
        <v>65</v>
      </c>
      <c r="W33" s="1359" t="e">
        <f t="shared" si="14"/>
        <v>#N/A</v>
      </c>
      <c r="X33" s="1360"/>
      <c r="Y33" s="3688"/>
      <c r="Z33" s="1361" t="str">
        <f t="shared" si="15"/>
        <v>项目建筑规模</v>
      </c>
      <c r="AA33" s="1353" t="e">
        <f t="shared" si="3"/>
        <v>#N/A</v>
      </c>
      <c r="AB33" s="1353" t="e">
        <f t="shared" si="4"/>
        <v>#N/A</v>
      </c>
      <c r="AC33" s="1353" t="e">
        <f t="shared" si="5"/>
        <v>#N/A</v>
      </c>
    </row>
    <row r="34" spans="1:29" ht="15">
      <c r="A34" s="160"/>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86"/>
      <c r="Q34" s="1349" t="str">
        <f t="shared" si="11"/>
        <v>建筑结构</v>
      </c>
      <c r="R34" s="1350" t="s">
        <v>65</v>
      </c>
      <c r="S34" s="1351">
        <f t="shared" si="12"/>
        <v>100</v>
      </c>
      <c r="T34" s="1350" t="s">
        <v>65</v>
      </c>
      <c r="U34" s="1351">
        <f t="shared" si="13"/>
        <v>100</v>
      </c>
      <c r="V34" s="1350" t="s">
        <v>65</v>
      </c>
      <c r="W34" s="1351">
        <f t="shared" si="14"/>
        <v>100</v>
      </c>
      <c r="X34" s="1338"/>
      <c r="Y34" s="3688"/>
      <c r="Z34" s="1352" t="str">
        <f t="shared" si="15"/>
        <v>建筑结构</v>
      </c>
      <c r="AA34" s="1353">
        <f t="shared" si="3"/>
        <v>1</v>
      </c>
      <c r="AB34" s="1353">
        <f t="shared" si="4"/>
        <v>1</v>
      </c>
      <c r="AC34" s="1353">
        <f t="shared" si="5"/>
        <v>1</v>
      </c>
    </row>
    <row r="35" spans="1:29" ht="15">
      <c r="A35" s="160"/>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86"/>
      <c r="Q35" s="1349" t="str">
        <f t="shared" si="11"/>
        <v>公共部分装修</v>
      </c>
      <c r="R35" s="1350" t="s">
        <v>65</v>
      </c>
      <c r="S35" s="1351">
        <f t="shared" si="12"/>
        <v>100</v>
      </c>
      <c r="T35" s="1350" t="s">
        <v>65</v>
      </c>
      <c r="U35" s="1351">
        <f t="shared" si="13"/>
        <v>100</v>
      </c>
      <c r="V35" s="1350" t="s">
        <v>65</v>
      </c>
      <c r="W35" s="1351">
        <f t="shared" si="14"/>
        <v>100</v>
      </c>
      <c r="X35" s="1338"/>
      <c r="Y35" s="3688"/>
      <c r="Z35" s="1352" t="str">
        <f t="shared" si="15"/>
        <v>公共部分装修</v>
      </c>
      <c r="AA35" s="1353">
        <f t="shared" si="3"/>
        <v>1</v>
      </c>
      <c r="AB35" s="1353">
        <f t="shared" si="4"/>
        <v>1</v>
      </c>
      <c r="AC35" s="1353">
        <f t="shared" si="5"/>
        <v>1</v>
      </c>
    </row>
    <row r="36" spans="1:29" ht="15">
      <c r="A36" s="160"/>
      <c r="B36" s="12" t="s">
        <v>1027</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86"/>
      <c r="Q36" s="1349" t="str">
        <f t="shared" si="11"/>
        <v>成新度</v>
      </c>
      <c r="R36" s="1350" t="s">
        <v>65</v>
      </c>
      <c r="S36" s="1351" t="e">
        <f t="shared" si="12"/>
        <v>#N/A</v>
      </c>
      <c r="T36" s="1350" t="s">
        <v>65</v>
      </c>
      <c r="U36" s="1351" t="e">
        <f t="shared" si="13"/>
        <v>#N/A</v>
      </c>
      <c r="V36" s="1350" t="s">
        <v>65</v>
      </c>
      <c r="W36" s="1351" t="e">
        <f t="shared" si="14"/>
        <v>#N/A</v>
      </c>
      <c r="X36" s="1338"/>
      <c r="Y36" s="3688"/>
      <c r="Z36" s="1352" t="str">
        <f t="shared" si="15"/>
        <v>成新度</v>
      </c>
      <c r="AA36" s="1353" t="e">
        <f t="shared" si="3"/>
        <v>#N/A</v>
      </c>
      <c r="AB36" s="1353" t="e">
        <f t="shared" si="4"/>
        <v>#N/A</v>
      </c>
      <c r="AC36" s="1353" t="e">
        <f t="shared" si="5"/>
        <v>#N/A</v>
      </c>
    </row>
    <row r="37" spans="1:29" s="40" customFormat="1" ht="15">
      <c r="A37" s="1039"/>
      <c r="B37" s="12" t="s">
        <v>2656</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86"/>
      <c r="Q37" s="7" t="str">
        <f t="shared" si="11"/>
        <v>市政基础设施</v>
      </c>
      <c r="R37" s="1340" t="s">
        <v>65</v>
      </c>
      <c r="S37" s="1341">
        <f t="shared" si="12"/>
        <v>100</v>
      </c>
      <c r="T37" s="1340" t="s">
        <v>65</v>
      </c>
      <c r="U37" s="1341">
        <f t="shared" si="13"/>
        <v>100</v>
      </c>
      <c r="V37" s="1340" t="s">
        <v>65</v>
      </c>
      <c r="W37" s="1341">
        <f t="shared" si="14"/>
        <v>100</v>
      </c>
      <c r="X37" s="286"/>
      <c r="Y37" s="3688"/>
      <c r="Z37" s="287" t="str">
        <f t="shared" si="15"/>
        <v>市政基础设施</v>
      </c>
      <c r="AA37" s="1342">
        <f t="shared" si="3"/>
        <v>1</v>
      </c>
      <c r="AB37" s="1342">
        <f t="shared" si="4"/>
        <v>1</v>
      </c>
      <c r="AC37" s="1342">
        <f t="shared" si="5"/>
        <v>1</v>
      </c>
    </row>
    <row r="38" spans="1:29" ht="15">
      <c r="A38" s="160"/>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86" t="s">
        <v>1028</v>
      </c>
      <c r="Q38" s="1349" t="str">
        <f t="shared" si="11"/>
        <v>业态</v>
      </c>
      <c r="R38" s="1350" t="s">
        <v>65</v>
      </c>
      <c r="S38" s="1351">
        <f t="shared" si="12"/>
        <v>100</v>
      </c>
      <c r="T38" s="1350" t="s">
        <v>65</v>
      </c>
      <c r="U38" s="1351">
        <f t="shared" si="13"/>
        <v>100</v>
      </c>
      <c r="V38" s="1350" t="s">
        <v>65</v>
      </c>
      <c r="W38" s="1351">
        <f t="shared" si="14"/>
        <v>100</v>
      </c>
      <c r="X38" s="1338"/>
      <c r="Y38" s="3688" t="s">
        <v>1028</v>
      </c>
      <c r="Z38" s="1352" t="str">
        <f t="shared" si="15"/>
        <v>业态</v>
      </c>
      <c r="AA38" s="1353">
        <f t="shared" si="3"/>
        <v>1</v>
      </c>
      <c r="AB38" s="1353">
        <f t="shared" si="4"/>
        <v>1</v>
      </c>
      <c r="AC38" s="1353">
        <f t="shared" si="5"/>
        <v>1</v>
      </c>
    </row>
    <row r="39" spans="1:29" ht="15">
      <c r="A39" s="160"/>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86"/>
      <c r="Q39" s="1349" t="str">
        <f t="shared" si="11"/>
        <v>层高</v>
      </c>
      <c r="R39" s="1350" t="s">
        <v>65</v>
      </c>
      <c r="S39" s="1351">
        <f t="shared" si="12"/>
        <v>100</v>
      </c>
      <c r="T39" s="1350" t="s">
        <v>65</v>
      </c>
      <c r="U39" s="1351">
        <f t="shared" si="13"/>
        <v>100</v>
      </c>
      <c r="V39" s="1350" t="s">
        <v>65</v>
      </c>
      <c r="W39" s="1351">
        <f t="shared" si="14"/>
        <v>100</v>
      </c>
      <c r="X39" s="1338"/>
      <c r="Y39" s="3688"/>
      <c r="Z39" s="1352" t="str">
        <f t="shared" si="15"/>
        <v>层高</v>
      </c>
      <c r="AA39" s="1353">
        <f t="shared" si="3"/>
        <v>1</v>
      </c>
      <c r="AB39" s="1353">
        <f t="shared" si="4"/>
        <v>1</v>
      </c>
      <c r="AC39" s="1353">
        <f t="shared" si="5"/>
        <v>1</v>
      </c>
    </row>
    <row r="40" spans="1:29" ht="14.25">
      <c r="A40" s="160"/>
      <c r="B40" s="12" t="s">
        <v>1030</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7"/>
      <c r="L40" s="2300"/>
      <c r="M40" s="2295"/>
      <c r="N40" s="2295"/>
      <c r="O40" s="2295"/>
      <c r="P40" s="3686"/>
      <c r="Q40" s="1349" t="str">
        <f t="shared" si="11"/>
        <v>单套建筑面积</v>
      </c>
      <c r="R40" s="1350" t="s">
        <v>65</v>
      </c>
      <c r="S40" s="1351">
        <f t="shared" si="12"/>
        <v>100</v>
      </c>
      <c r="T40" s="1350" t="s">
        <v>65</v>
      </c>
      <c r="U40" s="1351">
        <f t="shared" si="13"/>
        <v>100</v>
      </c>
      <c r="V40" s="1350" t="s">
        <v>65</v>
      </c>
      <c r="W40" s="1351">
        <f t="shared" si="14"/>
        <v>100</v>
      </c>
      <c r="X40" s="1338"/>
      <c r="Y40" s="3688"/>
      <c r="Z40" s="1352" t="str">
        <f t="shared" si="15"/>
        <v>单套建筑面积</v>
      </c>
      <c r="AA40" s="1353">
        <f t="shared" si="3"/>
        <v>1</v>
      </c>
      <c r="AB40" s="1353">
        <f t="shared" si="4"/>
        <v>1</v>
      </c>
      <c r="AC40" s="1353">
        <f t="shared" si="5"/>
        <v>1</v>
      </c>
    </row>
    <row r="41" spans="1:29" s="1037" customFormat="1" ht="15">
      <c r="A41" s="1041"/>
      <c r="B41" s="190" t="s">
        <v>1031</v>
      </c>
      <c r="C41" s="181"/>
      <c r="D41" s="776">
        <v>100</v>
      </c>
      <c r="E41" s="181"/>
      <c r="F41" s="802">
        <f>SUMIF(120:120,E41,121:121)-SUMIF(120:120,C41,121:121)+100</f>
        <v>100</v>
      </c>
      <c r="G41" s="181"/>
      <c r="H41" s="776">
        <f>SUMIF(120:120,G41,121:121)-SUMIF(120:120,C41,121:121)+100</f>
        <v>100</v>
      </c>
      <c r="I41" s="181"/>
      <c r="J41" s="776">
        <f>SUMIF(120:120,I41,121:121)-SUMIF(120:120,C41,121:121)+100</f>
        <v>100</v>
      </c>
      <c r="K41" s="953"/>
      <c r="L41" s="2299"/>
      <c r="M41" s="2301"/>
      <c r="N41" s="2301"/>
      <c r="O41" s="2301"/>
      <c r="P41" s="3686"/>
      <c r="Q41" s="1357" t="str">
        <f t="shared" si="11"/>
        <v>进深比</v>
      </c>
      <c r="R41" s="1358" t="s">
        <v>65</v>
      </c>
      <c r="S41" s="1359">
        <f t="shared" si="12"/>
        <v>100</v>
      </c>
      <c r="T41" s="1358" t="s">
        <v>65</v>
      </c>
      <c r="U41" s="1359">
        <f t="shared" si="13"/>
        <v>100</v>
      </c>
      <c r="V41" s="1358" t="s">
        <v>65</v>
      </c>
      <c r="W41" s="1359">
        <f t="shared" si="14"/>
        <v>100</v>
      </c>
      <c r="X41" s="1360"/>
      <c r="Y41" s="3688"/>
      <c r="Z41" s="1361" t="str">
        <f t="shared" si="15"/>
        <v>进深比</v>
      </c>
      <c r="AA41" s="1353">
        <f t="shared" si="3"/>
        <v>1</v>
      </c>
      <c r="AB41" s="1353">
        <f t="shared" si="4"/>
        <v>1</v>
      </c>
      <c r="AC41" s="1353">
        <f t="shared" si="5"/>
        <v>1</v>
      </c>
    </row>
    <row r="42" spans="1:29" ht="15">
      <c r="A42" s="160"/>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86"/>
      <c r="Q42" s="1349" t="str">
        <f t="shared" si="11"/>
        <v>内部装修</v>
      </c>
      <c r="R42" s="1350" t="s">
        <v>65</v>
      </c>
      <c r="S42" s="1351">
        <f t="shared" si="12"/>
        <v>100</v>
      </c>
      <c r="T42" s="1350" t="s">
        <v>65</v>
      </c>
      <c r="U42" s="1351">
        <f t="shared" si="13"/>
        <v>100</v>
      </c>
      <c r="V42" s="1350" t="s">
        <v>65</v>
      </c>
      <c r="W42" s="1351">
        <f t="shared" si="14"/>
        <v>100</v>
      </c>
      <c r="X42" s="1338"/>
      <c r="Y42" s="3688"/>
      <c r="Z42" s="1352" t="str">
        <f t="shared" si="15"/>
        <v>内部装修</v>
      </c>
      <c r="AA42" s="1353">
        <f t="shared" si="3"/>
        <v>1</v>
      </c>
      <c r="AB42" s="1353">
        <f t="shared" si="4"/>
        <v>1</v>
      </c>
      <c r="AC42" s="1353">
        <f t="shared" si="5"/>
        <v>1</v>
      </c>
    </row>
    <row r="43" spans="1:29" ht="27">
      <c r="A43" s="160"/>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86"/>
      <c r="Q43" s="1349" t="str">
        <f t="shared" si="11"/>
        <v>内部装修维护情况</v>
      </c>
      <c r="R43" s="1350" t="s">
        <v>65</v>
      </c>
      <c r="S43" s="1351">
        <f t="shared" si="12"/>
        <v>100</v>
      </c>
      <c r="T43" s="1350" t="s">
        <v>65</v>
      </c>
      <c r="U43" s="1351">
        <f t="shared" si="13"/>
        <v>100</v>
      </c>
      <c r="V43" s="1350" t="s">
        <v>65</v>
      </c>
      <c r="W43" s="1351">
        <f t="shared" si="14"/>
        <v>100</v>
      </c>
      <c r="X43" s="1338"/>
      <c r="Y43" s="3688"/>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7"/>
      <c r="L44" s="2296"/>
      <c r="M44" s="2258"/>
      <c r="N44" s="2258"/>
      <c r="O44" s="2258"/>
      <c r="P44" s="3686"/>
      <c r="Q44" s="7">
        <f t="shared" si="11"/>
        <v>111</v>
      </c>
      <c r="R44" s="1340" t="s">
        <v>65</v>
      </c>
      <c r="S44" s="1341">
        <f t="shared" si="12"/>
        <v>100</v>
      </c>
      <c r="T44" s="1340" t="s">
        <v>65</v>
      </c>
      <c r="U44" s="1341">
        <f t="shared" si="13"/>
        <v>100</v>
      </c>
      <c r="V44" s="1340" t="s">
        <v>65</v>
      </c>
      <c r="W44" s="1341">
        <f t="shared" si="14"/>
        <v>100</v>
      </c>
      <c r="X44" s="286"/>
      <c r="Y44" s="3688"/>
      <c r="Z44" s="287">
        <f t="shared" si="15"/>
        <v>111</v>
      </c>
      <c r="AA44" s="1342">
        <f t="shared" si="3"/>
        <v>1</v>
      </c>
      <c r="AB44" s="1342">
        <f t="shared" si="4"/>
        <v>1</v>
      </c>
      <c r="AC44" s="1342">
        <f t="shared" si="5"/>
        <v>1</v>
      </c>
    </row>
    <row r="45" spans="1:29" ht="14.25">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7"/>
      <c r="L45" s="2300"/>
      <c r="M45" s="2295"/>
      <c r="N45" s="2295"/>
      <c r="O45" s="2295"/>
      <c r="P45" s="3686"/>
      <c r="Q45" s="1349">
        <f t="shared" si="11"/>
        <v>111</v>
      </c>
      <c r="R45" s="1350" t="s">
        <v>65</v>
      </c>
      <c r="S45" s="1351">
        <f t="shared" si="12"/>
        <v>100</v>
      </c>
      <c r="T45" s="1350" t="s">
        <v>65</v>
      </c>
      <c r="U45" s="1351">
        <f t="shared" si="13"/>
        <v>100</v>
      </c>
      <c r="V45" s="1350" t="s">
        <v>65</v>
      </c>
      <c r="W45" s="1351">
        <f t="shared" si="14"/>
        <v>100</v>
      </c>
      <c r="X45" s="1338"/>
      <c r="Y45" s="3688"/>
      <c r="Z45" s="1352">
        <f t="shared" si="15"/>
        <v>111</v>
      </c>
      <c r="AA45" s="1353">
        <f t="shared" si="3"/>
        <v>1</v>
      </c>
      <c r="AB45" s="1353">
        <f t="shared" si="4"/>
        <v>1</v>
      </c>
      <c r="AC45" s="1353">
        <f t="shared" si="5"/>
        <v>1</v>
      </c>
    </row>
    <row r="46" spans="1:29" ht="15" thickBot="1">
      <c r="A46" s="161"/>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7"/>
      <c r="L46" s="2300"/>
      <c r="M46" s="2295"/>
      <c r="N46" s="2295"/>
      <c r="O46" s="2295"/>
      <c r="P46" s="3687"/>
      <c r="Q46" s="1349">
        <f t="shared" si="11"/>
        <v>111</v>
      </c>
      <c r="R46" s="1350" t="s">
        <v>65</v>
      </c>
      <c r="S46" s="1351">
        <f t="shared" si="12"/>
        <v>100</v>
      </c>
      <c r="T46" s="1350" t="s">
        <v>65</v>
      </c>
      <c r="U46" s="1351">
        <f t="shared" si="13"/>
        <v>100</v>
      </c>
      <c r="V46" s="1350" t="s">
        <v>65</v>
      </c>
      <c r="W46" s="1351">
        <f t="shared" si="14"/>
        <v>100</v>
      </c>
      <c r="X46" s="1338"/>
      <c r="Y46" s="3689"/>
      <c r="Z46" s="1352">
        <f t="shared" si="15"/>
        <v>111</v>
      </c>
      <c r="AA46" s="1353">
        <f t="shared" si="3"/>
        <v>1</v>
      </c>
      <c r="AB46" s="1353">
        <f t="shared" si="4"/>
        <v>1</v>
      </c>
      <c r="AC46" s="1353">
        <f t="shared" si="5"/>
        <v>1</v>
      </c>
    </row>
    <row r="47" spans="1:29" ht="15">
      <c r="A47" s="162" t="s">
        <v>1033</v>
      </c>
      <c r="B47" s="163"/>
      <c r="C47" s="2831" t="s">
        <v>23</v>
      </c>
      <c r="D47" s="2832"/>
      <c r="E47" s="2833"/>
      <c r="F47" s="2834"/>
      <c r="G47" s="2835"/>
      <c r="H47" s="2836"/>
      <c r="I47" s="2833"/>
      <c r="J47" s="2836"/>
      <c r="K47" s="1391"/>
      <c r="L47" s="2302"/>
      <c r="M47" s="2303"/>
      <c r="N47" s="2295"/>
      <c r="O47" s="2303"/>
      <c r="P47" s="3690" t="str">
        <f>A47</f>
        <v>成交单价（元/平方米）</v>
      </c>
      <c r="Q47" s="3690"/>
      <c r="R47" s="3676">
        <f>E47</f>
        <v>0</v>
      </c>
      <c r="S47" s="3676"/>
      <c r="T47" s="3676">
        <f>G47</f>
        <v>0</v>
      </c>
      <c r="U47" s="3676"/>
      <c r="V47" s="3676">
        <f>I47</f>
        <v>0</v>
      </c>
      <c r="W47" s="3676"/>
      <c r="X47" s="1363"/>
      <c r="Y47" s="1364"/>
      <c r="Z47" s="1363"/>
      <c r="AA47" s="1363"/>
      <c r="AB47" s="1363"/>
      <c r="AC47" s="1363"/>
    </row>
    <row r="48" spans="1:29" ht="15.75" thickBot="1">
      <c r="A48" s="164" t="s">
        <v>1034</v>
      </c>
      <c r="B48" s="165"/>
      <c r="C48" s="2837" t="e">
        <f>R49</f>
        <v>#DIV/0!</v>
      </c>
      <c r="D48" s="2838"/>
      <c r="E48" s="2839" t="e">
        <f>R48</f>
        <v>#DIV/0!</v>
      </c>
      <c r="F48" s="2839"/>
      <c r="G48" s="2837" t="e">
        <f>T48</f>
        <v>#DIV/0!</v>
      </c>
      <c r="H48" s="2838"/>
      <c r="I48" s="2839" t="e">
        <f>V48</f>
        <v>#DIV/0!</v>
      </c>
      <c r="J48" s="2838"/>
      <c r="K48" s="1392"/>
      <c r="L48" s="2302"/>
      <c r="M48" s="2303"/>
      <c r="N48" s="2295"/>
      <c r="O48" s="230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363"/>
      <c r="Y48" s="1363"/>
      <c r="Z48" s="1363"/>
      <c r="AA48" s="1363"/>
      <c r="AB48" s="1363"/>
      <c r="AC48" s="1363"/>
    </row>
    <row r="49" spans="1:29" ht="15.75" thickBot="1">
      <c r="A49" s="114" t="s">
        <v>3018</v>
      </c>
      <c r="B49" s="115"/>
      <c r="C49" s="2841" t="e">
        <f>R49</f>
        <v>#DIV/0!</v>
      </c>
      <c r="D49" s="2841"/>
      <c r="E49" s="2841"/>
      <c r="F49" s="2841"/>
      <c r="G49" s="2841"/>
      <c r="H49" s="2841"/>
      <c r="I49" s="2841"/>
      <c r="J49" s="2841"/>
      <c r="K49" s="1393"/>
      <c r="L49" s="2302"/>
      <c r="M49" s="2303"/>
      <c r="N49" s="2295"/>
      <c r="O49" s="2303"/>
      <c r="P49" s="3692" t="str">
        <f>A49</f>
        <v>估价对象XX用房的比较价值（楼面单价，元/平方米）</v>
      </c>
      <c r="Q49" s="3693"/>
      <c r="R49" s="3694" t="e">
        <f>IF(F1="售价",ROUND(AVERAGE(R48:V48),0),ROUND(AVERAGE(R48:V48),1))</f>
        <v>#DIV/0!</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3"/>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3"/>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3"/>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3"/>
      <c r="Q53" s="1363"/>
      <c r="R53" s="1363"/>
      <c r="S53" s="1363"/>
      <c r="T53" s="1363"/>
      <c r="U53" s="1363"/>
      <c r="V53" s="1363"/>
      <c r="W53" s="1363"/>
      <c r="X53" s="1363"/>
      <c r="Y53" s="1363"/>
      <c r="Z53" s="1363"/>
      <c r="AA53" s="1363"/>
      <c r="AB53" s="1363"/>
      <c r="AC53" s="1363"/>
    </row>
    <row r="54" spans="1:29" s="118"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8"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3"/>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2794</v>
      </c>
      <c r="B58" s="847"/>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3"/>
      <c r="B59" s="1044"/>
      <c r="C59" s="3036">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0"/>
    </row>
    <row r="61" spans="1:29" s="40" customFormat="1">
      <c r="A61" s="1047" t="s">
        <v>1037</v>
      </c>
      <c r="B61" s="1044"/>
      <c r="C61" s="1048" t="s">
        <v>1038</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1039</v>
      </c>
      <c r="B63" s="285" t="s">
        <v>1040</v>
      </c>
      <c r="C63" s="175">
        <f>C9</f>
        <v>0</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0"/>
    </row>
    <row r="67" spans="1:17" ht="15" thickTop="1">
      <c r="A67" s="172"/>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0"/>
    </row>
    <row r="68" spans="1:17" ht="14.25">
      <c r="A68" s="172"/>
      <c r="B68" s="1055"/>
      <c r="C68" s="890"/>
      <c r="D68" s="890"/>
      <c r="E68" s="890"/>
      <c r="F68" s="890"/>
      <c r="G68" s="890"/>
      <c r="H68" s="890"/>
      <c r="I68" s="890"/>
      <c r="J68" s="890"/>
      <c r="K68" s="891"/>
      <c r="L68" s="892"/>
      <c r="M68" s="893"/>
      <c r="N68" s="1387"/>
      <c r="O68" s="1387"/>
      <c r="P68" s="1377"/>
      <c r="Q68" s="120"/>
    </row>
    <row r="69" spans="1:17" ht="15" thickBot="1">
      <c r="A69" s="172"/>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0"/>
    </row>
    <row r="70" spans="1:17" s="1037" customFormat="1" ht="14.25" thickTop="1">
      <c r="A70" s="1056"/>
      <c r="B70" s="1052">
        <f>B12</f>
        <v>111</v>
      </c>
      <c r="C70" s="138"/>
      <c r="D70" s="138"/>
      <c r="E70" s="138"/>
      <c r="F70" s="138"/>
      <c r="G70" s="138"/>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8"/>
      <c r="D72" s="138"/>
      <c r="E72" s="138"/>
      <c r="F72" s="138"/>
      <c r="G72" s="138"/>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8"/>
      <c r="D74" s="138"/>
      <c r="E74" s="138"/>
      <c r="F74" s="138"/>
      <c r="G74" s="139"/>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1043</v>
      </c>
      <c r="B76" s="285" t="s">
        <v>1044</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100</v>
      </c>
      <c r="E77" s="885">
        <f>D77-$K15</f>
        <v>100</v>
      </c>
      <c r="F77" s="885">
        <f>E77-$K15</f>
        <v>100</v>
      </c>
      <c r="G77" s="885">
        <f>F77-$K15</f>
        <v>100</v>
      </c>
      <c r="H77" s="885"/>
      <c r="I77" s="885"/>
      <c r="J77" s="885"/>
      <c r="K77" s="885"/>
      <c r="L77" s="885"/>
      <c r="M77" s="886"/>
      <c r="N77" s="1388"/>
      <c r="O77" s="1388"/>
      <c r="P77" s="1377"/>
      <c r="Q77" s="120"/>
    </row>
    <row r="78" spans="1:17" ht="15" thickTop="1">
      <c r="A78" s="172"/>
      <c r="B78" s="1052" t="s">
        <v>1050</v>
      </c>
      <c r="C78" s="919" t="s">
        <v>423</v>
      </c>
      <c r="D78" s="919" t="s">
        <v>424</v>
      </c>
      <c r="E78" s="919" t="s">
        <v>425</v>
      </c>
      <c r="F78" s="919" t="s">
        <v>426</v>
      </c>
      <c r="G78" s="919" t="s">
        <v>427</v>
      </c>
      <c r="H78" s="880"/>
      <c r="I78" s="880"/>
      <c r="J78" s="880"/>
      <c r="K78" s="881"/>
      <c r="L78" s="882"/>
      <c r="M78" s="883"/>
      <c r="N78" s="1387"/>
      <c r="O78" s="1387"/>
      <c r="P78" s="1377"/>
      <c r="Q78" s="120"/>
    </row>
    <row r="79" spans="1:17" ht="15" thickBot="1">
      <c r="A79" s="172"/>
      <c r="B79" s="1053"/>
      <c r="C79" s="885">
        <v>100</v>
      </c>
      <c r="D79" s="885">
        <f>C79-$K17</f>
        <v>100</v>
      </c>
      <c r="E79" s="885">
        <f>D79-$K17</f>
        <v>100</v>
      </c>
      <c r="F79" s="885">
        <f>E79-$K17</f>
        <v>100</v>
      </c>
      <c r="G79" s="885">
        <f>F79-$K17</f>
        <v>100</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100</v>
      </c>
      <c r="E81" s="885">
        <f>D81-$K19</f>
        <v>100</v>
      </c>
      <c r="F81" s="885">
        <f>E81-$K19</f>
        <v>100</v>
      </c>
      <c r="G81" s="885">
        <f>F81-$K19</f>
        <v>100</v>
      </c>
      <c r="H81" s="885"/>
      <c r="I81" s="885"/>
      <c r="J81" s="885"/>
      <c r="K81" s="885"/>
      <c r="L81" s="885"/>
      <c r="M81" s="886"/>
      <c r="N81" s="1388"/>
      <c r="O81" s="1388"/>
      <c r="P81" s="1377"/>
      <c r="Q81" s="120"/>
    </row>
    <row r="82" spans="1:17" ht="15" thickTop="1">
      <c r="A82" s="172"/>
      <c r="B82" s="1054" t="s">
        <v>2657</v>
      </c>
      <c r="C82" s="212" t="s">
        <v>2658</v>
      </c>
      <c r="D82" s="212" t="s">
        <v>2659</v>
      </c>
      <c r="E82" s="212" t="s">
        <v>2660</v>
      </c>
      <c r="F82" s="212" t="s">
        <v>2661</v>
      </c>
      <c r="G82" s="212" t="s">
        <v>2662</v>
      </c>
      <c r="H82" s="880"/>
      <c r="I82" s="880"/>
      <c r="J82" s="880"/>
      <c r="K82" s="880"/>
      <c r="L82" s="880"/>
      <c r="M82" s="2763"/>
      <c r="N82" s="1388"/>
      <c r="O82" s="1388"/>
      <c r="P82" s="1377"/>
      <c r="Q82" s="120"/>
    </row>
    <row r="83" spans="1:17" ht="15" thickBot="1">
      <c r="A83" s="172"/>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0"/>
    </row>
    <row r="84" spans="1:17" ht="15" thickTop="1">
      <c r="A84" s="172"/>
      <c r="B84" s="1052" t="s">
        <v>1051</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100</v>
      </c>
      <c r="E85" s="885">
        <f>D85-$K23</f>
        <v>100</v>
      </c>
      <c r="F85" s="885">
        <f>E85-$K23</f>
        <v>100</v>
      </c>
      <c r="G85" s="885">
        <f>F85-$K23</f>
        <v>100</v>
      </c>
      <c r="H85" s="885"/>
      <c r="I85" s="885"/>
      <c r="J85" s="885"/>
      <c r="K85" s="885"/>
      <c r="L85" s="885"/>
      <c r="M85" s="886"/>
      <c r="N85" s="1388"/>
      <c r="O85" s="1388"/>
      <c r="P85" s="1377"/>
      <c r="Q85" s="120"/>
    </row>
    <row r="86" spans="1:17" s="40" customFormat="1" ht="14.25" thickTop="1">
      <c r="A86" s="1070"/>
      <c r="B86" s="1052" t="s">
        <v>1052</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0"/>
    </row>
    <row r="88" spans="1:17" s="40" customFormat="1" ht="14.25" thickTop="1">
      <c r="A88" s="1070"/>
      <c r="B88" s="1052" t="str">
        <f>B26</f>
        <v>平面位置/可视性</v>
      </c>
      <c r="C88" s="138"/>
      <c r="D88" s="138"/>
      <c r="E88" s="138"/>
      <c r="F88" s="1384"/>
      <c r="G88" s="138"/>
      <c r="H88" s="138"/>
      <c r="I88" s="138"/>
      <c r="J88" s="138"/>
      <c r="K88" s="138"/>
      <c r="L88" s="138"/>
      <c r="M88" s="1383"/>
      <c r="N88" s="1386"/>
      <c r="O88" s="1386"/>
      <c r="P88" s="1377"/>
      <c r="Q88" s="120"/>
    </row>
    <row r="89" spans="1:17" s="40" customFormat="1" ht="15" thickBot="1">
      <c r="A89" s="1070"/>
      <c r="B89" s="1053"/>
      <c r="C89" s="901"/>
      <c r="D89" s="877"/>
      <c r="E89" s="877"/>
      <c r="F89" s="877"/>
      <c r="G89" s="877"/>
      <c r="H89" s="877"/>
      <c r="I89" s="877"/>
      <c r="J89" s="877"/>
      <c r="K89" s="877"/>
      <c r="L89" s="877"/>
      <c r="M89" s="877"/>
      <c r="N89" s="1388"/>
      <c r="O89" s="1388"/>
      <c r="P89" s="1377"/>
      <c r="Q89" s="120"/>
    </row>
    <row r="90" spans="1:17" s="1037" customFormat="1" ht="14.25" thickTop="1">
      <c r="A90" s="1056"/>
      <c r="B90" s="1052" t="str">
        <f>B27</f>
        <v>人流量</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2"/>
      <c r="B92" s="1052" t="str">
        <f>B28</f>
        <v>楼层</v>
      </c>
      <c r="C92" s="138"/>
      <c r="D92" s="138"/>
      <c r="E92" s="138"/>
      <c r="F92" s="138"/>
      <c r="G92" s="138"/>
      <c r="H92" s="138"/>
      <c r="I92" s="138"/>
      <c r="J92" s="138"/>
      <c r="K92" s="138"/>
      <c r="L92" s="1382"/>
      <c r="M92" s="1383"/>
      <c r="N92" s="1387"/>
      <c r="O92" s="1387"/>
      <c r="P92" s="1377"/>
      <c r="Q92" s="120"/>
    </row>
    <row r="93" spans="1:17" ht="15" thickBot="1">
      <c r="A93" s="172"/>
      <c r="B93" s="1053"/>
      <c r="C93" s="877"/>
      <c r="D93" s="877"/>
      <c r="E93" s="877"/>
      <c r="F93" s="877"/>
      <c r="G93" s="877"/>
      <c r="H93" s="877"/>
      <c r="I93" s="877"/>
      <c r="J93" s="877"/>
      <c r="K93" s="877"/>
      <c r="L93" s="877"/>
      <c r="M93" s="878"/>
      <c r="N93" s="1388"/>
      <c r="O93" s="1388"/>
      <c r="P93" s="1377"/>
      <c r="Q93" s="120"/>
    </row>
    <row r="94" spans="1:17" ht="14.25" thickTop="1">
      <c r="A94" s="172"/>
      <c r="B94" s="1052">
        <f>B29</f>
        <v>111</v>
      </c>
      <c r="C94" s="138"/>
      <c r="D94" s="138"/>
      <c r="E94" s="138"/>
      <c r="F94" s="138"/>
      <c r="G94" s="130"/>
      <c r="H94" s="130"/>
      <c r="I94" s="130"/>
      <c r="J94" s="130"/>
      <c r="K94" s="131"/>
      <c r="L94" s="132"/>
      <c r="M94" s="133"/>
      <c r="N94" s="1387"/>
      <c r="O94" s="1387"/>
      <c r="P94" s="1377"/>
      <c r="Q94" s="120"/>
    </row>
    <row r="95" spans="1:17" ht="15" thickBot="1">
      <c r="A95" s="172"/>
      <c r="B95" s="1053"/>
      <c r="C95" s="901"/>
      <c r="D95" s="877"/>
      <c r="E95" s="877"/>
      <c r="F95" s="877"/>
      <c r="G95" s="877"/>
      <c r="H95" s="877"/>
      <c r="I95" s="877"/>
      <c r="J95" s="877"/>
      <c r="K95" s="877"/>
      <c r="L95" s="877"/>
      <c r="M95" s="878"/>
      <c r="N95" s="1388"/>
      <c r="O95" s="1388"/>
      <c r="P95" s="1377"/>
      <c r="Q95" s="120"/>
    </row>
    <row r="96" spans="1:17" ht="14.25" thickTop="1">
      <c r="A96" s="172"/>
      <c r="B96" s="1052">
        <f>B30</f>
        <v>111</v>
      </c>
      <c r="C96" s="138"/>
      <c r="D96" s="138"/>
      <c r="E96" s="138"/>
      <c r="F96" s="138"/>
      <c r="G96" s="130"/>
      <c r="H96" s="130"/>
      <c r="I96" s="130"/>
      <c r="J96" s="130"/>
      <c r="K96" s="131"/>
      <c r="L96" s="132"/>
      <c r="M96" s="133"/>
      <c r="N96" s="1387"/>
      <c r="O96" s="1387"/>
      <c r="P96" s="1377"/>
      <c r="Q96" s="120"/>
    </row>
    <row r="97" spans="1:17" ht="15" thickBot="1">
      <c r="A97" s="172"/>
      <c r="B97" s="1053"/>
      <c r="C97" s="901"/>
      <c r="D97" s="877"/>
      <c r="E97" s="877"/>
      <c r="F97" s="877"/>
      <c r="G97" s="877"/>
      <c r="H97" s="877"/>
      <c r="I97" s="877"/>
      <c r="J97" s="877"/>
      <c r="K97" s="877"/>
      <c r="L97" s="877"/>
      <c r="M97" s="878"/>
      <c r="N97" s="1388"/>
      <c r="O97" s="1388"/>
      <c r="P97" s="1377"/>
      <c r="Q97" s="120"/>
    </row>
    <row r="98" spans="1:17" ht="14.25" thickTop="1">
      <c r="A98" s="172"/>
      <c r="B98" s="1054">
        <f>B31</f>
        <v>111</v>
      </c>
      <c r="C98" s="138"/>
      <c r="D98" s="138"/>
      <c r="E98" s="138"/>
      <c r="F98" s="138"/>
      <c r="G98" s="134"/>
      <c r="H98" s="134"/>
      <c r="I98" s="134"/>
      <c r="J98" s="134"/>
      <c r="K98" s="135"/>
      <c r="L98" s="136"/>
      <c r="M98" s="137"/>
      <c r="N98" s="1387"/>
      <c r="O98" s="1387"/>
      <c r="P98" s="1377"/>
      <c r="Q98" s="120"/>
    </row>
    <row r="99" spans="1:17" ht="15" thickBot="1">
      <c r="A99" s="173"/>
      <c r="B99" s="1069"/>
      <c r="C99" s="911"/>
      <c r="D99" s="911"/>
      <c r="E99" s="911"/>
      <c r="F99" s="911"/>
      <c r="G99" s="932"/>
      <c r="H99" s="932"/>
      <c r="I99" s="932"/>
      <c r="J99" s="932"/>
      <c r="K99" s="932"/>
      <c r="L99" s="932"/>
      <c r="M99" s="933"/>
      <c r="N99" s="1388"/>
      <c r="O99" s="1388"/>
      <c r="P99" s="1377"/>
      <c r="Q99" s="120"/>
    </row>
    <row r="100" spans="1:17">
      <c r="A100" s="171" t="s">
        <v>1053</v>
      </c>
      <c r="B100" s="285" t="s">
        <v>1054</v>
      </c>
      <c r="C100" s="121"/>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0"/>
    </row>
    <row r="102" spans="1:17" ht="15" thickTop="1">
      <c r="A102" s="172"/>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0"/>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4"/>
      <c r="B105" s="1052" t="s">
        <v>1056</v>
      </c>
      <c r="C105" s="138"/>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0"/>
    </row>
    <row r="107" spans="1:17" ht="14.25" thickTop="1">
      <c r="A107" s="174"/>
      <c r="B107" s="1052" t="s">
        <v>1057</v>
      </c>
      <c r="C107" s="138"/>
      <c r="D107" s="138"/>
      <c r="E107" s="138"/>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0"/>
    </row>
    <row r="109" spans="1:17" ht="15" thickTop="1">
      <c r="A109" s="174"/>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0"/>
      <c r="J109" s="130"/>
      <c r="K109" s="131"/>
      <c r="L109" s="132"/>
      <c r="M109" s="133"/>
      <c r="N109" s="1387"/>
      <c r="O109" s="1387"/>
      <c r="P109" s="1377"/>
      <c r="Q109" s="120"/>
    </row>
    <row r="110" spans="1:17" ht="14.25">
      <c r="A110" s="174"/>
      <c r="B110" s="1054"/>
      <c r="C110" s="944">
        <v>0.5</v>
      </c>
      <c r="D110" s="944">
        <v>0.6</v>
      </c>
      <c r="E110" s="944">
        <v>0.7</v>
      </c>
      <c r="F110" s="944">
        <v>0.8</v>
      </c>
      <c r="G110" s="944">
        <v>0.9</v>
      </c>
      <c r="H110" s="944">
        <v>1.0001</v>
      </c>
      <c r="I110" s="182"/>
      <c r="J110" s="182"/>
      <c r="K110" s="183"/>
      <c r="L110" s="184"/>
      <c r="M110" s="185"/>
      <c r="N110" s="1387"/>
      <c r="O110" s="1387"/>
      <c r="P110" s="1377"/>
      <c r="Q110" s="120"/>
    </row>
    <row r="111" spans="1:17" ht="15" thickBot="1">
      <c r="A111" s="172"/>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0"/>
    </row>
    <row r="112" spans="1:17" s="1037" customFormat="1" ht="14.25" thickTop="1">
      <c r="A112" s="1071"/>
      <c r="B112" s="1052" t="s">
        <v>2640</v>
      </c>
      <c r="C112" s="138"/>
      <c r="D112" s="138"/>
      <c r="E112" s="138"/>
      <c r="F112" s="138"/>
      <c r="G112" s="138"/>
      <c r="H112" s="130"/>
      <c r="I112" s="130"/>
      <c r="J112" s="130"/>
      <c r="K112" s="131"/>
      <c r="L112" s="132"/>
      <c r="M112" s="133"/>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4"/>
      <c r="B114" s="1052" t="s">
        <v>1059</v>
      </c>
      <c r="C114" s="138"/>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0"/>
    </row>
    <row r="116" spans="1:17" ht="14.25" thickTop="1">
      <c r="A116" s="174"/>
      <c r="B116" s="1052" t="s">
        <v>1060</v>
      </c>
      <c r="C116" s="138"/>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0"/>
    </row>
    <row r="118" spans="1:17" ht="15" thickTop="1">
      <c r="A118" s="174"/>
      <c r="B118" s="1052" t="s">
        <v>1061</v>
      </c>
      <c r="C118" s="968"/>
      <c r="D118" s="968"/>
      <c r="E118" s="968"/>
      <c r="F118" s="968"/>
      <c r="G118" s="968"/>
      <c r="H118" s="896"/>
      <c r="I118" s="896"/>
      <c r="J118" s="896"/>
      <c r="K118" s="896"/>
      <c r="L118" s="897"/>
      <c r="M118" s="898"/>
      <c r="N118" s="1387"/>
      <c r="O118" s="1387"/>
      <c r="P118" s="1377"/>
      <c r="Q118" s="120"/>
    </row>
    <row r="119" spans="1:17" ht="15" thickBot="1">
      <c r="A119" s="172"/>
      <c r="B119" s="1053"/>
      <c r="C119" s="901"/>
      <c r="D119" s="877"/>
      <c r="E119" s="877"/>
      <c r="F119" s="877"/>
      <c r="G119" s="877"/>
      <c r="H119" s="877"/>
      <c r="I119" s="877"/>
      <c r="J119" s="877"/>
      <c r="K119" s="877"/>
      <c r="L119" s="877"/>
      <c r="M119" s="878"/>
      <c r="N119" s="1388"/>
      <c r="O119" s="1388"/>
      <c r="P119" s="1377"/>
      <c r="Q119" s="120"/>
    </row>
    <row r="120" spans="1:17" s="1037" customFormat="1" ht="14.25" thickTop="1">
      <c r="A120" s="1071"/>
      <c r="B120" s="1052" t="s">
        <v>1062</v>
      </c>
      <c r="C120" s="130"/>
      <c r="D120" s="130"/>
      <c r="E120" s="130"/>
      <c r="F120" s="130"/>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4"/>
      <c r="B122" s="1052" t="s">
        <v>1063</v>
      </c>
      <c r="C122" s="138"/>
      <c r="D122" s="138"/>
      <c r="E122" s="138"/>
      <c r="F122" s="130"/>
      <c r="G122" s="130"/>
      <c r="H122" s="130"/>
      <c r="I122" s="130"/>
      <c r="J122" s="130"/>
      <c r="K122" s="131"/>
      <c r="L122" s="132"/>
      <c r="M122" s="133"/>
      <c r="N122" s="1387"/>
      <c r="O122" s="1387"/>
      <c r="P122" s="1377"/>
      <c r="Q122" s="120"/>
    </row>
    <row r="123" spans="1:17" ht="15" thickBot="1">
      <c r="A123" s="172"/>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0"/>
    </row>
    <row r="124" spans="1:17" ht="27.75" thickTop="1">
      <c r="A124" s="174"/>
      <c r="B124" s="1052" t="s">
        <v>1064</v>
      </c>
      <c r="C124" s="180" t="s">
        <v>1045</v>
      </c>
      <c r="D124" s="180" t="s">
        <v>1046</v>
      </c>
      <c r="E124" s="180" t="s">
        <v>1047</v>
      </c>
      <c r="F124" s="180" t="s">
        <v>1048</v>
      </c>
      <c r="G124" s="180" t="s">
        <v>1049</v>
      </c>
      <c r="H124" s="176"/>
      <c r="I124" s="176"/>
      <c r="J124" s="176"/>
      <c r="K124" s="177"/>
      <c r="L124" s="178"/>
      <c r="M124" s="179"/>
      <c r="N124" s="1387"/>
      <c r="O124" s="1387"/>
      <c r="P124" s="1378"/>
      <c r="Q124" s="120"/>
    </row>
    <row r="125" spans="1:17" ht="15" thickBot="1">
      <c r="A125" s="172"/>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0"/>
    </row>
    <row r="126" spans="1:17" s="1037" customFormat="1" ht="14.25" thickTop="1">
      <c r="A126" s="1071"/>
      <c r="B126" s="1052">
        <f>B44</f>
        <v>111</v>
      </c>
      <c r="C126" s="138"/>
      <c r="D126" s="138"/>
      <c r="E126" s="138"/>
      <c r="F126" s="138"/>
      <c r="G126" s="138"/>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877"/>
      <c r="E129" s="877"/>
      <c r="F129" s="877"/>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1065</v>
      </c>
      <c r="B1" s="3115" t="s">
        <v>1066</v>
      </c>
      <c r="C1" s="3109" t="s">
        <v>1067</v>
      </c>
      <c r="D1" s="3100"/>
      <c r="E1" s="3105"/>
      <c r="F1" s="3102"/>
      <c r="G1" s="3104" t="s">
        <v>1068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1069</v>
      </c>
      <c r="B2" s="2842" t="e">
        <f ca="1">IF(C2="——",ROUND(C50*D3/10000,0),ROUND(C50*D3/10000,0)-D2)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1" t="s">
        <v>1071</v>
      </c>
      <c r="D3" s="740">
        <f>IF(D1="",'数据-汇总表'!E3,SUMIF('数据-汇总表'!$C19:$C33,D1,'数据-汇总表'!$E19:$E33))</f>
        <v>62458.42</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2" t="s">
        <v>1072</v>
      </c>
      <c r="B4" s="143"/>
      <c r="C4" s="3652" t="s">
        <v>1073</v>
      </c>
      <c r="D4" s="3653"/>
      <c r="E4" s="3654" t="s">
        <v>1074</v>
      </c>
      <c r="F4" s="3655"/>
      <c r="G4" s="3652" t="s">
        <v>1075</v>
      </c>
      <c r="H4" s="3653"/>
      <c r="I4" s="3652" t="s">
        <v>1076</v>
      </c>
      <c r="J4" s="3653"/>
      <c r="K4" s="186" t="s">
        <v>1077</v>
      </c>
      <c r="L4" s="2294"/>
      <c r="M4" s="2295"/>
      <c r="N4" s="2295"/>
      <c r="O4" s="2295"/>
      <c r="P4" s="3701" t="s">
        <v>1072</v>
      </c>
      <c r="Q4" s="3702"/>
      <c r="R4" s="3696" t="s">
        <v>1074</v>
      </c>
      <c r="S4" s="3697"/>
      <c r="T4" s="3696" t="s">
        <v>1075</v>
      </c>
      <c r="U4" s="3697"/>
      <c r="V4" s="3705" t="s">
        <v>1076</v>
      </c>
      <c r="W4" s="3705"/>
      <c r="X4" s="2334"/>
      <c r="Y4" s="3696" t="s">
        <v>1072</v>
      </c>
      <c r="Z4" s="3697"/>
      <c r="AA4" s="3695" t="s">
        <v>1074</v>
      </c>
      <c r="AB4" s="3695" t="s">
        <v>1075</v>
      </c>
      <c r="AC4" s="3698" t="s">
        <v>1076</v>
      </c>
    </row>
    <row r="5" spans="1:29">
      <c r="A5" s="145"/>
      <c r="B5" s="146"/>
      <c r="C5" s="3666" t="s">
        <v>1078</v>
      </c>
      <c r="D5" s="3667"/>
      <c r="E5" s="3668" t="s">
        <v>1079</v>
      </c>
      <c r="F5" s="3669"/>
      <c r="G5" s="3666" t="s">
        <v>1080</v>
      </c>
      <c r="H5" s="3667"/>
      <c r="I5" s="3666" t="s">
        <v>1081</v>
      </c>
      <c r="J5" s="3667"/>
      <c r="K5" s="186"/>
      <c r="L5" s="2294"/>
      <c r="M5" s="2295"/>
      <c r="N5" s="2295"/>
      <c r="O5" s="2295"/>
      <c r="P5" s="3703"/>
      <c r="Q5" s="3659"/>
      <c r="R5" s="3664"/>
      <c r="S5" s="3665"/>
      <c r="T5" s="3664"/>
      <c r="U5" s="3665"/>
      <c r="V5" s="3676"/>
      <c r="W5" s="3676"/>
      <c r="X5" s="2220"/>
      <c r="Y5" s="3664"/>
      <c r="Z5" s="3665"/>
      <c r="AA5" s="3650"/>
      <c r="AB5" s="3650"/>
      <c r="AC5" s="3699"/>
    </row>
    <row r="6" spans="1:29" ht="14.25" thickBot="1">
      <c r="A6" s="147"/>
      <c r="B6" s="148"/>
      <c r="C6" s="3670" t="s">
        <v>1082</v>
      </c>
      <c r="D6" s="3671"/>
      <c r="E6" s="3672" t="s">
        <v>1082</v>
      </c>
      <c r="F6" s="3673"/>
      <c r="G6" s="3670" t="s">
        <v>1082</v>
      </c>
      <c r="H6" s="3671"/>
      <c r="I6" s="3670" t="s">
        <v>1082</v>
      </c>
      <c r="J6" s="3671"/>
      <c r="K6" s="186" t="s">
        <v>1083</v>
      </c>
      <c r="L6" s="2294"/>
      <c r="M6" s="2295"/>
      <c r="N6" s="2295"/>
      <c r="O6" s="2295"/>
      <c r="P6" s="3704"/>
      <c r="Q6" s="3661"/>
      <c r="R6" s="3664"/>
      <c r="S6" s="3665"/>
      <c r="T6" s="3674"/>
      <c r="U6" s="3675"/>
      <c r="V6" s="3676"/>
      <c r="W6" s="3676"/>
      <c r="X6" s="2220"/>
      <c r="Y6" s="3674"/>
      <c r="Z6" s="3675"/>
      <c r="AA6" s="3651"/>
      <c r="AB6" s="3651"/>
      <c r="AC6" s="3700"/>
    </row>
    <row r="7" spans="1:29" s="40" customFormat="1" ht="15" thickBot="1">
      <c r="A7" s="1012" t="s">
        <v>1084</v>
      </c>
      <c r="B7" s="1013"/>
      <c r="C7" s="751">
        <f>'数据-取费表'!B2</f>
        <v>42977</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06" t="s">
        <v>1084</v>
      </c>
      <c r="Q7" s="3678"/>
      <c r="R7" s="1340" t="s">
        <v>65</v>
      </c>
      <c r="S7" s="1341">
        <f t="shared" ref="S7:S15" si="0">F7</f>
        <v>0</v>
      </c>
      <c r="T7" s="1340" t="s">
        <v>65</v>
      </c>
      <c r="U7" s="1341">
        <f t="shared" ref="U7:U15" si="1">H7</f>
        <v>0</v>
      </c>
      <c r="V7" s="1340" t="s">
        <v>65</v>
      </c>
      <c r="W7" s="1341">
        <f t="shared" ref="W7:W15" si="2">J7</f>
        <v>0</v>
      </c>
      <c r="X7" s="286"/>
      <c r="Y7" s="3677" t="s">
        <v>1084</v>
      </c>
      <c r="Z7" s="3679"/>
      <c r="AA7" s="1342" t="e">
        <f>D7/F7</f>
        <v>#DIV/0!</v>
      </c>
      <c r="AB7" s="1342" t="e">
        <f>D7/H7</f>
        <v>#DIV/0!</v>
      </c>
      <c r="AC7" s="2335" t="e">
        <f>D7/J7</f>
        <v>#DIV/0!</v>
      </c>
    </row>
    <row r="8" spans="1:29" s="40" customFormat="1" ht="15" thickBot="1">
      <c r="A8" s="1012" t="s">
        <v>1085</v>
      </c>
      <c r="B8" s="1013"/>
      <c r="C8" s="1018" t="s">
        <v>1086</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06" t="s">
        <v>1018</v>
      </c>
      <c r="Q8" s="3679"/>
      <c r="R8" s="1340" t="s">
        <v>65</v>
      </c>
      <c r="S8" s="1341">
        <f t="shared" si="0"/>
        <v>0</v>
      </c>
      <c r="T8" s="1340" t="s">
        <v>65</v>
      </c>
      <c r="U8" s="1341">
        <f t="shared" si="1"/>
        <v>0</v>
      </c>
      <c r="V8" s="1340" t="s">
        <v>65</v>
      </c>
      <c r="W8" s="1341">
        <f t="shared" si="2"/>
        <v>0</v>
      </c>
      <c r="X8" s="286"/>
      <c r="Y8" s="3677" t="s">
        <v>1018</v>
      </c>
      <c r="Z8" s="3679"/>
      <c r="AA8" s="1342" t="e">
        <f t="shared" ref="AA8:AA47" si="3">D8/F8</f>
        <v>#DIV/0!</v>
      </c>
      <c r="AB8" s="1342" t="e">
        <f t="shared" ref="AB8:AB47" si="4">D8/H8</f>
        <v>#DIV/0!</v>
      </c>
      <c r="AC8" s="2335" t="e">
        <f t="shared" ref="AC8:AC47" si="5">D8/J8</f>
        <v>#DIV/0!</v>
      </c>
    </row>
    <row r="9" spans="1:29" s="40" customFormat="1" ht="14.25">
      <c r="A9" s="1019" t="s">
        <v>1019</v>
      </c>
      <c r="B9" s="62" t="s">
        <v>1020</v>
      </c>
      <c r="C9" s="1344"/>
      <c r="D9" s="423">
        <v>100</v>
      </c>
      <c r="E9" s="1346"/>
      <c r="F9" s="423">
        <f>SUMIF(64:64,E9,65:65)-SUMIF(64:64,C9,65:65)+100</f>
        <v>100</v>
      </c>
      <c r="G9" s="1345"/>
      <c r="H9" s="423">
        <f>SUMIF(64:64,G9,65:65)-SUMIF(64:64,C9,65:65)+100</f>
        <v>100</v>
      </c>
      <c r="I9" s="1345"/>
      <c r="J9" s="423">
        <f>SUMIF(64:64,I9,65:65)-SUMIF(64:64,C9,65:65)+100</f>
        <v>100</v>
      </c>
      <c r="K9" s="1017"/>
      <c r="L9" s="2296"/>
      <c r="M9" s="2258"/>
      <c r="N9" s="2258"/>
      <c r="O9" s="2258"/>
      <c r="P9" s="3680" t="s">
        <v>67</v>
      </c>
      <c r="Q9" s="2211" t="str">
        <f t="shared" ref="Q9:Q15" si="6">B9</f>
        <v>用途</v>
      </c>
      <c r="R9" s="1340" t="s">
        <v>65</v>
      </c>
      <c r="S9" s="1341">
        <f t="shared" si="0"/>
        <v>100</v>
      </c>
      <c r="T9" s="1340" t="s">
        <v>65</v>
      </c>
      <c r="U9" s="1341">
        <f t="shared" si="1"/>
        <v>100</v>
      </c>
      <c r="V9" s="1340" t="s">
        <v>65</v>
      </c>
      <c r="W9" s="1341">
        <f t="shared" si="2"/>
        <v>100</v>
      </c>
      <c r="X9" s="286"/>
      <c r="Y9" s="3445" t="s">
        <v>67</v>
      </c>
      <c r="Z9" s="2210" t="str">
        <f t="shared" ref="Z9:Z15" si="7">Q9</f>
        <v>用途</v>
      </c>
      <c r="AA9" s="1342">
        <f t="shared" si="3"/>
        <v>1</v>
      </c>
      <c r="AB9" s="1342">
        <f t="shared" si="4"/>
        <v>1</v>
      </c>
      <c r="AC9" s="2335">
        <f t="shared" si="5"/>
        <v>1</v>
      </c>
    </row>
    <row r="10" spans="1:29" s="92" customFormat="1" ht="27">
      <c r="A10" s="149"/>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7"/>
      <c r="M10" s="2298"/>
      <c r="N10" s="2298"/>
      <c r="O10" s="2298"/>
      <c r="P10" s="3680"/>
      <c r="Q10" s="2211" t="str">
        <f t="shared" si="6"/>
        <v>土地使用年限（年）</v>
      </c>
      <c r="R10" s="1340" t="s">
        <v>65</v>
      </c>
      <c r="S10" s="1341">
        <f t="shared" si="0"/>
        <v>100</v>
      </c>
      <c r="T10" s="1340" t="s">
        <v>65</v>
      </c>
      <c r="U10" s="1341">
        <f t="shared" si="1"/>
        <v>100</v>
      </c>
      <c r="V10" s="1340" t="s">
        <v>65</v>
      </c>
      <c r="W10" s="1341">
        <f t="shared" si="2"/>
        <v>100</v>
      </c>
      <c r="X10" s="286"/>
      <c r="Y10" s="3445"/>
      <c r="Z10" s="2210" t="str">
        <f t="shared" si="7"/>
        <v>土地使用年限（年）</v>
      </c>
      <c r="AA10" s="1342">
        <f t="shared" si="3"/>
        <v>1</v>
      </c>
      <c r="AB10" s="1342">
        <f t="shared" si="4"/>
        <v>1</v>
      </c>
      <c r="AC10" s="2335">
        <f t="shared" si="5"/>
        <v>1</v>
      </c>
    </row>
    <row r="11" spans="1:29" ht="15">
      <c r="A11" s="150"/>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80"/>
      <c r="Q11" s="2211" t="str">
        <f t="shared" si="6"/>
        <v>容积率</v>
      </c>
      <c r="R11" s="1340" t="s">
        <v>65</v>
      </c>
      <c r="S11" s="1341" t="e">
        <f t="shared" si="0"/>
        <v>#N/A</v>
      </c>
      <c r="T11" s="1340" t="s">
        <v>65</v>
      </c>
      <c r="U11" s="1341" t="e">
        <f t="shared" si="1"/>
        <v>#N/A</v>
      </c>
      <c r="V11" s="1340" t="s">
        <v>65</v>
      </c>
      <c r="W11" s="1341" t="e">
        <f t="shared" si="2"/>
        <v>#N/A</v>
      </c>
      <c r="X11" s="286"/>
      <c r="Y11" s="3445"/>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7"/>
      <c r="L12" s="2296"/>
      <c r="M12" s="2258"/>
      <c r="N12" s="2258"/>
      <c r="O12" s="2258"/>
      <c r="P12" s="3680"/>
      <c r="Q12" s="2211">
        <f t="shared" si="6"/>
        <v>111</v>
      </c>
      <c r="R12" s="1340" t="s">
        <v>65</v>
      </c>
      <c r="S12" s="1341">
        <f t="shared" si="0"/>
        <v>100</v>
      </c>
      <c r="T12" s="1340" t="s">
        <v>65</v>
      </c>
      <c r="U12" s="1341">
        <f t="shared" si="1"/>
        <v>100</v>
      </c>
      <c r="V12" s="1340" t="s">
        <v>65</v>
      </c>
      <c r="W12" s="1341">
        <f t="shared" si="2"/>
        <v>100</v>
      </c>
      <c r="X12" s="286"/>
      <c r="Y12" s="3445"/>
      <c r="Z12" s="2210">
        <f t="shared" si="7"/>
        <v>111</v>
      </c>
      <c r="AA12" s="1342">
        <f>D12/F12</f>
        <v>1</v>
      </c>
      <c r="AB12" s="1342">
        <f>D12/H12</f>
        <v>1</v>
      </c>
      <c r="AC12" s="2335">
        <f>D12/J12</f>
        <v>1</v>
      </c>
    </row>
    <row r="13" spans="1:29" ht="14.25">
      <c r="A13" s="150"/>
      <c r="B13" s="1029">
        <v>111</v>
      </c>
      <c r="C13" s="93"/>
      <c r="D13" s="776">
        <v>100</v>
      </c>
      <c r="E13" s="1022"/>
      <c r="F13" s="424">
        <f>SUMIF(73:73,E13,74:74)-SUMIF(73:73,C13,74:74)+100</f>
        <v>100</v>
      </c>
      <c r="G13" s="1401"/>
      <c r="H13" s="776">
        <f>SUMIF(73:73,G13,74:74)-SUMIF(73:73,C13,74:74)+100</f>
        <v>100</v>
      </c>
      <c r="I13" s="1022"/>
      <c r="J13" s="776">
        <f>SUMIF(73:73,I13,74:74)-SUMIF(73:73,C13,74:74)+100</f>
        <v>100</v>
      </c>
      <c r="K13" s="187"/>
      <c r="L13" s="2300"/>
      <c r="M13" s="2295"/>
      <c r="N13" s="2295"/>
      <c r="O13" s="2295"/>
      <c r="P13" s="3680"/>
      <c r="Q13" s="2211">
        <f t="shared" si="6"/>
        <v>111</v>
      </c>
      <c r="R13" s="1340" t="s">
        <v>65</v>
      </c>
      <c r="S13" s="1341">
        <f t="shared" si="0"/>
        <v>100</v>
      </c>
      <c r="T13" s="1340" t="s">
        <v>65</v>
      </c>
      <c r="U13" s="1341">
        <f t="shared" si="1"/>
        <v>100</v>
      </c>
      <c r="V13" s="1340" t="s">
        <v>65</v>
      </c>
      <c r="W13" s="1341">
        <f t="shared" si="2"/>
        <v>100</v>
      </c>
      <c r="X13" s="286"/>
      <c r="Y13" s="3445"/>
      <c r="Z13" s="2210">
        <f t="shared" si="7"/>
        <v>111</v>
      </c>
      <c r="AA13" s="1342">
        <f t="shared" si="3"/>
        <v>1</v>
      </c>
      <c r="AB13" s="1342">
        <f t="shared" si="4"/>
        <v>1</v>
      </c>
      <c r="AC13" s="2335">
        <f t="shared" si="5"/>
        <v>1</v>
      </c>
    </row>
    <row r="14" spans="1:29" ht="15" thickBot="1">
      <c r="A14" s="153"/>
      <c r="B14" s="1030">
        <v>111</v>
      </c>
      <c r="C14" s="94"/>
      <c r="D14" s="779">
        <v>100</v>
      </c>
      <c r="E14" s="1402"/>
      <c r="F14" s="779">
        <f>SUMIF(75:75,E14,76:76)-SUMIF(75:75,C14,76:76)+100</f>
        <v>100</v>
      </c>
      <c r="G14" s="1401"/>
      <c r="H14" s="779">
        <f>SUMIF(75:75,G14,76:76)-SUMIF(75:75,C14,76:76)+100</f>
        <v>100</v>
      </c>
      <c r="I14" s="1022"/>
      <c r="J14" s="779">
        <f>SUMIF(75:75,I14,76:76)-SUMIF(75:75,C14,76:76)+100</f>
        <v>100</v>
      </c>
      <c r="K14" s="187"/>
      <c r="L14" s="2300"/>
      <c r="M14" s="2295"/>
      <c r="N14" s="2295"/>
      <c r="O14" s="2295"/>
      <c r="P14" s="3680"/>
      <c r="Q14" s="2211">
        <f t="shared" si="6"/>
        <v>111</v>
      </c>
      <c r="R14" s="1340" t="s">
        <v>65</v>
      </c>
      <c r="S14" s="1341">
        <f t="shared" si="0"/>
        <v>100</v>
      </c>
      <c r="T14" s="1340" t="s">
        <v>65</v>
      </c>
      <c r="U14" s="1341">
        <f t="shared" si="1"/>
        <v>100</v>
      </c>
      <c r="V14" s="1340" t="s">
        <v>65</v>
      </c>
      <c r="W14" s="1341">
        <f t="shared" si="2"/>
        <v>100</v>
      </c>
      <c r="X14" s="286"/>
      <c r="Y14" s="3445"/>
      <c r="Z14" s="2210">
        <f t="shared" si="7"/>
        <v>111</v>
      </c>
      <c r="AA14" s="1342">
        <f t="shared" si="3"/>
        <v>1</v>
      </c>
      <c r="AB14" s="1342">
        <f t="shared" si="4"/>
        <v>1</v>
      </c>
      <c r="AC14" s="2335">
        <f t="shared" si="5"/>
        <v>1</v>
      </c>
    </row>
    <row r="15" spans="1:29" ht="67.5">
      <c r="A15" s="154" t="s">
        <v>69</v>
      </c>
      <c r="B15" s="1031" t="s">
        <v>142</v>
      </c>
      <c r="C15" s="207"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81" t="s">
        <v>69</v>
      </c>
      <c r="Q15" s="2218" t="str">
        <f t="shared" si="6"/>
        <v>办公集聚程度</v>
      </c>
      <c r="R15" s="1350" t="s">
        <v>65</v>
      </c>
      <c r="S15" s="1351">
        <f t="shared" si="0"/>
        <v>100</v>
      </c>
      <c r="T15" s="1350" t="s">
        <v>65</v>
      </c>
      <c r="U15" s="1351">
        <f t="shared" si="1"/>
        <v>100</v>
      </c>
      <c r="V15" s="1350" t="s">
        <v>65</v>
      </c>
      <c r="W15" s="1351">
        <f t="shared" si="2"/>
        <v>100</v>
      </c>
      <c r="X15" s="2220"/>
      <c r="Y15" s="3683" t="s">
        <v>69</v>
      </c>
      <c r="Z15" s="2219" t="str">
        <f t="shared" si="7"/>
        <v>办公集聚程度</v>
      </c>
      <c r="AA15" s="1353">
        <f t="shared" si="3"/>
        <v>1</v>
      </c>
      <c r="AB15" s="1353">
        <f t="shared" si="4"/>
        <v>1</v>
      </c>
      <c r="AC15" s="2336">
        <f t="shared" si="5"/>
        <v>1</v>
      </c>
    </row>
    <row r="16" spans="1:29" ht="14.25">
      <c r="A16" s="150"/>
      <c r="B16" s="208"/>
      <c r="C16" s="191"/>
      <c r="D16" s="789"/>
      <c r="E16" s="97"/>
      <c r="F16" s="789"/>
      <c r="G16" s="191"/>
      <c r="H16" s="791"/>
      <c r="I16" s="97"/>
      <c r="J16" s="789"/>
      <c r="K16" s="188"/>
      <c r="L16" s="2300"/>
      <c r="M16" s="2295"/>
      <c r="N16" s="2295"/>
      <c r="O16" s="2295"/>
      <c r="P16" s="3682"/>
      <c r="Q16" s="2218"/>
      <c r="R16" s="1350"/>
      <c r="S16" s="1351"/>
      <c r="T16" s="1350"/>
      <c r="U16" s="1351"/>
      <c r="V16" s="1350"/>
      <c r="W16" s="1351"/>
      <c r="X16" s="2220"/>
      <c r="Y16" s="3684"/>
      <c r="Z16" s="2219"/>
      <c r="AA16" s="1353">
        <v>1</v>
      </c>
      <c r="AB16" s="1353">
        <v>1</v>
      </c>
      <c r="AC16" s="2336">
        <v>1</v>
      </c>
    </row>
    <row r="17" spans="1:29" ht="81">
      <c r="A17" s="150"/>
      <c r="B17" s="1032" t="s">
        <v>72</v>
      </c>
      <c r="C17" s="209"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82"/>
      <c r="Q17" s="2218" t="str">
        <f>B17</f>
        <v>交通便捷度</v>
      </c>
      <c r="R17" s="1350" t="s">
        <v>65</v>
      </c>
      <c r="S17" s="1351">
        <f>F17</f>
        <v>100</v>
      </c>
      <c r="T17" s="1350" t="s">
        <v>65</v>
      </c>
      <c r="U17" s="1351">
        <f>H17</f>
        <v>100</v>
      </c>
      <c r="V17" s="1350" t="s">
        <v>65</v>
      </c>
      <c r="W17" s="1351">
        <f>J17</f>
        <v>100</v>
      </c>
      <c r="X17" s="2220"/>
      <c r="Y17" s="3684"/>
      <c r="Z17" s="2219" t="str">
        <f>Q17</f>
        <v>交通便捷度</v>
      </c>
      <c r="AA17" s="1353">
        <f t="shared" si="3"/>
        <v>1</v>
      </c>
      <c r="AB17" s="1353">
        <f t="shared" si="4"/>
        <v>1</v>
      </c>
      <c r="AC17" s="2336">
        <f t="shared" si="5"/>
        <v>1</v>
      </c>
    </row>
    <row r="18" spans="1:29" ht="14.25">
      <c r="A18" s="150"/>
      <c r="B18" s="1033"/>
      <c r="C18" s="192"/>
      <c r="D18" s="791"/>
      <c r="E18" s="104"/>
      <c r="F18" s="791"/>
      <c r="G18" s="103"/>
      <c r="H18" s="789"/>
      <c r="I18" s="103"/>
      <c r="J18" s="789"/>
      <c r="K18" s="188"/>
      <c r="L18" s="2300"/>
      <c r="M18" s="2295"/>
      <c r="N18" s="2295"/>
      <c r="O18" s="2295"/>
      <c r="P18" s="3682"/>
      <c r="Q18" s="2218"/>
      <c r="R18" s="1350"/>
      <c r="S18" s="1351"/>
      <c r="T18" s="1350"/>
      <c r="U18" s="1351"/>
      <c r="V18" s="1350"/>
      <c r="W18" s="1351"/>
      <c r="X18" s="2220"/>
      <c r="Y18" s="3684"/>
      <c r="Z18" s="2219"/>
      <c r="AA18" s="1353">
        <v>1</v>
      </c>
      <c r="AB18" s="1353">
        <v>1</v>
      </c>
      <c r="AC18" s="2336">
        <v>1</v>
      </c>
    </row>
    <row r="19" spans="1:29" ht="40.5">
      <c r="A19" s="150"/>
      <c r="B19" s="1032" t="s">
        <v>2663</v>
      </c>
      <c r="C19" s="209"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82"/>
      <c r="Q19" s="2218" t="str">
        <f>B19</f>
        <v>公共配套设施</v>
      </c>
      <c r="R19" s="1350" t="s">
        <v>65</v>
      </c>
      <c r="S19" s="1351">
        <f>F19</f>
        <v>100</v>
      </c>
      <c r="T19" s="1350" t="s">
        <v>65</v>
      </c>
      <c r="U19" s="1351">
        <f>H19</f>
        <v>100</v>
      </c>
      <c r="V19" s="1350" t="s">
        <v>65</v>
      </c>
      <c r="W19" s="1351">
        <f>J19</f>
        <v>100</v>
      </c>
      <c r="X19" s="2220"/>
      <c r="Y19" s="3684"/>
      <c r="Z19" s="2219" t="str">
        <f>Q19</f>
        <v>公共配套设施</v>
      </c>
      <c r="AA19" s="1353">
        <f t="shared" si="3"/>
        <v>1</v>
      </c>
      <c r="AB19" s="1353">
        <f t="shared" si="4"/>
        <v>1</v>
      </c>
      <c r="AC19" s="2336">
        <f t="shared" si="5"/>
        <v>1</v>
      </c>
    </row>
    <row r="20" spans="1:29" ht="14.25">
      <c r="A20" s="150"/>
      <c r="B20" s="1033"/>
      <c r="C20" s="191"/>
      <c r="D20" s="789"/>
      <c r="E20" s="99"/>
      <c r="F20" s="789"/>
      <c r="G20" s="98"/>
      <c r="H20" s="789"/>
      <c r="I20" s="98"/>
      <c r="J20" s="789"/>
      <c r="K20" s="188"/>
      <c r="L20" s="2300"/>
      <c r="M20" s="2295"/>
      <c r="N20" s="2295"/>
      <c r="O20" s="2295"/>
      <c r="P20" s="3682"/>
      <c r="Q20" s="2218"/>
      <c r="R20" s="1350"/>
      <c r="S20" s="1351"/>
      <c r="T20" s="1350"/>
      <c r="U20" s="1351"/>
      <c r="V20" s="1350"/>
      <c r="W20" s="1351"/>
      <c r="X20" s="2220"/>
      <c r="Y20" s="3684"/>
      <c r="Z20" s="2219"/>
      <c r="AA20" s="1353">
        <v>1</v>
      </c>
      <c r="AB20" s="1353">
        <v>1</v>
      </c>
      <c r="AC20" s="2336">
        <v>1</v>
      </c>
    </row>
    <row r="21" spans="1:29" ht="27">
      <c r="A21" s="150"/>
      <c r="B21" s="1034" t="s">
        <v>2664</v>
      </c>
      <c r="C21" s="209"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2336">
        <f t="shared" ref="AC21" si="10">D21/J21</f>
        <v>1</v>
      </c>
    </row>
    <row r="22" spans="1:29" ht="14.25">
      <c r="A22" s="150"/>
      <c r="B22" s="1034"/>
      <c r="C22" s="192"/>
      <c r="D22" s="789"/>
      <c r="E22" s="97"/>
      <c r="F22" s="789"/>
      <c r="G22" s="191"/>
      <c r="H22" s="789"/>
      <c r="I22" s="191"/>
      <c r="J22" s="789"/>
      <c r="K22" s="2764"/>
      <c r="L22" s="2300"/>
      <c r="M22" s="2295"/>
      <c r="N22" s="2295"/>
      <c r="O22" s="2295"/>
      <c r="P22" s="3682"/>
      <c r="Q22" s="2744"/>
      <c r="R22" s="1350"/>
      <c r="S22" s="1351"/>
      <c r="T22" s="1350"/>
      <c r="U22" s="1351"/>
      <c r="V22" s="1350"/>
      <c r="W22" s="1351"/>
      <c r="X22" s="2746"/>
      <c r="Y22" s="3684"/>
      <c r="Z22" s="2745"/>
      <c r="AA22" s="1353">
        <v>1</v>
      </c>
      <c r="AB22" s="1353">
        <v>1</v>
      </c>
      <c r="AC22" s="2336">
        <v>1</v>
      </c>
    </row>
    <row r="23" spans="1:29" ht="54">
      <c r="A23" s="150"/>
      <c r="B23" s="1032" t="s">
        <v>143</v>
      </c>
      <c r="C23" s="209"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82"/>
      <c r="Q23" s="2218" t="str">
        <f>B23</f>
        <v>环境质量</v>
      </c>
      <c r="R23" s="1350" t="s">
        <v>65</v>
      </c>
      <c r="S23" s="1351">
        <f>F23</f>
        <v>100</v>
      </c>
      <c r="T23" s="1350" t="s">
        <v>65</v>
      </c>
      <c r="U23" s="1351">
        <f>H23</f>
        <v>100</v>
      </c>
      <c r="V23" s="1350" t="s">
        <v>65</v>
      </c>
      <c r="W23" s="1351">
        <f>J23</f>
        <v>100</v>
      </c>
      <c r="X23" s="2220"/>
      <c r="Y23" s="3684"/>
      <c r="Z23" s="2219" t="str">
        <f>Q23</f>
        <v>环境质量</v>
      </c>
      <c r="AA23" s="1353">
        <f t="shared" si="3"/>
        <v>1</v>
      </c>
      <c r="AB23" s="1353">
        <f t="shared" si="4"/>
        <v>1</v>
      </c>
      <c r="AC23" s="2336">
        <f t="shared" si="5"/>
        <v>1</v>
      </c>
    </row>
    <row r="24" spans="1:29" ht="14.25">
      <c r="A24" s="150"/>
      <c r="B24" s="1034"/>
      <c r="C24" s="191"/>
      <c r="D24" s="789"/>
      <c r="E24" s="99"/>
      <c r="F24" s="789"/>
      <c r="G24" s="98"/>
      <c r="H24" s="789"/>
      <c r="I24" s="98"/>
      <c r="J24" s="789"/>
      <c r="K24" s="188"/>
      <c r="L24" s="2300"/>
      <c r="M24" s="2295"/>
      <c r="N24" s="2295"/>
      <c r="O24" s="2295"/>
      <c r="P24" s="3682"/>
      <c r="Q24" s="2218"/>
      <c r="R24" s="1350"/>
      <c r="S24" s="1351"/>
      <c r="T24" s="1350"/>
      <c r="U24" s="1351"/>
      <c r="V24" s="1350"/>
      <c r="W24" s="1351"/>
      <c r="X24" s="2220"/>
      <c r="Y24" s="3684"/>
      <c r="Z24" s="2219"/>
      <c r="AA24" s="1353">
        <v>1</v>
      </c>
      <c r="AB24" s="1353">
        <v>1</v>
      </c>
      <c r="AC24" s="2336">
        <v>1</v>
      </c>
    </row>
    <row r="25" spans="1:29" ht="27">
      <c r="A25" s="145"/>
      <c r="B25" s="1032" t="s">
        <v>144</v>
      </c>
      <c r="C25" s="193"/>
      <c r="D25" s="776">
        <v>100</v>
      </c>
      <c r="E25" s="93"/>
      <c r="F25" s="776">
        <f>SUMIF(87:87,E26,88:88)-SUMIF(87:87,C26,88:88)+100</f>
        <v>100</v>
      </c>
      <c r="G25" s="193"/>
      <c r="H25" s="776">
        <f>SUMIF(87:87,G26,88:88)-SUMIF(87:87,C26,88:88)+100</f>
        <v>100</v>
      </c>
      <c r="I25" s="93"/>
      <c r="J25" s="776">
        <f>SUMIF(87:87,I26,88:88)-SUMIF(87:87,C26,88:88)+100</f>
        <v>100</v>
      </c>
      <c r="K25" s="955"/>
      <c r="L25" s="2300"/>
      <c r="M25" s="2295"/>
      <c r="N25" s="2295"/>
      <c r="O25" s="2295"/>
      <c r="P25" s="3682"/>
      <c r="Q25" s="2218" t="str">
        <f>B25</f>
        <v>毗邻道路的类型与等级</v>
      </c>
      <c r="R25" s="1350" t="s">
        <v>65</v>
      </c>
      <c r="S25" s="1351">
        <f>F25</f>
        <v>100</v>
      </c>
      <c r="T25" s="1350" t="s">
        <v>65</v>
      </c>
      <c r="U25" s="1351">
        <f>H25</f>
        <v>100</v>
      </c>
      <c r="V25" s="1350" t="s">
        <v>65</v>
      </c>
      <c r="W25" s="1351">
        <f>J25</f>
        <v>100</v>
      </c>
      <c r="X25" s="2220"/>
      <c r="Y25" s="3684"/>
      <c r="Z25" s="2219" t="str">
        <f>Q25</f>
        <v>毗邻道路的类型与等级</v>
      </c>
      <c r="AA25" s="1353">
        <f t="shared" si="3"/>
        <v>1</v>
      </c>
      <c r="AB25" s="1353">
        <f t="shared" si="4"/>
        <v>1</v>
      </c>
      <c r="AC25" s="2336">
        <f t="shared" si="5"/>
        <v>1</v>
      </c>
    </row>
    <row r="26" spans="1:29" ht="14.25">
      <c r="A26" s="145"/>
      <c r="B26" s="1033"/>
      <c r="C26" s="194"/>
      <c r="D26" s="776"/>
      <c r="E26" s="181"/>
      <c r="F26" s="776"/>
      <c r="G26" s="194"/>
      <c r="H26" s="776"/>
      <c r="I26" s="181"/>
      <c r="J26" s="776"/>
      <c r="K26" s="188"/>
      <c r="L26" s="2300"/>
      <c r="M26" s="2295"/>
      <c r="N26" s="2295"/>
      <c r="O26" s="2295"/>
      <c r="P26" s="3682"/>
      <c r="Q26" s="2218"/>
      <c r="R26" s="1350"/>
      <c r="S26" s="1351"/>
      <c r="T26" s="1350"/>
      <c r="U26" s="1351"/>
      <c r="V26" s="1350"/>
      <c r="W26" s="1351"/>
      <c r="X26" s="2220"/>
      <c r="Y26" s="3684"/>
      <c r="Z26" s="2219"/>
      <c r="AA26" s="1353">
        <v>1</v>
      </c>
      <c r="AB26" s="1353">
        <v>1</v>
      </c>
      <c r="AC26" s="2336">
        <v>1</v>
      </c>
    </row>
    <row r="27" spans="1:29" ht="15">
      <c r="A27" s="150"/>
      <c r="B27" s="1033" t="s">
        <v>1087</v>
      </c>
      <c r="C27" s="194"/>
      <c r="D27" s="776">
        <v>100</v>
      </c>
      <c r="E27" s="181"/>
      <c r="F27" s="776">
        <f>SUMIF(89:89,E27,90:90)-SUMIF(89:89,C27,90:90)+100</f>
        <v>100</v>
      </c>
      <c r="G27" s="194"/>
      <c r="H27" s="776">
        <f>SUMIF(89:89,G27,90:90)-SUMIF(89:89,C27,90:90)+100</f>
        <v>100</v>
      </c>
      <c r="I27" s="181"/>
      <c r="J27" s="776">
        <f>SUMIF(89:89,I27,90:90)-SUMIF(89:89,C27,90:90)+100</f>
        <v>100</v>
      </c>
      <c r="K27" s="953"/>
      <c r="L27" s="2300"/>
      <c r="M27" s="2295"/>
      <c r="N27" s="2295"/>
      <c r="O27" s="2295"/>
      <c r="P27" s="3682"/>
      <c r="Q27" s="2218" t="str">
        <f t="shared" ref="Q27:Q47" si="11">B27</f>
        <v>楼层</v>
      </c>
      <c r="R27" s="1350" t="s">
        <v>65</v>
      </c>
      <c r="S27" s="1351">
        <f>F27</f>
        <v>100</v>
      </c>
      <c r="T27" s="1350" t="s">
        <v>65</v>
      </c>
      <c r="U27" s="1351">
        <f>H27</f>
        <v>100</v>
      </c>
      <c r="V27" s="1350" t="s">
        <v>65</v>
      </c>
      <c r="W27" s="1351">
        <f>J27</f>
        <v>100</v>
      </c>
      <c r="X27" s="2220"/>
      <c r="Y27" s="3684"/>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82"/>
      <c r="Q28" s="2211" t="str">
        <f t="shared" si="11"/>
        <v>朝向</v>
      </c>
      <c r="R28" s="1340" t="s">
        <v>65</v>
      </c>
      <c r="S28" s="1341">
        <f>F28</f>
        <v>100</v>
      </c>
      <c r="T28" s="1340" t="s">
        <v>65</v>
      </c>
      <c r="U28" s="1341">
        <f>H28</f>
        <v>100</v>
      </c>
      <c r="V28" s="1340" t="s">
        <v>65</v>
      </c>
      <c r="W28" s="1341">
        <f>J28</f>
        <v>100</v>
      </c>
      <c r="X28" s="286"/>
      <c r="Y28" s="3684"/>
      <c r="Z28" s="2210" t="str">
        <f>Q28</f>
        <v>朝向</v>
      </c>
      <c r="AA28" s="1353">
        <f>D28/F28</f>
        <v>1</v>
      </c>
      <c r="AB28" s="1353">
        <f>D28/H28</f>
        <v>1</v>
      </c>
      <c r="AC28" s="2336">
        <f>D28/J28</f>
        <v>1</v>
      </c>
    </row>
    <row r="29" spans="1:29" ht="14.25">
      <c r="A29" s="150"/>
      <c r="B29" s="1036">
        <v>111</v>
      </c>
      <c r="C29" s="193"/>
      <c r="D29" s="776">
        <v>100</v>
      </c>
      <c r="E29" s="1022"/>
      <c r="F29" s="776">
        <f>SUMIF(93:93,E29,94:94)-SUMIF(93:93,C29,94:94)+100</f>
        <v>100</v>
      </c>
      <c r="G29" s="1401"/>
      <c r="H29" s="776">
        <f>SUMIF(93:93,G29,94:94)-SUMIF(93:93,C29,94:94)+100</f>
        <v>100</v>
      </c>
      <c r="I29" s="1022"/>
      <c r="J29" s="776">
        <f>SUMIF(93:93,I29,94:94)-SUMIF(93:93,C29,94:94)+100</f>
        <v>100</v>
      </c>
      <c r="K29" s="187"/>
      <c r="L29" s="2300"/>
      <c r="M29" s="2295"/>
      <c r="N29" s="2295"/>
      <c r="O29" s="2295"/>
      <c r="P29" s="3682"/>
      <c r="Q29" s="2218">
        <f t="shared" si="11"/>
        <v>111</v>
      </c>
      <c r="R29" s="1350" t="s">
        <v>65</v>
      </c>
      <c r="S29" s="1351">
        <f t="shared" ref="S29:S47" si="12">F29</f>
        <v>100</v>
      </c>
      <c r="T29" s="1350" t="s">
        <v>65</v>
      </c>
      <c r="U29" s="1351">
        <f t="shared" ref="U29:U47" si="13">H29</f>
        <v>100</v>
      </c>
      <c r="V29" s="1350" t="s">
        <v>65</v>
      </c>
      <c r="W29" s="1351">
        <f t="shared" ref="W29:W47" si="14">J29</f>
        <v>100</v>
      </c>
      <c r="X29" s="2220"/>
      <c r="Y29" s="3684"/>
      <c r="Z29" s="2219">
        <f t="shared" ref="Z29:Z47" si="15">Q29</f>
        <v>111</v>
      </c>
      <c r="AA29" s="1353">
        <f t="shared" si="3"/>
        <v>1</v>
      </c>
      <c r="AB29" s="1353">
        <f t="shared" si="4"/>
        <v>1</v>
      </c>
      <c r="AC29" s="2336">
        <f t="shared" si="5"/>
        <v>1</v>
      </c>
    </row>
    <row r="30" spans="1:29" ht="14.25">
      <c r="A30" s="150"/>
      <c r="B30" s="1036">
        <v>111</v>
      </c>
      <c r="C30" s="193"/>
      <c r="D30" s="776">
        <v>100</v>
      </c>
      <c r="E30" s="1022"/>
      <c r="F30" s="776">
        <f>SUMIF(95:95,E30,96:96)-SUMIF(95:95,C30,96:96)+100</f>
        <v>100</v>
      </c>
      <c r="G30" s="1401"/>
      <c r="H30" s="776">
        <f>SUMIF(95:95,G30,96:96)-SUMIF(95:95,C30,96:96)+100</f>
        <v>100</v>
      </c>
      <c r="I30" s="1022"/>
      <c r="J30" s="776">
        <f>SUMIF(95:95,I30,96:96)-SUMIF(95:95,C30,96:96)+100</f>
        <v>100</v>
      </c>
      <c r="K30" s="187"/>
      <c r="L30" s="2300"/>
      <c r="M30" s="2295"/>
      <c r="N30" s="2295"/>
      <c r="O30" s="2295"/>
      <c r="P30" s="3682"/>
      <c r="Q30" s="2218">
        <f t="shared" si="11"/>
        <v>111</v>
      </c>
      <c r="R30" s="1350" t="s">
        <v>65</v>
      </c>
      <c r="S30" s="1351">
        <f t="shared" si="12"/>
        <v>100</v>
      </c>
      <c r="T30" s="1350" t="s">
        <v>65</v>
      </c>
      <c r="U30" s="1351">
        <f t="shared" si="13"/>
        <v>100</v>
      </c>
      <c r="V30" s="1350" t="s">
        <v>65</v>
      </c>
      <c r="W30" s="1351">
        <f t="shared" si="14"/>
        <v>100</v>
      </c>
      <c r="X30" s="2220"/>
      <c r="Y30" s="3684"/>
      <c r="Z30" s="2219">
        <f t="shared" si="15"/>
        <v>111</v>
      </c>
      <c r="AA30" s="1353">
        <f t="shared" si="3"/>
        <v>1</v>
      </c>
      <c r="AB30" s="1353">
        <f t="shared" si="4"/>
        <v>1</v>
      </c>
      <c r="AC30" s="2336">
        <f t="shared" si="5"/>
        <v>1</v>
      </c>
    </row>
    <row r="31" spans="1:29" ht="14.25">
      <c r="A31" s="150"/>
      <c r="B31" s="1036">
        <v>111</v>
      </c>
      <c r="C31" s="193"/>
      <c r="D31" s="776">
        <v>100</v>
      </c>
      <c r="E31" s="1022"/>
      <c r="F31" s="776">
        <f>SUMIF(97:97,E31,98:98)-SUMIF(97:97,C31,98:98)+100</f>
        <v>100</v>
      </c>
      <c r="G31" s="1401"/>
      <c r="H31" s="776">
        <f>SUMIF(97:97,G31,98:98)-SUMIF(97:97,C31,98:98)+100</f>
        <v>100</v>
      </c>
      <c r="I31" s="1022"/>
      <c r="J31" s="776">
        <f>SUMIF(97:97,I31,98:98)-SUMIF(97:97,C31,98:98)+100</f>
        <v>100</v>
      </c>
      <c r="K31" s="187"/>
      <c r="L31" s="2300"/>
      <c r="M31" s="2295"/>
      <c r="N31" s="2295"/>
      <c r="O31" s="2295"/>
      <c r="P31" s="3682"/>
      <c r="Q31" s="2218">
        <f t="shared" si="11"/>
        <v>111</v>
      </c>
      <c r="R31" s="1350" t="s">
        <v>65</v>
      </c>
      <c r="S31" s="1351">
        <f t="shared" si="12"/>
        <v>100</v>
      </c>
      <c r="T31" s="1350" t="s">
        <v>65</v>
      </c>
      <c r="U31" s="1351">
        <f t="shared" si="13"/>
        <v>100</v>
      </c>
      <c r="V31" s="1350" t="s">
        <v>65</v>
      </c>
      <c r="W31" s="1351">
        <f t="shared" si="14"/>
        <v>100</v>
      </c>
      <c r="X31" s="2220"/>
      <c r="Y31" s="3684"/>
      <c r="Z31" s="2219">
        <f t="shared" si="15"/>
        <v>111</v>
      </c>
      <c r="AA31" s="1353">
        <f t="shared" si="3"/>
        <v>1</v>
      </c>
      <c r="AB31" s="1353">
        <f t="shared" si="4"/>
        <v>1</v>
      </c>
      <c r="AC31" s="2336">
        <f t="shared" si="5"/>
        <v>1</v>
      </c>
    </row>
    <row r="32" spans="1:29" ht="15" thickBot="1">
      <c r="A32" s="153"/>
      <c r="B32" s="1404">
        <v>111</v>
      </c>
      <c r="C32" s="195"/>
      <c r="D32" s="779">
        <v>100</v>
      </c>
      <c r="E32" s="1402"/>
      <c r="F32" s="779">
        <f>SUMIF(99:99,E32,100:100)-SUMIF(99:99,C32,100:100)+100</f>
        <v>100</v>
      </c>
      <c r="G32" s="1401"/>
      <c r="H32" s="779">
        <f>SUMIF(99:99,G32,100:100)-SUMIF(99:99,C32,100:100)+100</f>
        <v>100</v>
      </c>
      <c r="I32" s="1022"/>
      <c r="J32" s="779">
        <f>SUMIF(99:99,I32,100:100)-SUMIF(99:99,C32,100:100)+100</f>
        <v>100</v>
      </c>
      <c r="K32" s="187"/>
      <c r="L32" s="2300"/>
      <c r="M32" s="2295"/>
      <c r="N32" s="2295"/>
      <c r="O32" s="2295"/>
      <c r="P32" s="3682"/>
      <c r="Q32" s="2218">
        <f t="shared" si="11"/>
        <v>111</v>
      </c>
      <c r="R32" s="1350" t="s">
        <v>65</v>
      </c>
      <c r="S32" s="1351">
        <f t="shared" si="12"/>
        <v>100</v>
      </c>
      <c r="T32" s="1350" t="s">
        <v>65</v>
      </c>
      <c r="U32" s="1351">
        <f t="shared" si="13"/>
        <v>100</v>
      </c>
      <c r="V32" s="1350" t="s">
        <v>65</v>
      </c>
      <c r="W32" s="1351">
        <f t="shared" si="14"/>
        <v>100</v>
      </c>
      <c r="X32" s="2220"/>
      <c r="Y32" s="3684"/>
      <c r="Z32" s="2219">
        <f t="shared" si="15"/>
        <v>111</v>
      </c>
      <c r="AA32" s="1353">
        <f t="shared" si="3"/>
        <v>1</v>
      </c>
      <c r="AB32" s="1353">
        <f t="shared" si="4"/>
        <v>1</v>
      </c>
      <c r="AC32" s="2336">
        <f t="shared" si="5"/>
        <v>1</v>
      </c>
    </row>
    <row r="33" spans="1:29" ht="15">
      <c r="A33" s="154" t="s">
        <v>1088</v>
      </c>
      <c r="B33" s="62" t="s">
        <v>1089</v>
      </c>
      <c r="C33" s="196"/>
      <c r="D33" s="808">
        <v>100</v>
      </c>
      <c r="E33" s="196"/>
      <c r="F33" s="802">
        <f>SUMIF(101:101,E33,102:102)-SUMIF(101:101,C33,102:102)+100</f>
        <v>100</v>
      </c>
      <c r="G33" s="196"/>
      <c r="H33" s="776">
        <f>SUMIF(101:101,G33,102:102)-SUMIF(101:101,C33,102:102)+100</f>
        <v>100</v>
      </c>
      <c r="I33" s="196"/>
      <c r="J33" s="808">
        <f>SUMIF(101:101,I33,102:102)-SUMIF(101:101,C33,102:102)+100</f>
        <v>100</v>
      </c>
      <c r="K33" s="953"/>
      <c r="L33" s="2300"/>
      <c r="M33" s="2295"/>
      <c r="N33" s="2295"/>
      <c r="O33" s="2295"/>
      <c r="P33" s="3685" t="s">
        <v>1090</v>
      </c>
      <c r="Q33" s="2218" t="str">
        <f t="shared" si="11"/>
        <v>建筑类型</v>
      </c>
      <c r="R33" s="1350" t="s">
        <v>65</v>
      </c>
      <c r="S33" s="1351">
        <f t="shared" si="12"/>
        <v>100</v>
      </c>
      <c r="T33" s="1350" t="s">
        <v>65</v>
      </c>
      <c r="U33" s="1351">
        <f t="shared" si="13"/>
        <v>100</v>
      </c>
      <c r="V33" s="1350" t="s">
        <v>65</v>
      </c>
      <c r="W33" s="1351">
        <f t="shared" si="14"/>
        <v>100</v>
      </c>
      <c r="X33" s="2220"/>
      <c r="Y33" s="3688" t="s">
        <v>1090</v>
      </c>
      <c r="Z33" s="2219" t="str">
        <f t="shared" si="15"/>
        <v>建筑类型</v>
      </c>
      <c r="AA33" s="1353">
        <f t="shared" si="3"/>
        <v>1</v>
      </c>
      <c r="AB33" s="1353">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7"/>
      <c r="L34" s="2299"/>
      <c r="M34" s="2301"/>
      <c r="N34" s="2301"/>
      <c r="O34" s="2301"/>
      <c r="P34" s="3686"/>
      <c r="Q34" s="1357" t="str">
        <f t="shared" si="11"/>
        <v>项目建筑规模</v>
      </c>
      <c r="R34" s="1358" t="s">
        <v>65</v>
      </c>
      <c r="S34" s="1359" t="e">
        <f t="shared" si="12"/>
        <v>#N/A</v>
      </c>
      <c r="T34" s="1358" t="s">
        <v>65</v>
      </c>
      <c r="U34" s="1359" t="e">
        <f t="shared" si="13"/>
        <v>#N/A</v>
      </c>
      <c r="V34" s="1358" t="s">
        <v>65</v>
      </c>
      <c r="W34" s="1359" t="e">
        <f t="shared" si="14"/>
        <v>#N/A</v>
      </c>
      <c r="X34" s="1360"/>
      <c r="Y34" s="3688"/>
      <c r="Z34" s="1361" t="str">
        <f t="shared" si="15"/>
        <v>项目建筑规模</v>
      </c>
      <c r="AA34" s="1353" t="e">
        <f t="shared" si="3"/>
        <v>#N/A</v>
      </c>
      <c r="AB34" s="1353" t="e">
        <f t="shared" si="4"/>
        <v>#N/A</v>
      </c>
      <c r="AC34" s="2336" t="e">
        <f t="shared" si="5"/>
        <v>#N/A</v>
      </c>
    </row>
    <row r="35" spans="1:29" ht="15">
      <c r="A35" s="160"/>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86"/>
      <c r="Q35" s="2218" t="str">
        <f t="shared" si="11"/>
        <v>建筑结构</v>
      </c>
      <c r="R35" s="1350" t="s">
        <v>65</v>
      </c>
      <c r="S35" s="1351">
        <f t="shared" si="12"/>
        <v>100</v>
      </c>
      <c r="T35" s="1350" t="s">
        <v>65</v>
      </c>
      <c r="U35" s="1351">
        <f t="shared" si="13"/>
        <v>100</v>
      </c>
      <c r="V35" s="1350" t="s">
        <v>65</v>
      </c>
      <c r="W35" s="1351">
        <f t="shared" si="14"/>
        <v>100</v>
      </c>
      <c r="X35" s="2220"/>
      <c r="Y35" s="3688"/>
      <c r="Z35" s="2219" t="str">
        <f t="shared" si="15"/>
        <v>建筑结构</v>
      </c>
      <c r="AA35" s="1353">
        <f t="shared" si="3"/>
        <v>1</v>
      </c>
      <c r="AB35" s="1353">
        <f t="shared" si="4"/>
        <v>1</v>
      </c>
      <c r="AC35" s="2336">
        <f t="shared" si="5"/>
        <v>1</v>
      </c>
    </row>
    <row r="36" spans="1:29" ht="15">
      <c r="A36" s="160"/>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86"/>
      <c r="Q36" s="2218" t="str">
        <f t="shared" si="11"/>
        <v>公共部分装修</v>
      </c>
      <c r="R36" s="1350" t="s">
        <v>65</v>
      </c>
      <c r="S36" s="1351">
        <f t="shared" si="12"/>
        <v>100</v>
      </c>
      <c r="T36" s="1350" t="s">
        <v>65</v>
      </c>
      <c r="U36" s="1351">
        <f t="shared" si="13"/>
        <v>100</v>
      </c>
      <c r="V36" s="1350" t="s">
        <v>65</v>
      </c>
      <c r="W36" s="1351">
        <f t="shared" si="14"/>
        <v>100</v>
      </c>
      <c r="X36" s="2220"/>
      <c r="Y36" s="3688"/>
      <c r="Z36" s="2219" t="str">
        <f t="shared" si="15"/>
        <v>公共部分装修</v>
      </c>
      <c r="AA36" s="1353">
        <f t="shared" si="3"/>
        <v>1</v>
      </c>
      <c r="AB36" s="1353">
        <f t="shared" si="4"/>
        <v>1</v>
      </c>
      <c r="AC36" s="2336">
        <f t="shared" si="5"/>
        <v>1</v>
      </c>
    </row>
    <row r="37" spans="1:29" ht="15">
      <c r="A37" s="160"/>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86"/>
      <c r="Q37" s="2218" t="str">
        <f t="shared" si="11"/>
        <v>成新度</v>
      </c>
      <c r="R37" s="1350" t="s">
        <v>65</v>
      </c>
      <c r="S37" s="1351" t="e">
        <f t="shared" si="12"/>
        <v>#N/A</v>
      </c>
      <c r="T37" s="1350" t="s">
        <v>65</v>
      </c>
      <c r="U37" s="1351" t="e">
        <f t="shared" si="13"/>
        <v>#N/A</v>
      </c>
      <c r="V37" s="1350" t="s">
        <v>65</v>
      </c>
      <c r="W37" s="1351" t="e">
        <f t="shared" si="14"/>
        <v>#N/A</v>
      </c>
      <c r="X37" s="2220"/>
      <c r="Y37" s="3688"/>
      <c r="Z37" s="2219" t="str">
        <f t="shared" si="15"/>
        <v>成新度</v>
      </c>
      <c r="AA37" s="1353" t="e">
        <f t="shared" si="3"/>
        <v>#N/A</v>
      </c>
      <c r="AB37" s="1353"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86"/>
      <c r="Q38" s="2211" t="str">
        <f t="shared" si="11"/>
        <v>写字楼等级</v>
      </c>
      <c r="R38" s="1340" t="s">
        <v>65</v>
      </c>
      <c r="S38" s="1341">
        <f t="shared" si="12"/>
        <v>100</v>
      </c>
      <c r="T38" s="1340" t="s">
        <v>65</v>
      </c>
      <c r="U38" s="1341">
        <f t="shared" si="13"/>
        <v>100</v>
      </c>
      <c r="V38" s="1340" t="s">
        <v>65</v>
      </c>
      <c r="W38" s="1341">
        <f t="shared" si="14"/>
        <v>100</v>
      </c>
      <c r="X38" s="286"/>
      <c r="Y38" s="3688"/>
      <c r="Z38" s="2210" t="str">
        <f t="shared" si="15"/>
        <v>写字楼等级</v>
      </c>
      <c r="AA38" s="1342">
        <f t="shared" si="3"/>
        <v>1</v>
      </c>
      <c r="AB38" s="1342">
        <f t="shared" si="4"/>
        <v>1</v>
      </c>
      <c r="AC38" s="2335">
        <f t="shared" si="5"/>
        <v>1</v>
      </c>
    </row>
    <row r="39" spans="1:29" ht="15">
      <c r="A39" s="160"/>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86" t="s">
        <v>70</v>
      </c>
      <c r="Q39" s="2218" t="str">
        <f t="shared" si="11"/>
        <v>物业管理</v>
      </c>
      <c r="R39" s="1350" t="s">
        <v>65</v>
      </c>
      <c r="S39" s="1351">
        <f t="shared" si="12"/>
        <v>100</v>
      </c>
      <c r="T39" s="1350" t="s">
        <v>65</v>
      </c>
      <c r="U39" s="1351">
        <f t="shared" si="13"/>
        <v>100</v>
      </c>
      <c r="V39" s="1350" t="s">
        <v>65</v>
      </c>
      <c r="W39" s="1351">
        <f t="shared" si="14"/>
        <v>100</v>
      </c>
      <c r="X39" s="2220"/>
      <c r="Y39" s="3688" t="s">
        <v>70</v>
      </c>
      <c r="Z39" s="2219" t="str">
        <f t="shared" si="15"/>
        <v>物业管理</v>
      </c>
      <c r="AA39" s="1353">
        <f t="shared" si="3"/>
        <v>1</v>
      </c>
      <c r="AB39" s="1353">
        <f t="shared" si="4"/>
        <v>1</v>
      </c>
      <c r="AC39" s="2336">
        <f t="shared" si="5"/>
        <v>1</v>
      </c>
    </row>
    <row r="40" spans="1:29" ht="15">
      <c r="A40" s="160"/>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86"/>
      <c r="Q40" s="2218" t="str">
        <f t="shared" si="11"/>
        <v>市政基础设施</v>
      </c>
      <c r="R40" s="1350" t="s">
        <v>65</v>
      </c>
      <c r="S40" s="1351">
        <f t="shared" si="12"/>
        <v>100</v>
      </c>
      <c r="T40" s="1350" t="s">
        <v>65</v>
      </c>
      <c r="U40" s="1351">
        <f t="shared" si="13"/>
        <v>100</v>
      </c>
      <c r="V40" s="1350" t="s">
        <v>65</v>
      </c>
      <c r="W40" s="1351">
        <f t="shared" si="14"/>
        <v>100</v>
      </c>
      <c r="X40" s="2220"/>
      <c r="Y40" s="3688"/>
      <c r="Z40" s="2219" t="str">
        <f t="shared" si="15"/>
        <v>市政基础设施</v>
      </c>
      <c r="AA40" s="1353">
        <f t="shared" si="3"/>
        <v>1</v>
      </c>
      <c r="AB40" s="1353">
        <f t="shared" si="4"/>
        <v>1</v>
      </c>
      <c r="AC40" s="2336">
        <f t="shared" si="5"/>
        <v>1</v>
      </c>
    </row>
    <row r="41" spans="1:29" ht="15">
      <c r="A41" s="160"/>
      <c r="B41" s="12" t="s">
        <v>136</v>
      </c>
      <c r="C41" s="181"/>
      <c r="D41" s="776">
        <v>100</v>
      </c>
      <c r="E41" s="181"/>
      <c r="F41" s="802">
        <f>SUMIF(119:119,E41,120:120)-SUMIF(119:119,C41,120:120)+100</f>
        <v>100</v>
      </c>
      <c r="G41" s="181"/>
      <c r="H41" s="776">
        <f>SUMIF(119:119,G41,120:120)-SUMIF(119:119,C41,120:120)+100</f>
        <v>100</v>
      </c>
      <c r="I41" s="181"/>
      <c r="J41" s="776">
        <f>SUMIF(119:119,I41,120:120)-SUMIF(119:119,C41,120:120)+100</f>
        <v>100</v>
      </c>
      <c r="K41" s="953"/>
      <c r="L41" s="2300"/>
      <c r="M41" s="2295"/>
      <c r="N41" s="2295"/>
      <c r="O41" s="2295"/>
      <c r="P41" s="3686"/>
      <c r="Q41" s="2218" t="str">
        <f t="shared" si="11"/>
        <v>层高</v>
      </c>
      <c r="R41" s="1350" t="s">
        <v>65</v>
      </c>
      <c r="S41" s="1351">
        <f t="shared" si="12"/>
        <v>100</v>
      </c>
      <c r="T41" s="1350" t="s">
        <v>65</v>
      </c>
      <c r="U41" s="1351">
        <f t="shared" si="13"/>
        <v>100</v>
      </c>
      <c r="V41" s="1350" t="s">
        <v>65</v>
      </c>
      <c r="W41" s="1351">
        <f t="shared" si="14"/>
        <v>100</v>
      </c>
      <c r="X41" s="2220"/>
      <c r="Y41" s="3688"/>
      <c r="Z41" s="2219" t="str">
        <f t="shared" si="15"/>
        <v>层高</v>
      </c>
      <c r="AA41" s="1353">
        <f t="shared" si="3"/>
        <v>1</v>
      </c>
      <c r="AB41" s="1353">
        <f t="shared" si="4"/>
        <v>1</v>
      </c>
      <c r="AC41" s="2336">
        <f t="shared" si="5"/>
        <v>1</v>
      </c>
    </row>
    <row r="42" spans="1:29" s="1037" customFormat="1" ht="14.25">
      <c r="A42" s="1041"/>
      <c r="B42" s="190"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7"/>
      <c r="L42" s="2299"/>
      <c r="M42" s="2301"/>
      <c r="N42" s="2301"/>
      <c r="O42" s="2301"/>
      <c r="P42" s="3686"/>
      <c r="Q42" s="1357" t="str">
        <f t="shared" si="11"/>
        <v>单套建筑面积</v>
      </c>
      <c r="R42" s="1358" t="s">
        <v>65</v>
      </c>
      <c r="S42" s="1359">
        <f t="shared" si="12"/>
        <v>100</v>
      </c>
      <c r="T42" s="1358" t="s">
        <v>65</v>
      </c>
      <c r="U42" s="1359">
        <f t="shared" si="13"/>
        <v>100</v>
      </c>
      <c r="V42" s="1358" t="s">
        <v>65</v>
      </c>
      <c r="W42" s="1359">
        <f t="shared" si="14"/>
        <v>100</v>
      </c>
      <c r="X42" s="1360"/>
      <c r="Y42" s="3688"/>
      <c r="Z42" s="1361" t="str">
        <f t="shared" si="15"/>
        <v>单套建筑面积</v>
      </c>
      <c r="AA42" s="1353">
        <f t="shared" si="3"/>
        <v>1</v>
      </c>
      <c r="AB42" s="1353">
        <f t="shared" si="4"/>
        <v>1</v>
      </c>
      <c r="AC42" s="2336">
        <f t="shared" si="5"/>
        <v>1</v>
      </c>
    </row>
    <row r="43" spans="1:29" ht="15">
      <c r="A43" s="160"/>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86"/>
      <c r="Q43" s="2218" t="str">
        <f t="shared" si="11"/>
        <v>内部装修</v>
      </c>
      <c r="R43" s="1350" t="s">
        <v>65</v>
      </c>
      <c r="S43" s="1351">
        <f t="shared" si="12"/>
        <v>100</v>
      </c>
      <c r="T43" s="1350" t="s">
        <v>65</v>
      </c>
      <c r="U43" s="1351">
        <f t="shared" si="13"/>
        <v>100</v>
      </c>
      <c r="V43" s="1350" t="s">
        <v>65</v>
      </c>
      <c r="W43" s="1351">
        <f t="shared" si="14"/>
        <v>100</v>
      </c>
      <c r="X43" s="2220"/>
      <c r="Y43" s="3688"/>
      <c r="Z43" s="2219" t="str">
        <f t="shared" si="15"/>
        <v>内部装修</v>
      </c>
      <c r="AA43" s="1353">
        <f t="shared" si="3"/>
        <v>1</v>
      </c>
      <c r="AB43" s="1353">
        <f t="shared" si="4"/>
        <v>1</v>
      </c>
      <c r="AC43" s="2336">
        <f t="shared" si="5"/>
        <v>1</v>
      </c>
    </row>
    <row r="44" spans="1:29" ht="27">
      <c r="A44" s="160"/>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86"/>
      <c r="Q44" s="2218" t="str">
        <f t="shared" si="11"/>
        <v>内部装修维护情况</v>
      </c>
      <c r="R44" s="1350" t="s">
        <v>65</v>
      </c>
      <c r="S44" s="1351">
        <f t="shared" si="12"/>
        <v>100</v>
      </c>
      <c r="T44" s="1350" t="s">
        <v>65</v>
      </c>
      <c r="U44" s="1351">
        <f t="shared" si="13"/>
        <v>100</v>
      </c>
      <c r="V44" s="1350" t="s">
        <v>65</v>
      </c>
      <c r="W44" s="1351">
        <f t="shared" si="14"/>
        <v>100</v>
      </c>
      <c r="X44" s="2220"/>
      <c r="Y44" s="3688"/>
      <c r="Z44" s="2219" t="str">
        <f t="shared" si="15"/>
        <v>内部装修维护情况</v>
      </c>
      <c r="AA44" s="1353">
        <f t="shared" si="3"/>
        <v>1</v>
      </c>
      <c r="AB44" s="1353">
        <f t="shared" si="4"/>
        <v>1</v>
      </c>
      <c r="AC44" s="2336">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7"/>
      <c r="L45" s="2296"/>
      <c r="M45" s="2258"/>
      <c r="N45" s="2258"/>
      <c r="O45" s="2258"/>
      <c r="P45" s="3686"/>
      <c r="Q45" s="2211">
        <f t="shared" si="11"/>
        <v>111</v>
      </c>
      <c r="R45" s="1340" t="s">
        <v>65</v>
      </c>
      <c r="S45" s="1341">
        <f t="shared" si="12"/>
        <v>100</v>
      </c>
      <c r="T45" s="1340" t="s">
        <v>65</v>
      </c>
      <c r="U45" s="1341">
        <f t="shared" si="13"/>
        <v>100</v>
      </c>
      <c r="V45" s="1340" t="s">
        <v>65</v>
      </c>
      <c r="W45" s="1341">
        <f t="shared" si="14"/>
        <v>100</v>
      </c>
      <c r="X45" s="286"/>
      <c r="Y45" s="3688"/>
      <c r="Z45" s="2210">
        <f t="shared" si="15"/>
        <v>111</v>
      </c>
      <c r="AA45" s="1342">
        <f t="shared" si="3"/>
        <v>1</v>
      </c>
      <c r="AB45" s="1342">
        <f t="shared" si="4"/>
        <v>1</v>
      </c>
      <c r="AC45" s="2335">
        <f t="shared" si="5"/>
        <v>1</v>
      </c>
    </row>
    <row r="46" spans="1:29" ht="14.25">
      <c r="A46" s="160"/>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7"/>
      <c r="L46" s="2300"/>
      <c r="M46" s="2295"/>
      <c r="N46" s="2295"/>
      <c r="O46" s="2295"/>
      <c r="P46" s="3686"/>
      <c r="Q46" s="2218">
        <f t="shared" si="11"/>
        <v>111</v>
      </c>
      <c r="R46" s="1350" t="s">
        <v>65</v>
      </c>
      <c r="S46" s="1351">
        <f t="shared" si="12"/>
        <v>100</v>
      </c>
      <c r="T46" s="1350" t="s">
        <v>65</v>
      </c>
      <c r="U46" s="1351">
        <f t="shared" si="13"/>
        <v>100</v>
      </c>
      <c r="V46" s="1350" t="s">
        <v>65</v>
      </c>
      <c r="W46" s="1351">
        <f t="shared" si="14"/>
        <v>100</v>
      </c>
      <c r="X46" s="2220"/>
      <c r="Y46" s="3688"/>
      <c r="Z46" s="2219">
        <f t="shared" si="15"/>
        <v>111</v>
      </c>
      <c r="AA46" s="1353">
        <f t="shared" si="3"/>
        <v>1</v>
      </c>
      <c r="AB46" s="1353">
        <f t="shared" si="4"/>
        <v>1</v>
      </c>
      <c r="AC46" s="2336">
        <f t="shared" si="5"/>
        <v>1</v>
      </c>
    </row>
    <row r="47" spans="1:29" ht="15" thickBot="1">
      <c r="A47" s="161"/>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7"/>
      <c r="L47" s="2300"/>
      <c r="M47" s="2295"/>
      <c r="N47" s="2295"/>
      <c r="O47" s="2295"/>
      <c r="P47" s="3687"/>
      <c r="Q47" s="2218">
        <f t="shared" si="11"/>
        <v>111</v>
      </c>
      <c r="R47" s="1350" t="s">
        <v>65</v>
      </c>
      <c r="S47" s="1351">
        <f t="shared" si="12"/>
        <v>100</v>
      </c>
      <c r="T47" s="1350" t="s">
        <v>65</v>
      </c>
      <c r="U47" s="1351">
        <f t="shared" si="13"/>
        <v>100</v>
      </c>
      <c r="V47" s="1350" t="s">
        <v>65</v>
      </c>
      <c r="W47" s="1351">
        <f t="shared" si="14"/>
        <v>100</v>
      </c>
      <c r="X47" s="2220"/>
      <c r="Y47" s="3689"/>
      <c r="Z47" s="2219">
        <f t="shared" si="15"/>
        <v>111</v>
      </c>
      <c r="AA47" s="1353">
        <f t="shared" si="3"/>
        <v>1</v>
      </c>
      <c r="AB47" s="1353">
        <f t="shared" si="4"/>
        <v>1</v>
      </c>
      <c r="AC47" s="2336">
        <f t="shared" si="5"/>
        <v>1</v>
      </c>
    </row>
    <row r="48" spans="1:29" ht="15">
      <c r="A48" s="162" t="s">
        <v>1033</v>
      </c>
      <c r="B48" s="163"/>
      <c r="C48" s="2831" t="s">
        <v>23</v>
      </c>
      <c r="D48" s="2832"/>
      <c r="E48" s="2833"/>
      <c r="F48" s="2834"/>
      <c r="G48" s="2835"/>
      <c r="H48" s="2836"/>
      <c r="I48" s="2833"/>
      <c r="J48" s="826"/>
      <c r="K48" s="1391"/>
      <c r="L48" s="2302"/>
      <c r="M48" s="2295"/>
      <c r="N48" s="2295"/>
      <c r="O48" s="2295"/>
      <c r="P48" s="3680" t="str">
        <f>A48</f>
        <v>成交单价（元/平方米）</v>
      </c>
      <c r="Q48" s="3690"/>
      <c r="R48" s="3691">
        <f>E48</f>
        <v>0</v>
      </c>
      <c r="S48" s="3691"/>
      <c r="T48" s="3691">
        <f>G48</f>
        <v>0</v>
      </c>
      <c r="U48" s="3691"/>
      <c r="V48" s="3691">
        <f>I48</f>
        <v>0</v>
      </c>
      <c r="W48" s="3691"/>
      <c r="X48" s="155"/>
      <c r="Y48" s="1364"/>
      <c r="Z48" s="155"/>
      <c r="AA48" s="155"/>
      <c r="AB48" s="155"/>
      <c r="AC48" s="208"/>
    </row>
    <row r="49" spans="1:29" ht="15.75" thickBot="1">
      <c r="A49" s="164" t="s">
        <v>1034</v>
      </c>
      <c r="B49" s="165"/>
      <c r="C49" s="2837" t="e">
        <f>R50</f>
        <v>#DIV/0!</v>
      </c>
      <c r="D49" s="2838"/>
      <c r="E49" s="2839" t="e">
        <f>R49</f>
        <v>#DIV/0!</v>
      </c>
      <c r="F49" s="2839"/>
      <c r="G49" s="2837" t="e">
        <f>T49</f>
        <v>#DIV/0!</v>
      </c>
      <c r="H49" s="2838"/>
      <c r="I49" s="2839" t="e">
        <f>V49</f>
        <v>#DIV/0!</v>
      </c>
      <c r="J49" s="830"/>
      <c r="K49" s="1392"/>
      <c r="L49" s="2302"/>
      <c r="M49" s="2295"/>
      <c r="N49" s="2295"/>
      <c r="O49" s="2295"/>
      <c r="P49" s="3680"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155"/>
      <c r="Y49" s="155"/>
      <c r="Z49" s="155"/>
      <c r="AA49" s="155"/>
      <c r="AB49" s="155"/>
      <c r="AC49" s="208"/>
    </row>
    <row r="50" spans="1:29" ht="15.75" thickBot="1">
      <c r="A50" s="114" t="s">
        <v>3018</v>
      </c>
      <c r="B50" s="115"/>
      <c r="C50" s="2841" t="e">
        <f>R50</f>
        <v>#DIV/0!</v>
      </c>
      <c r="D50" s="2841"/>
      <c r="E50" s="2841"/>
      <c r="F50" s="2841"/>
      <c r="G50" s="2841"/>
      <c r="H50" s="2841"/>
      <c r="I50" s="2841"/>
      <c r="J50" s="835"/>
      <c r="K50" s="1393"/>
      <c r="L50" s="2302"/>
      <c r="M50" s="2295"/>
      <c r="N50" s="2295"/>
      <c r="O50" s="2295"/>
      <c r="P50" s="3707" t="str">
        <f>A50</f>
        <v>估价对象XX用房的比较价值（楼面单价，元/平方米）</v>
      </c>
      <c r="Q50" s="3708"/>
      <c r="R50" s="3709" t="e">
        <f>IF(F1="售价",ROUND(AVERAGE(R49:V49),0),ROUND(AVERAGE(R49:V49),1))</f>
        <v>#DIV/0!</v>
      </c>
      <c r="S50" s="3709"/>
      <c r="T50" s="3709"/>
      <c r="U50" s="3709"/>
      <c r="V50" s="3709"/>
      <c r="W50" s="370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8"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8"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0"/>
    </row>
    <row r="59" spans="1:29" s="849" customFormat="1" ht="15">
      <c r="A59" s="846" t="s">
        <v>2795</v>
      </c>
      <c r="B59" s="847"/>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3"/>
      <c r="B60" s="1044"/>
      <c r="C60" s="3036">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0"/>
    </row>
    <row r="62" spans="1:29" s="40" customFormat="1">
      <c r="A62" s="1047" t="s">
        <v>1037</v>
      </c>
      <c r="B62" s="1044"/>
      <c r="C62" s="1048" t="s">
        <v>1038</v>
      </c>
      <c r="D62" s="139"/>
      <c r="E62" s="139"/>
      <c r="F62" s="139"/>
      <c r="G62" s="139"/>
      <c r="H62" s="139"/>
      <c r="I62" s="139"/>
      <c r="J62" s="139"/>
      <c r="K62" s="139"/>
      <c r="L62" s="140"/>
      <c r="M62" s="1049"/>
      <c r="N62" s="1386"/>
      <c r="O62" s="1386"/>
      <c r="P62" s="2327"/>
      <c r="Q62" s="120"/>
    </row>
    <row r="63" spans="1:29" s="40" customFormat="1" ht="15" thickBot="1">
      <c r="A63" s="1047"/>
      <c r="B63" s="1044"/>
      <c r="C63" s="852">
        <v>100</v>
      </c>
      <c r="D63" s="853"/>
      <c r="E63" s="853"/>
      <c r="F63" s="853"/>
      <c r="G63" s="853"/>
      <c r="H63" s="853"/>
      <c r="I63" s="853"/>
      <c r="J63" s="853"/>
      <c r="K63" s="853"/>
      <c r="L63" s="853"/>
      <c r="M63" s="855"/>
      <c r="N63" s="1386"/>
      <c r="O63" s="1386"/>
      <c r="P63" s="2326"/>
      <c r="Q63" s="120"/>
    </row>
    <row r="64" spans="1:29">
      <c r="A64" s="171" t="s">
        <v>1039</v>
      </c>
      <c r="B64" s="285" t="s">
        <v>1040</v>
      </c>
      <c r="C64" s="175">
        <f>C9</f>
        <v>0</v>
      </c>
      <c r="D64" s="121"/>
      <c r="E64" s="121"/>
      <c r="F64" s="121"/>
      <c r="G64" s="121"/>
      <c r="H64" s="121"/>
      <c r="I64" s="121"/>
      <c r="J64" s="121"/>
      <c r="K64" s="122"/>
      <c r="L64" s="123"/>
      <c r="M64" s="124"/>
      <c r="N64" s="1387"/>
      <c r="O64" s="1387"/>
      <c r="P64" s="2328"/>
      <c r="Q64" s="120"/>
    </row>
    <row r="65" spans="1:17" ht="15" thickBot="1">
      <c r="A65" s="172"/>
      <c r="B65" s="1051"/>
      <c r="C65" s="877">
        <v>100</v>
      </c>
      <c r="D65" s="877"/>
      <c r="E65" s="877"/>
      <c r="F65" s="877"/>
      <c r="G65" s="877"/>
      <c r="H65" s="877"/>
      <c r="I65" s="877"/>
      <c r="J65" s="877"/>
      <c r="K65" s="877"/>
      <c r="L65" s="877"/>
      <c r="M65" s="878"/>
      <c r="N65" s="1388"/>
      <c r="O65" s="1388"/>
      <c r="P65" s="2328"/>
      <c r="Q65" s="120"/>
    </row>
    <row r="66" spans="1:17" ht="27.75" thickTop="1">
      <c r="A66" s="172"/>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0"/>
    </row>
    <row r="67" spans="1:17" ht="15" thickBot="1">
      <c r="A67" s="172"/>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0"/>
    </row>
    <row r="68" spans="1:17" ht="15" thickTop="1">
      <c r="A68" s="172"/>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0"/>
    </row>
    <row r="69" spans="1:17" ht="14.25">
      <c r="A69" s="172"/>
      <c r="B69" s="1055"/>
      <c r="C69" s="890"/>
      <c r="D69" s="890"/>
      <c r="E69" s="890"/>
      <c r="F69" s="890"/>
      <c r="G69" s="890"/>
      <c r="H69" s="890"/>
      <c r="I69" s="890"/>
      <c r="J69" s="890"/>
      <c r="K69" s="891"/>
      <c r="L69" s="892"/>
      <c r="M69" s="893"/>
      <c r="N69" s="1387"/>
      <c r="O69" s="1387"/>
      <c r="P69" s="2328"/>
      <c r="Q69" s="120"/>
    </row>
    <row r="70" spans="1:17" ht="15" thickBot="1">
      <c r="A70" s="172"/>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0"/>
    </row>
    <row r="71" spans="1:17" s="1037" customFormat="1" ht="14.25" thickTop="1">
      <c r="A71" s="1056"/>
      <c r="B71" s="1052">
        <f>B12</f>
        <v>111</v>
      </c>
      <c r="C71" s="138"/>
      <c r="D71" s="138"/>
      <c r="E71" s="138"/>
      <c r="F71" s="138"/>
      <c r="G71" s="138"/>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8"/>
      <c r="D73" s="138"/>
      <c r="E73" s="138"/>
      <c r="F73" s="138"/>
      <c r="G73" s="138"/>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39"/>
      <c r="D75" s="139"/>
      <c r="E75" s="139"/>
      <c r="F75" s="139"/>
      <c r="G75" s="139"/>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1" t="s">
        <v>1043</v>
      </c>
      <c r="B77" s="285" t="s">
        <v>1093</v>
      </c>
      <c r="C77" s="914" t="s">
        <v>1013</v>
      </c>
      <c r="D77" s="914" t="s">
        <v>1014</v>
      </c>
      <c r="E77" s="914" t="s">
        <v>1015</v>
      </c>
      <c r="F77" s="914" t="s">
        <v>1016</v>
      </c>
      <c r="G77" s="914" t="s">
        <v>1017</v>
      </c>
      <c r="H77" s="870"/>
      <c r="I77" s="870"/>
      <c r="J77" s="870"/>
      <c r="K77" s="915"/>
      <c r="L77" s="916"/>
      <c r="M77" s="917"/>
      <c r="N77" s="1387"/>
      <c r="O77" s="1387"/>
      <c r="P77" s="2332"/>
      <c r="Q77" s="120"/>
    </row>
    <row r="78" spans="1:17" ht="15" thickBot="1">
      <c r="A78" s="172"/>
      <c r="B78" s="1053"/>
      <c r="C78" s="885">
        <v>100</v>
      </c>
      <c r="D78" s="885">
        <f>C78-$K15</f>
        <v>100</v>
      </c>
      <c r="E78" s="885">
        <f>D78-$K15</f>
        <v>100</v>
      </c>
      <c r="F78" s="885">
        <f>E78-$K15</f>
        <v>100</v>
      </c>
      <c r="G78" s="885">
        <f>F78-$K15</f>
        <v>100</v>
      </c>
      <c r="H78" s="885"/>
      <c r="I78" s="885"/>
      <c r="J78" s="885"/>
      <c r="K78" s="885"/>
      <c r="L78" s="885"/>
      <c r="M78" s="886"/>
      <c r="N78" s="1388"/>
      <c r="O78" s="1388"/>
      <c r="P78" s="2328"/>
      <c r="Q78" s="120"/>
    </row>
    <row r="79" spans="1:17" ht="15" thickTop="1">
      <c r="A79" s="172"/>
      <c r="B79" s="1052" t="s">
        <v>1050</v>
      </c>
      <c r="C79" s="919" t="s">
        <v>1013</v>
      </c>
      <c r="D79" s="919" t="s">
        <v>1014</v>
      </c>
      <c r="E79" s="919" t="s">
        <v>1015</v>
      </c>
      <c r="F79" s="919" t="s">
        <v>1102</v>
      </c>
      <c r="G79" s="919" t="s">
        <v>1017</v>
      </c>
      <c r="H79" s="880"/>
      <c r="I79" s="880"/>
      <c r="J79" s="880"/>
      <c r="K79" s="881"/>
      <c r="L79" s="882"/>
      <c r="M79" s="883"/>
      <c r="N79" s="1387"/>
      <c r="O79" s="1387"/>
      <c r="P79" s="2328"/>
      <c r="Q79" s="120"/>
    </row>
    <row r="80" spans="1:17" ht="15" thickBot="1">
      <c r="A80" s="172"/>
      <c r="B80" s="1053"/>
      <c r="C80" s="885">
        <v>100</v>
      </c>
      <c r="D80" s="885">
        <f>C80-$K17</f>
        <v>100</v>
      </c>
      <c r="E80" s="885">
        <f>D80-$K17</f>
        <v>100</v>
      </c>
      <c r="F80" s="885">
        <f>E80-$K17</f>
        <v>100</v>
      </c>
      <c r="G80" s="885">
        <f>F80-$K17</f>
        <v>100</v>
      </c>
      <c r="H80" s="885"/>
      <c r="I80" s="885"/>
      <c r="J80" s="885"/>
      <c r="K80" s="885"/>
      <c r="L80" s="885"/>
      <c r="M80" s="886"/>
      <c r="N80" s="1388"/>
      <c r="O80" s="1388"/>
      <c r="P80" s="2328"/>
      <c r="Q80" s="120"/>
    </row>
    <row r="81" spans="1:17" ht="15" thickTop="1">
      <c r="A81" s="172"/>
      <c r="B81" s="1052" t="s">
        <v>31</v>
      </c>
      <c r="C81" s="919" t="s">
        <v>1013</v>
      </c>
      <c r="D81" s="919" t="s">
        <v>1014</v>
      </c>
      <c r="E81" s="919" t="s">
        <v>1015</v>
      </c>
      <c r="F81" s="919" t="s">
        <v>1016</v>
      </c>
      <c r="G81" s="919" t="s">
        <v>1017</v>
      </c>
      <c r="H81" s="880"/>
      <c r="I81" s="880"/>
      <c r="J81" s="880"/>
      <c r="K81" s="881"/>
      <c r="L81" s="882"/>
      <c r="M81" s="883"/>
      <c r="N81" s="1387"/>
      <c r="O81" s="1387"/>
      <c r="P81" s="2328"/>
      <c r="Q81" s="120"/>
    </row>
    <row r="82" spans="1:17" ht="15" thickBot="1">
      <c r="A82" s="172"/>
      <c r="B82" s="1053"/>
      <c r="C82" s="885">
        <v>100</v>
      </c>
      <c r="D82" s="885">
        <f>C82-$K19</f>
        <v>100</v>
      </c>
      <c r="E82" s="885">
        <f>D82-$K19</f>
        <v>100</v>
      </c>
      <c r="F82" s="885">
        <f>E82-$K19</f>
        <v>100</v>
      </c>
      <c r="G82" s="885">
        <f>F82-$K19</f>
        <v>100</v>
      </c>
      <c r="H82" s="885"/>
      <c r="I82" s="885"/>
      <c r="J82" s="885"/>
      <c r="K82" s="885"/>
      <c r="L82" s="885"/>
      <c r="M82" s="886"/>
      <c r="N82" s="1388"/>
      <c r="O82" s="1388"/>
      <c r="P82" s="2328"/>
      <c r="Q82" s="120"/>
    </row>
    <row r="83" spans="1:17" ht="15" thickTop="1">
      <c r="A83" s="172"/>
      <c r="B83" s="1054" t="s">
        <v>2665</v>
      </c>
      <c r="C83" s="212" t="s">
        <v>2658</v>
      </c>
      <c r="D83" s="212" t="s">
        <v>2659</v>
      </c>
      <c r="E83" s="212" t="s">
        <v>2660</v>
      </c>
      <c r="F83" s="212" t="s">
        <v>2661</v>
      </c>
      <c r="G83" s="212" t="s">
        <v>2662</v>
      </c>
      <c r="H83" s="880"/>
      <c r="I83" s="880"/>
      <c r="J83" s="880"/>
      <c r="K83" s="880"/>
      <c r="L83" s="880"/>
      <c r="M83" s="2763"/>
      <c r="N83" s="1388"/>
      <c r="O83" s="1388"/>
      <c r="P83" s="2328"/>
      <c r="Q83" s="120"/>
    </row>
    <row r="84" spans="1:17" ht="15" thickBot="1">
      <c r="A84" s="172"/>
      <c r="B84" s="1054"/>
      <c r="C84" s="885">
        <v>100</v>
      </c>
      <c r="D84" s="885">
        <f>C84-$K21</f>
        <v>100</v>
      </c>
      <c r="E84" s="885">
        <f>D84-$K21</f>
        <v>100</v>
      </c>
      <c r="F84" s="885">
        <f>E84-$K21</f>
        <v>100</v>
      </c>
      <c r="G84" s="885">
        <f>F84-$K21</f>
        <v>100</v>
      </c>
      <c r="H84" s="1001"/>
      <c r="I84" s="1001"/>
      <c r="J84" s="1001"/>
      <c r="K84" s="1001"/>
      <c r="L84" s="1001"/>
      <c r="M84" s="791"/>
      <c r="N84" s="1388"/>
      <c r="O84" s="1388"/>
      <c r="P84" s="2328"/>
      <c r="Q84" s="120"/>
    </row>
    <row r="85" spans="1:17" ht="15" thickTop="1">
      <c r="A85" s="172"/>
      <c r="B85" s="1052" t="s">
        <v>1094</v>
      </c>
      <c r="C85" s="919" t="s">
        <v>1013</v>
      </c>
      <c r="D85" s="919" t="s">
        <v>1014</v>
      </c>
      <c r="E85" s="919" t="s">
        <v>1015</v>
      </c>
      <c r="F85" s="919" t="s">
        <v>1016</v>
      </c>
      <c r="G85" s="919" t="s">
        <v>1017</v>
      </c>
      <c r="H85" s="880"/>
      <c r="I85" s="880"/>
      <c r="J85" s="880"/>
      <c r="K85" s="881"/>
      <c r="L85" s="882"/>
      <c r="M85" s="883"/>
      <c r="N85" s="1387"/>
      <c r="O85" s="1387"/>
      <c r="P85" s="2328"/>
      <c r="Q85" s="120"/>
    </row>
    <row r="86" spans="1:17" ht="15" thickBot="1">
      <c r="A86" s="172"/>
      <c r="B86" s="1053"/>
      <c r="C86" s="885">
        <v>100</v>
      </c>
      <c r="D86" s="885">
        <f>C86-$K23</f>
        <v>100</v>
      </c>
      <c r="E86" s="885">
        <f>D86-$K23</f>
        <v>100</v>
      </c>
      <c r="F86" s="885">
        <f>E86-$K23</f>
        <v>100</v>
      </c>
      <c r="G86" s="885">
        <f>F86-$K23</f>
        <v>100</v>
      </c>
      <c r="H86" s="885"/>
      <c r="I86" s="885"/>
      <c r="J86" s="885"/>
      <c r="K86" s="885"/>
      <c r="L86" s="885"/>
      <c r="M86" s="886"/>
      <c r="N86" s="1388"/>
      <c r="O86" s="1388"/>
      <c r="P86" s="2328"/>
      <c r="Q86" s="120"/>
    </row>
    <row r="87" spans="1:17" s="40" customFormat="1" ht="27.75" thickTop="1">
      <c r="A87" s="1070"/>
      <c r="B87" s="1052" t="s">
        <v>1095</v>
      </c>
      <c r="C87" s="138"/>
      <c r="D87" s="138"/>
      <c r="E87" s="138"/>
      <c r="F87" s="138"/>
      <c r="G87" s="138"/>
      <c r="H87" s="138"/>
      <c r="I87" s="138"/>
      <c r="J87" s="138"/>
      <c r="K87" s="138"/>
      <c r="L87" s="1382"/>
      <c r="M87" s="1383"/>
      <c r="N87" s="1386"/>
      <c r="O87" s="1386"/>
      <c r="P87" s="2328"/>
      <c r="Q87" s="120"/>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0"/>
    </row>
    <row r="89" spans="1:17" s="40" customFormat="1" ht="14.25" thickTop="1">
      <c r="A89" s="1070"/>
      <c r="B89" s="1052" t="str">
        <f>B27</f>
        <v>楼层</v>
      </c>
      <c r="C89" s="138"/>
      <c r="D89" s="138"/>
      <c r="E89" s="138"/>
      <c r="F89" s="1384"/>
      <c r="G89" s="138"/>
      <c r="H89" s="138"/>
      <c r="I89" s="138"/>
      <c r="J89" s="138"/>
      <c r="K89" s="138"/>
      <c r="L89" s="138"/>
      <c r="M89" s="1383"/>
      <c r="N89" s="1386"/>
      <c r="O89" s="1386"/>
      <c r="P89" s="2328"/>
      <c r="Q89" s="120"/>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0"/>
    </row>
    <row r="91" spans="1:17" s="1037" customFormat="1" ht="14.25" thickTop="1">
      <c r="A91" s="1056"/>
      <c r="B91" s="1052" t="str">
        <f>B28</f>
        <v>朝向</v>
      </c>
      <c r="C91" s="138"/>
      <c r="D91" s="138"/>
      <c r="E91" s="138"/>
      <c r="F91" s="138"/>
      <c r="G91" s="138"/>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2"/>
      <c r="B93" s="1052">
        <f>B29</f>
        <v>111</v>
      </c>
      <c r="C93" s="138"/>
      <c r="D93" s="138"/>
      <c r="E93" s="138"/>
      <c r="F93" s="138"/>
      <c r="G93" s="138"/>
      <c r="H93" s="138"/>
      <c r="I93" s="138"/>
      <c r="J93" s="138"/>
      <c r="K93" s="138"/>
      <c r="L93" s="1382"/>
      <c r="M93" s="1383"/>
      <c r="N93" s="1387"/>
      <c r="O93" s="1387"/>
      <c r="P93" s="2328"/>
      <c r="Q93" s="120"/>
    </row>
    <row r="94" spans="1:17" ht="15" thickBot="1">
      <c r="A94" s="172"/>
      <c r="B94" s="1053"/>
      <c r="C94" s="901"/>
      <c r="D94" s="877"/>
      <c r="E94" s="877"/>
      <c r="F94" s="877"/>
      <c r="G94" s="877"/>
      <c r="H94" s="877"/>
      <c r="I94" s="877"/>
      <c r="J94" s="877"/>
      <c r="K94" s="877"/>
      <c r="L94" s="877"/>
      <c r="M94" s="878"/>
      <c r="N94" s="1388"/>
      <c r="O94" s="1388"/>
      <c r="P94" s="2328"/>
      <c r="Q94" s="120"/>
    </row>
    <row r="95" spans="1:17" ht="14.25" thickTop="1">
      <c r="A95" s="172"/>
      <c r="B95" s="1052">
        <f>B30</f>
        <v>111</v>
      </c>
      <c r="C95" s="138"/>
      <c r="D95" s="138"/>
      <c r="E95" s="138"/>
      <c r="F95" s="138"/>
      <c r="G95" s="130"/>
      <c r="H95" s="130"/>
      <c r="I95" s="130"/>
      <c r="J95" s="130"/>
      <c r="K95" s="131"/>
      <c r="L95" s="132"/>
      <c r="M95" s="133"/>
      <c r="N95" s="1387"/>
      <c r="O95" s="1387"/>
      <c r="P95" s="2328"/>
      <c r="Q95" s="120"/>
    </row>
    <row r="96" spans="1:17" ht="15" thickBot="1">
      <c r="A96" s="172"/>
      <c r="B96" s="1053"/>
      <c r="C96" s="901"/>
      <c r="D96" s="901"/>
      <c r="E96" s="901"/>
      <c r="F96" s="901"/>
      <c r="G96" s="877"/>
      <c r="H96" s="877"/>
      <c r="I96" s="877"/>
      <c r="J96" s="877"/>
      <c r="K96" s="877"/>
      <c r="L96" s="877"/>
      <c r="M96" s="878"/>
      <c r="N96" s="1388"/>
      <c r="O96" s="1388"/>
      <c r="P96" s="2328"/>
      <c r="Q96" s="120"/>
    </row>
    <row r="97" spans="1:17" ht="14.25" thickTop="1">
      <c r="A97" s="172"/>
      <c r="B97" s="1052">
        <f>B31</f>
        <v>111</v>
      </c>
      <c r="C97" s="138"/>
      <c r="D97" s="138"/>
      <c r="E97" s="138"/>
      <c r="F97" s="138"/>
      <c r="G97" s="130"/>
      <c r="H97" s="130"/>
      <c r="I97" s="130"/>
      <c r="J97" s="130"/>
      <c r="K97" s="131"/>
      <c r="L97" s="132"/>
      <c r="M97" s="133"/>
      <c r="N97" s="1387"/>
      <c r="O97" s="1387"/>
      <c r="P97" s="2328"/>
      <c r="Q97" s="120"/>
    </row>
    <row r="98" spans="1:17" ht="15" thickBot="1">
      <c r="A98" s="172"/>
      <c r="B98" s="1053"/>
      <c r="C98" s="901"/>
      <c r="D98" s="877"/>
      <c r="E98" s="877"/>
      <c r="F98" s="877"/>
      <c r="G98" s="877"/>
      <c r="H98" s="877"/>
      <c r="I98" s="877"/>
      <c r="J98" s="877"/>
      <c r="K98" s="877"/>
      <c r="L98" s="877"/>
      <c r="M98" s="878"/>
      <c r="N98" s="1388"/>
      <c r="O98" s="1388"/>
      <c r="P98" s="2328"/>
      <c r="Q98" s="120"/>
    </row>
    <row r="99" spans="1:17" ht="14.25" thickTop="1">
      <c r="A99" s="172"/>
      <c r="B99" s="1054">
        <f>B32</f>
        <v>111</v>
      </c>
      <c r="C99" s="139"/>
      <c r="D99" s="139"/>
      <c r="E99" s="139"/>
      <c r="F99" s="139"/>
      <c r="G99" s="134"/>
      <c r="H99" s="134"/>
      <c r="I99" s="134"/>
      <c r="J99" s="134"/>
      <c r="K99" s="135"/>
      <c r="L99" s="136"/>
      <c r="M99" s="137"/>
      <c r="N99" s="1387"/>
      <c r="O99" s="1387"/>
      <c r="P99" s="2328"/>
      <c r="Q99" s="120"/>
    </row>
    <row r="100" spans="1:17" ht="15" thickBot="1">
      <c r="A100" s="173"/>
      <c r="B100" s="1069"/>
      <c r="C100" s="911"/>
      <c r="D100" s="911"/>
      <c r="E100" s="911"/>
      <c r="F100" s="911"/>
      <c r="G100" s="932"/>
      <c r="H100" s="932"/>
      <c r="I100" s="932"/>
      <c r="J100" s="932"/>
      <c r="K100" s="932"/>
      <c r="L100" s="932"/>
      <c r="M100" s="933"/>
      <c r="N100" s="1388"/>
      <c r="O100" s="1388"/>
      <c r="P100" s="2328"/>
      <c r="Q100" s="120"/>
    </row>
    <row r="101" spans="1:17">
      <c r="A101" s="171" t="s">
        <v>1053</v>
      </c>
      <c r="B101" s="285" t="s">
        <v>1096</v>
      </c>
      <c r="C101" s="121"/>
      <c r="D101" s="121"/>
      <c r="E101" s="121"/>
      <c r="F101" s="121"/>
      <c r="G101" s="121"/>
      <c r="H101" s="121"/>
      <c r="I101" s="121"/>
      <c r="J101" s="121"/>
      <c r="K101" s="122"/>
      <c r="L101" s="123"/>
      <c r="M101" s="124"/>
      <c r="N101" s="1387"/>
      <c r="O101" s="1387"/>
      <c r="P101" s="2328"/>
      <c r="Q101" s="120"/>
    </row>
    <row r="102" spans="1:17" ht="15" thickBot="1">
      <c r="A102" s="172"/>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0"/>
    </row>
    <row r="103" spans="1:17" ht="15" thickTop="1">
      <c r="A103" s="172"/>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0"/>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4"/>
      <c r="B106" s="1052" t="s">
        <v>1056</v>
      </c>
      <c r="C106" s="138"/>
      <c r="D106" s="138"/>
      <c r="E106" s="130"/>
      <c r="F106" s="130"/>
      <c r="G106" s="130"/>
      <c r="H106" s="130"/>
      <c r="I106" s="130"/>
      <c r="J106" s="130"/>
      <c r="K106" s="131"/>
      <c r="L106" s="132"/>
      <c r="M106" s="133"/>
      <c r="N106" s="1387"/>
      <c r="O106" s="1387"/>
      <c r="P106" s="2328"/>
      <c r="Q106" s="120"/>
    </row>
    <row r="107" spans="1:17" ht="15" thickBot="1">
      <c r="A107" s="172"/>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0"/>
    </row>
    <row r="108" spans="1:17" ht="14.25" thickTop="1">
      <c r="A108" s="174"/>
      <c r="B108" s="1052" t="s">
        <v>1057</v>
      </c>
      <c r="C108" s="138"/>
      <c r="D108" s="138"/>
      <c r="E108" s="138"/>
      <c r="F108" s="130"/>
      <c r="G108" s="130"/>
      <c r="H108" s="130"/>
      <c r="I108" s="130"/>
      <c r="J108" s="130"/>
      <c r="K108" s="131"/>
      <c r="L108" s="132"/>
      <c r="M108" s="133"/>
      <c r="N108" s="1387"/>
      <c r="O108" s="1387"/>
      <c r="P108" s="2328"/>
      <c r="Q108" s="120"/>
    </row>
    <row r="109" spans="1:17" ht="15" thickBot="1">
      <c r="A109" s="172"/>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0"/>
    </row>
    <row r="110" spans="1:17" ht="15" thickTop="1">
      <c r="A110" s="174"/>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0"/>
      <c r="J110" s="130"/>
      <c r="K110" s="131"/>
      <c r="L110" s="132"/>
      <c r="M110" s="133"/>
      <c r="N110" s="1387"/>
      <c r="O110" s="1387"/>
      <c r="P110" s="2328"/>
      <c r="Q110" s="120"/>
    </row>
    <row r="111" spans="1:17" ht="14.25">
      <c r="A111" s="174"/>
      <c r="B111" s="1054"/>
      <c r="C111" s="944">
        <v>0.5</v>
      </c>
      <c r="D111" s="944">
        <v>0.6</v>
      </c>
      <c r="E111" s="944">
        <v>0.7</v>
      </c>
      <c r="F111" s="944">
        <v>0.8</v>
      </c>
      <c r="G111" s="944">
        <v>0.9</v>
      </c>
      <c r="H111" s="944">
        <v>1.0001</v>
      </c>
      <c r="I111" s="182"/>
      <c r="J111" s="182"/>
      <c r="K111" s="183"/>
      <c r="L111" s="184"/>
      <c r="M111" s="185"/>
      <c r="N111" s="1387"/>
      <c r="O111" s="1387"/>
      <c r="P111" s="2328"/>
      <c r="Q111" s="120"/>
    </row>
    <row r="112" spans="1:17" ht="15" thickBot="1">
      <c r="A112" s="172"/>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0"/>
    </row>
    <row r="113" spans="1:17" s="1037" customFormat="1" ht="14.25" thickTop="1">
      <c r="A113" s="1071"/>
      <c r="B113" s="1052" t="s">
        <v>1097</v>
      </c>
      <c r="C113" s="138"/>
      <c r="D113" s="138"/>
      <c r="E113" s="138"/>
      <c r="F113" s="138"/>
      <c r="G113" s="138"/>
      <c r="H113" s="130"/>
      <c r="I113" s="130"/>
      <c r="J113" s="130"/>
      <c r="K113" s="131"/>
      <c r="L113" s="132"/>
      <c r="M113" s="133"/>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4"/>
      <c r="B115" s="1052" t="s">
        <v>1098</v>
      </c>
      <c r="C115" s="138"/>
      <c r="D115" s="138"/>
      <c r="E115" s="130"/>
      <c r="F115" s="130"/>
      <c r="G115" s="130"/>
      <c r="H115" s="130"/>
      <c r="I115" s="130"/>
      <c r="J115" s="130"/>
      <c r="K115" s="131"/>
      <c r="L115" s="132"/>
      <c r="M115" s="133"/>
      <c r="N115" s="1387"/>
      <c r="O115" s="1387"/>
      <c r="P115" s="2328"/>
      <c r="Q115" s="120"/>
    </row>
    <row r="116" spans="1:17" ht="15" thickBot="1">
      <c r="A116" s="172"/>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0"/>
    </row>
    <row r="117" spans="1:17" ht="14.25" thickTop="1">
      <c r="A117" s="174"/>
      <c r="B117" s="1052" t="s">
        <v>2640</v>
      </c>
      <c r="C117" s="138"/>
      <c r="D117" s="138"/>
      <c r="E117" s="138"/>
      <c r="F117" s="138"/>
      <c r="G117" s="138"/>
      <c r="H117" s="130"/>
      <c r="I117" s="130"/>
      <c r="J117" s="130"/>
      <c r="K117" s="131"/>
      <c r="L117" s="132"/>
      <c r="M117" s="133"/>
      <c r="N117" s="1387"/>
      <c r="O117" s="1387"/>
      <c r="P117" s="2328"/>
      <c r="Q117" s="120"/>
    </row>
    <row r="118" spans="1:17" ht="15" thickBot="1">
      <c r="A118" s="172"/>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0"/>
    </row>
    <row r="119" spans="1:17" ht="14.25" thickTop="1">
      <c r="A119" s="174"/>
      <c r="B119" s="210" t="s">
        <v>1060</v>
      </c>
      <c r="C119" s="130"/>
      <c r="D119" s="130"/>
      <c r="E119" s="130"/>
      <c r="F119" s="130"/>
      <c r="G119" s="130"/>
      <c r="H119" s="130"/>
      <c r="I119" s="130"/>
      <c r="J119" s="130"/>
      <c r="K119" s="130"/>
      <c r="L119" s="197"/>
      <c r="M119" s="198"/>
      <c r="N119" s="1388"/>
      <c r="O119" s="1388"/>
      <c r="P119" s="2333"/>
      <c r="Q119" s="200"/>
    </row>
    <row r="120" spans="1:17" ht="15" thickBot="1">
      <c r="A120" s="172"/>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0"/>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4"/>
      <c r="B123" s="1052" t="s">
        <v>1063</v>
      </c>
      <c r="C123" s="138"/>
      <c r="D123" s="138"/>
      <c r="E123" s="138"/>
      <c r="F123" s="130"/>
      <c r="G123" s="130"/>
      <c r="H123" s="130"/>
      <c r="I123" s="130"/>
      <c r="J123" s="130"/>
      <c r="K123" s="131"/>
      <c r="L123" s="132"/>
      <c r="M123" s="133"/>
      <c r="N123" s="1387"/>
      <c r="O123" s="1387"/>
      <c r="P123" s="2328"/>
      <c r="Q123" s="120"/>
    </row>
    <row r="124" spans="1:17" ht="15" thickBot="1">
      <c r="A124" s="172"/>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0"/>
    </row>
    <row r="125" spans="1:17" ht="27.75" thickTop="1">
      <c r="A125" s="174"/>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0"/>
    </row>
    <row r="126" spans="1:17" ht="15" thickBot="1">
      <c r="A126" s="172"/>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0"/>
    </row>
    <row r="127" spans="1:17" s="1037" customFormat="1" ht="14.25" thickTop="1">
      <c r="A127" s="1071"/>
      <c r="B127" s="1052">
        <f>B45</f>
        <v>111</v>
      </c>
      <c r="C127" s="138"/>
      <c r="D127" s="138"/>
      <c r="E127" s="138"/>
      <c r="F127" s="138"/>
      <c r="G127" s="138"/>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4"/>
      <c r="B129" s="1052">
        <f>B46</f>
        <v>111</v>
      </c>
      <c r="C129" s="138"/>
      <c r="D129" s="138"/>
      <c r="E129" s="138"/>
      <c r="F129" s="138"/>
      <c r="G129" s="130"/>
      <c r="H129" s="130"/>
      <c r="I129" s="130"/>
      <c r="J129" s="130"/>
      <c r="K129" s="131"/>
      <c r="L129" s="132"/>
      <c r="M129" s="133"/>
      <c r="N129" s="1387"/>
      <c r="O129" s="1387"/>
      <c r="P129" s="2328"/>
      <c r="Q129" s="120"/>
    </row>
    <row r="130" spans="1:17" ht="15" thickBot="1">
      <c r="A130" s="172"/>
      <c r="B130" s="1053"/>
      <c r="C130" s="901"/>
      <c r="D130" s="901"/>
      <c r="E130" s="901"/>
      <c r="F130" s="901"/>
      <c r="G130" s="877"/>
      <c r="H130" s="877"/>
      <c r="I130" s="877"/>
      <c r="J130" s="877"/>
      <c r="K130" s="877"/>
      <c r="L130" s="877"/>
      <c r="M130" s="878"/>
      <c r="N130" s="1388"/>
      <c r="O130" s="1388"/>
      <c r="P130" s="2328"/>
      <c r="Q130" s="120"/>
    </row>
    <row r="131" spans="1:17" ht="14.25" thickTop="1">
      <c r="A131" s="174"/>
      <c r="B131" s="1054">
        <f>B47</f>
        <v>111</v>
      </c>
      <c r="C131" s="139"/>
      <c r="D131" s="139"/>
      <c r="E131" s="139"/>
      <c r="F131" s="139"/>
      <c r="G131" s="134"/>
      <c r="H131" s="134"/>
      <c r="I131" s="134"/>
      <c r="J131" s="134"/>
      <c r="K131" s="139"/>
      <c r="L131" s="140"/>
      <c r="M131" s="137"/>
      <c r="N131" s="1387"/>
      <c r="O131" s="1387"/>
      <c r="P131" s="2328"/>
      <c r="Q131" s="120"/>
    </row>
    <row r="132" spans="1:17" ht="15" thickBot="1">
      <c r="A132" s="173"/>
      <c r="B132" s="1069"/>
      <c r="C132" s="911"/>
      <c r="D132" s="911"/>
      <c r="E132" s="911"/>
      <c r="F132" s="911"/>
      <c r="G132" s="932"/>
      <c r="H132" s="932"/>
      <c r="I132" s="932"/>
      <c r="J132" s="932"/>
      <c r="K132" s="932"/>
      <c r="L132" s="932"/>
      <c r="M132" s="933"/>
      <c r="N132" s="1388"/>
      <c r="O132" s="1388"/>
      <c r="P132" s="2328"/>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1103</v>
      </c>
      <c r="B1" s="3115" t="s">
        <v>1104</v>
      </c>
      <c r="C1" s="3109" t="s">
        <v>1105</v>
      </c>
      <c r="D1" s="3100"/>
      <c r="E1" s="3105"/>
      <c r="F1" s="3102"/>
      <c r="G1" s="3104" t="s">
        <v>1106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1107</v>
      </c>
      <c r="B2" s="2842" t="e">
        <f ca="1">IF(C2="——",ROUND(C43*D3/10000,0),ROUND(C43*D3/10000,0)-D2)</f>
        <v>#DIV/0!</v>
      </c>
      <c r="C2" s="3094"/>
      <c r="D2" s="2341"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1" t="s">
        <v>1109</v>
      </c>
      <c r="D3" s="740">
        <f>IF(D1="",'数据-汇总表'!E3,SUMIF('数据-汇总表'!$C19:$C33,D1,'数据-汇总表'!$E19:$E33))</f>
        <v>62458.42</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2" t="s">
        <v>1110</v>
      </c>
      <c r="B4" s="143"/>
      <c r="C4" s="3652" t="s">
        <v>1111</v>
      </c>
      <c r="D4" s="3653"/>
      <c r="E4" s="3654" t="s">
        <v>1112</v>
      </c>
      <c r="F4" s="3655"/>
      <c r="G4" s="3652" t="s">
        <v>1113</v>
      </c>
      <c r="H4" s="3653"/>
      <c r="I4" s="3652" t="s">
        <v>1114</v>
      </c>
      <c r="J4" s="3653"/>
      <c r="K4" s="186" t="s">
        <v>1115</v>
      </c>
      <c r="L4" s="2294"/>
      <c r="M4" s="2295"/>
      <c r="N4" s="2295"/>
      <c r="O4" s="2295"/>
      <c r="P4" s="3656" t="s">
        <v>1110</v>
      </c>
      <c r="Q4" s="3657"/>
      <c r="R4" s="3662" t="s">
        <v>1112</v>
      </c>
      <c r="S4" s="3663"/>
      <c r="T4" s="3662" t="s">
        <v>1113</v>
      </c>
      <c r="U4" s="3663"/>
      <c r="V4" s="3676" t="s">
        <v>1114</v>
      </c>
      <c r="W4" s="3676"/>
      <c r="X4" s="1338"/>
      <c r="Y4" s="3662" t="s">
        <v>1110</v>
      </c>
      <c r="Z4" s="3663"/>
      <c r="AA4" s="3649" t="s">
        <v>1112</v>
      </c>
      <c r="AB4" s="3650" t="s">
        <v>1113</v>
      </c>
      <c r="AC4" s="3649" t="s">
        <v>1114</v>
      </c>
    </row>
    <row r="5" spans="1:29">
      <c r="A5" s="145"/>
      <c r="B5" s="146"/>
      <c r="C5" s="3666" t="s">
        <v>1116</v>
      </c>
      <c r="D5" s="3667"/>
      <c r="E5" s="3668" t="s">
        <v>1117</v>
      </c>
      <c r="F5" s="3669"/>
      <c r="G5" s="3666" t="s">
        <v>1118</v>
      </c>
      <c r="H5" s="3667"/>
      <c r="I5" s="3666" t="s">
        <v>1119</v>
      </c>
      <c r="J5" s="3667"/>
      <c r="K5" s="186"/>
      <c r="L5" s="2294"/>
      <c r="M5" s="2295"/>
      <c r="N5" s="2295"/>
      <c r="O5" s="2295"/>
      <c r="P5" s="3658"/>
      <c r="Q5" s="3659"/>
      <c r="R5" s="3664"/>
      <c r="S5" s="3665"/>
      <c r="T5" s="3664"/>
      <c r="U5" s="3665"/>
      <c r="V5" s="3676"/>
      <c r="W5" s="3676"/>
      <c r="X5" s="1338"/>
      <c r="Y5" s="3664"/>
      <c r="Z5" s="3665"/>
      <c r="AA5" s="3650"/>
      <c r="AB5" s="3650"/>
      <c r="AC5" s="3650"/>
    </row>
    <row r="6" spans="1:29" ht="14.25" thickBot="1">
      <c r="A6" s="147"/>
      <c r="B6" s="148"/>
      <c r="C6" s="3670" t="s">
        <v>1120</v>
      </c>
      <c r="D6" s="3671"/>
      <c r="E6" s="3672" t="s">
        <v>1120</v>
      </c>
      <c r="F6" s="3673"/>
      <c r="G6" s="3670" t="s">
        <v>1120</v>
      </c>
      <c r="H6" s="3671"/>
      <c r="I6" s="3670" t="s">
        <v>1120</v>
      </c>
      <c r="J6" s="3671"/>
      <c r="K6" s="186" t="s">
        <v>1121</v>
      </c>
      <c r="L6" s="2294"/>
      <c r="M6" s="2295"/>
      <c r="N6" s="2295"/>
      <c r="O6" s="2295"/>
      <c r="P6" s="3660"/>
      <c r="Q6" s="3661"/>
      <c r="R6" s="3664"/>
      <c r="S6" s="3665"/>
      <c r="T6" s="3674"/>
      <c r="U6" s="3675"/>
      <c r="V6" s="3676"/>
      <c r="W6" s="3676"/>
      <c r="X6" s="1338"/>
      <c r="Y6" s="3674"/>
      <c r="Z6" s="3675"/>
      <c r="AA6" s="3651"/>
      <c r="AB6" s="3651"/>
      <c r="AC6" s="3651"/>
    </row>
    <row r="7" spans="1:29" s="40" customFormat="1" ht="15" thickBot="1">
      <c r="A7" s="1012" t="s">
        <v>1122</v>
      </c>
      <c r="B7" s="1013"/>
      <c r="C7" s="751">
        <f>'数据-取费表'!B2</f>
        <v>42977</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77" t="s">
        <v>1122</v>
      </c>
      <c r="Q7" s="3678"/>
      <c r="R7" s="1340" t="s">
        <v>65</v>
      </c>
      <c r="S7" s="1341">
        <f t="shared" ref="S7:S15" si="0">F7</f>
        <v>0</v>
      </c>
      <c r="T7" s="1340" t="s">
        <v>65</v>
      </c>
      <c r="U7" s="1341">
        <f t="shared" ref="U7:U15" si="1">H7</f>
        <v>0</v>
      </c>
      <c r="V7" s="1340" t="s">
        <v>65</v>
      </c>
      <c r="W7" s="1341">
        <f t="shared" ref="W7:W15" si="2">J7</f>
        <v>0</v>
      </c>
      <c r="X7" s="286"/>
      <c r="Y7" s="3677" t="s">
        <v>1122</v>
      </c>
      <c r="Z7" s="3679"/>
      <c r="AA7" s="1342" t="e">
        <f>D7/F7</f>
        <v>#DIV/0!</v>
      </c>
      <c r="AB7" s="1342" t="e">
        <f>D7/H7</f>
        <v>#DIV/0!</v>
      </c>
      <c r="AC7" s="1342" t="e">
        <f>D7/J7</f>
        <v>#DIV/0!</v>
      </c>
    </row>
    <row r="8" spans="1:29" s="40" customFormat="1" ht="15" thickBot="1">
      <c r="A8" s="1012" t="s">
        <v>1123</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77" t="s">
        <v>1018</v>
      </c>
      <c r="Q8" s="3679"/>
      <c r="R8" s="1340" t="s">
        <v>65</v>
      </c>
      <c r="S8" s="1341">
        <f t="shared" si="0"/>
        <v>0</v>
      </c>
      <c r="T8" s="1340" t="s">
        <v>65</v>
      </c>
      <c r="U8" s="1341">
        <f t="shared" si="1"/>
        <v>0</v>
      </c>
      <c r="V8" s="1340" t="s">
        <v>65</v>
      </c>
      <c r="W8" s="1341">
        <f t="shared" si="2"/>
        <v>0</v>
      </c>
      <c r="X8" s="286"/>
      <c r="Y8" s="3677" t="s">
        <v>1018</v>
      </c>
      <c r="Z8" s="3679"/>
      <c r="AA8" s="1342" t="e">
        <f t="shared" ref="AA8:AA40" si="3">D8/F8</f>
        <v>#DIV/0!</v>
      </c>
      <c r="AB8" s="1342" t="e">
        <f t="shared" ref="AB8:AB40" si="4">D8/H8</f>
        <v>#DIV/0!</v>
      </c>
      <c r="AC8" s="1342" t="e">
        <f t="shared" ref="AC8:AC40" si="5">D8/J8</f>
        <v>#DIV/0!</v>
      </c>
    </row>
    <row r="9" spans="1:29" s="40" customFormat="1" ht="14.25">
      <c r="A9" s="1019" t="s">
        <v>1019</v>
      </c>
      <c r="B9" s="62" t="s">
        <v>1020</v>
      </c>
      <c r="C9" s="1344"/>
      <c r="D9" s="423">
        <v>100</v>
      </c>
      <c r="E9" s="1346"/>
      <c r="F9" s="423">
        <f>SUMIF(57:57,E9,58:58)-SUMIF(57:57,C9,58:58)+100</f>
        <v>100</v>
      </c>
      <c r="G9" s="1345"/>
      <c r="H9" s="423">
        <f>SUMIF(57:57,G9,58:58)-SUMIF(57:57,C9,58:58)+100</f>
        <v>100</v>
      </c>
      <c r="I9" s="1345"/>
      <c r="J9" s="423">
        <f>SUMIF(57:57,I9,58:58)-SUMIF(57:57,C9,58:58)+100</f>
        <v>100</v>
      </c>
      <c r="K9" s="1017"/>
      <c r="L9" s="2296"/>
      <c r="M9" s="2258"/>
      <c r="N9" s="2258"/>
      <c r="O9" s="2337"/>
      <c r="P9" s="369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7"/>
      <c r="M10" s="2298"/>
      <c r="N10" s="2298"/>
      <c r="O10" s="2338"/>
      <c r="P10" s="369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
      <c r="A11" s="150"/>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90"/>
      <c r="Q11" s="7" t="str">
        <f t="shared" si="6"/>
        <v>容积率</v>
      </c>
      <c r="R11" s="1340" t="s">
        <v>65</v>
      </c>
      <c r="S11" s="1341" t="e">
        <f t="shared" si="0"/>
        <v>#N/A</v>
      </c>
      <c r="T11" s="1340" t="s">
        <v>65</v>
      </c>
      <c r="U11" s="1341" t="e">
        <f t="shared" si="1"/>
        <v>#N/A</v>
      </c>
      <c r="V11" s="1340" t="s">
        <v>65</v>
      </c>
      <c r="W11" s="1341" t="e">
        <f t="shared" si="2"/>
        <v>#N/A</v>
      </c>
      <c r="X11" s="286"/>
      <c r="Y11" s="344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7"/>
      <c r="L12" s="2296"/>
      <c r="M12" s="2258"/>
      <c r="N12" s="2258"/>
      <c r="O12" s="2337"/>
      <c r="P12" s="3690"/>
      <c r="Q12" s="7">
        <f t="shared" si="6"/>
        <v>111</v>
      </c>
      <c r="R12" s="1340" t="s">
        <v>65</v>
      </c>
      <c r="S12" s="1341">
        <f t="shared" si="0"/>
        <v>100</v>
      </c>
      <c r="T12" s="1340" t="s">
        <v>65</v>
      </c>
      <c r="U12" s="1341">
        <f t="shared" si="1"/>
        <v>100</v>
      </c>
      <c r="V12" s="1340" t="s">
        <v>65</v>
      </c>
      <c r="W12" s="1341">
        <f t="shared" si="2"/>
        <v>100</v>
      </c>
      <c r="X12" s="286"/>
      <c r="Y12" s="3445"/>
      <c r="Z12" s="287">
        <f t="shared" si="7"/>
        <v>111</v>
      </c>
      <c r="AA12" s="1342">
        <f>D12/F12</f>
        <v>1</v>
      </c>
      <c r="AB12" s="1342">
        <f>D12/H12</f>
        <v>1</v>
      </c>
      <c r="AC12" s="1342">
        <f>D12/J12</f>
        <v>1</v>
      </c>
    </row>
    <row r="13" spans="1:29" ht="14.25">
      <c r="A13" s="150"/>
      <c r="B13" s="1029">
        <v>111</v>
      </c>
      <c r="C13" s="93"/>
      <c r="D13" s="776">
        <v>100</v>
      </c>
      <c r="E13" s="93"/>
      <c r="F13" s="424">
        <f>SUMIF(66:66,E13,67:67)-SUMIF(66:66,C13,67:67)+100</f>
        <v>100</v>
      </c>
      <c r="G13" s="1409"/>
      <c r="H13" s="776">
        <f>SUMIF(66:66,G13,67:67)-SUMIF(66:66,C13,67:67)+100</f>
        <v>100</v>
      </c>
      <c r="I13" s="1356"/>
      <c r="J13" s="776">
        <f>SUMIF(66:66,I13,67:67)-SUMIF(66:66,C13,67:67)+100</f>
        <v>100</v>
      </c>
      <c r="K13" s="187"/>
      <c r="L13" s="2300"/>
      <c r="M13" s="2295"/>
      <c r="N13" s="2295"/>
      <c r="O13" s="2339"/>
      <c r="P13" s="3690"/>
      <c r="Q13" s="7">
        <f t="shared" si="6"/>
        <v>111</v>
      </c>
      <c r="R13" s="1340" t="s">
        <v>65</v>
      </c>
      <c r="S13" s="1341">
        <f t="shared" si="0"/>
        <v>100</v>
      </c>
      <c r="T13" s="1340" t="s">
        <v>65</v>
      </c>
      <c r="U13" s="1341">
        <f t="shared" si="1"/>
        <v>100</v>
      </c>
      <c r="V13" s="1340" t="s">
        <v>65</v>
      </c>
      <c r="W13" s="1341">
        <f t="shared" si="2"/>
        <v>100</v>
      </c>
      <c r="X13" s="286"/>
      <c r="Y13" s="3445"/>
      <c r="Z13" s="287">
        <f t="shared" si="7"/>
        <v>111</v>
      </c>
      <c r="AA13" s="1342">
        <f t="shared" si="3"/>
        <v>1</v>
      </c>
      <c r="AB13" s="1342">
        <f t="shared" si="4"/>
        <v>1</v>
      </c>
      <c r="AC13" s="1342">
        <f t="shared" si="5"/>
        <v>1</v>
      </c>
    </row>
    <row r="14" spans="1:29" ht="15" thickBot="1">
      <c r="A14" s="153"/>
      <c r="B14" s="1030">
        <v>111</v>
      </c>
      <c r="C14" s="94"/>
      <c r="D14" s="779">
        <v>100</v>
      </c>
      <c r="E14" s="94"/>
      <c r="F14" s="779">
        <f>SUMIF(68:68,E14,69:69)-SUMIF(68:68,C14,69:69)+100</f>
        <v>100</v>
      </c>
      <c r="G14" s="1409"/>
      <c r="H14" s="779">
        <f>SUMIF(68:68,G14,69:69)-SUMIF(68:68,C14,69:69)+100</f>
        <v>100</v>
      </c>
      <c r="I14" s="1356"/>
      <c r="J14" s="779">
        <f>SUMIF(68:68,I14,69:69)-SUMIF(68:68,C14,69:69)+100</f>
        <v>100</v>
      </c>
      <c r="K14" s="187"/>
      <c r="L14" s="2300"/>
      <c r="M14" s="2295"/>
      <c r="N14" s="2295"/>
      <c r="O14" s="2339"/>
      <c r="P14" s="3690"/>
      <c r="Q14" s="7">
        <f t="shared" si="6"/>
        <v>111</v>
      </c>
      <c r="R14" s="1340" t="s">
        <v>65</v>
      </c>
      <c r="S14" s="1341">
        <f t="shared" si="0"/>
        <v>100</v>
      </c>
      <c r="T14" s="1340" t="s">
        <v>65</v>
      </c>
      <c r="U14" s="1341">
        <f t="shared" si="1"/>
        <v>100</v>
      </c>
      <c r="V14" s="1340" t="s">
        <v>65</v>
      </c>
      <c r="W14" s="1341">
        <f t="shared" si="2"/>
        <v>100</v>
      </c>
      <c r="X14" s="286"/>
      <c r="Y14" s="3445"/>
      <c r="Z14" s="287">
        <f t="shared" si="7"/>
        <v>111</v>
      </c>
      <c r="AA14" s="1342">
        <f t="shared" si="3"/>
        <v>1</v>
      </c>
      <c r="AB14" s="1342">
        <f t="shared" si="4"/>
        <v>1</v>
      </c>
      <c r="AC14" s="1342">
        <f t="shared" si="5"/>
        <v>1</v>
      </c>
    </row>
    <row r="15" spans="1:29" ht="67.5">
      <c r="A15" s="154" t="s">
        <v>69</v>
      </c>
      <c r="B15" s="58" t="s">
        <v>151</v>
      </c>
      <c r="C15" s="211"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83" t="s">
        <v>69</v>
      </c>
      <c r="Q15" s="1349" t="str">
        <f t="shared" si="6"/>
        <v>产业集聚程度</v>
      </c>
      <c r="R15" s="1350" t="s">
        <v>65</v>
      </c>
      <c r="S15" s="1351">
        <f t="shared" si="0"/>
        <v>100</v>
      </c>
      <c r="T15" s="1350" t="s">
        <v>65</v>
      </c>
      <c r="U15" s="1351">
        <f t="shared" si="1"/>
        <v>100</v>
      </c>
      <c r="V15" s="1350" t="s">
        <v>65</v>
      </c>
      <c r="W15" s="1351">
        <f t="shared" si="2"/>
        <v>100</v>
      </c>
      <c r="X15" s="1338"/>
      <c r="Y15" s="3683" t="s">
        <v>69</v>
      </c>
      <c r="Z15" s="1352" t="str">
        <f t="shared" si="7"/>
        <v>产业集聚程度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339"/>
      <c r="P16" s="3684"/>
      <c r="Q16" s="1349"/>
      <c r="R16" s="1350"/>
      <c r="S16" s="1351"/>
      <c r="T16" s="1350"/>
      <c r="U16" s="1351"/>
      <c r="V16" s="1350"/>
      <c r="W16" s="1351"/>
      <c r="X16" s="1338"/>
      <c r="Y16" s="3684"/>
      <c r="Z16" s="1352"/>
      <c r="AA16" s="1353">
        <v>1</v>
      </c>
      <c r="AB16" s="1353">
        <v>1</v>
      </c>
      <c r="AC16" s="1353">
        <v>1</v>
      </c>
    </row>
    <row r="17" spans="1:29" ht="94.5">
      <c r="A17" s="150"/>
      <c r="B17" s="1354" t="s">
        <v>72</v>
      </c>
      <c r="C17" s="157"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84"/>
      <c r="Q17" s="1349" t="str">
        <f>B17</f>
        <v>交通便捷度</v>
      </c>
      <c r="R17" s="1350" t="s">
        <v>65</v>
      </c>
      <c r="S17" s="1351">
        <f>F17</f>
        <v>100</v>
      </c>
      <c r="T17" s="1350" t="s">
        <v>65</v>
      </c>
      <c r="U17" s="1351">
        <f>H17</f>
        <v>100</v>
      </c>
      <c r="V17" s="1350" t="s">
        <v>65</v>
      </c>
      <c r="W17" s="1351">
        <f>J17</f>
        <v>100</v>
      </c>
      <c r="X17" s="1338"/>
      <c r="Y17" s="3684"/>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339"/>
      <c r="P18" s="3684"/>
      <c r="Q18" s="1349"/>
      <c r="R18" s="1350"/>
      <c r="S18" s="1351"/>
      <c r="T18" s="1350"/>
      <c r="U18" s="1351"/>
      <c r="V18" s="1350"/>
      <c r="W18" s="1351"/>
      <c r="X18" s="1338"/>
      <c r="Y18" s="3684"/>
      <c r="Z18" s="1352"/>
      <c r="AA18" s="1353">
        <v>1</v>
      </c>
      <c r="AB18" s="1353">
        <v>1</v>
      </c>
      <c r="AC18" s="1353">
        <v>1</v>
      </c>
    </row>
    <row r="19" spans="1:29" ht="40.5">
      <c r="A19" s="150"/>
      <c r="B19" s="1354" t="s">
        <v>2663</v>
      </c>
      <c r="C19" s="157"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84"/>
      <c r="Q19" s="1349" t="str">
        <f>B19</f>
        <v>公共配套设施</v>
      </c>
      <c r="R19" s="1350" t="s">
        <v>65</v>
      </c>
      <c r="S19" s="1351">
        <f>F19</f>
        <v>100</v>
      </c>
      <c r="T19" s="1350" t="s">
        <v>65</v>
      </c>
      <c r="U19" s="1351">
        <f>H19</f>
        <v>100</v>
      </c>
      <c r="V19" s="1350" t="s">
        <v>65</v>
      </c>
      <c r="W19" s="1351">
        <f>J19</f>
        <v>100</v>
      </c>
      <c r="X19" s="1338"/>
      <c r="Y19" s="3684"/>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339"/>
      <c r="P20" s="3684"/>
      <c r="Q20" s="1349"/>
      <c r="R20" s="1350"/>
      <c r="S20" s="1351"/>
      <c r="T20" s="1350"/>
      <c r="U20" s="1351"/>
      <c r="V20" s="1350"/>
      <c r="W20" s="1351"/>
      <c r="X20" s="1338"/>
      <c r="Y20" s="3684"/>
      <c r="Z20" s="1352"/>
      <c r="AA20" s="1353">
        <v>1</v>
      </c>
      <c r="AB20" s="1353">
        <v>1</v>
      </c>
      <c r="AC20" s="1353">
        <v>1</v>
      </c>
    </row>
    <row r="21" spans="1:29" ht="40.5">
      <c r="A21" s="150"/>
      <c r="B21" s="1410" t="s">
        <v>2666</v>
      </c>
      <c r="C21" s="157"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84"/>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339"/>
      <c r="P22" s="3684"/>
      <c r="Q22" s="2744"/>
      <c r="R22" s="1350"/>
      <c r="S22" s="1351"/>
      <c r="T22" s="1350"/>
      <c r="U22" s="1351"/>
      <c r="V22" s="1350"/>
      <c r="W22" s="1351"/>
      <c r="X22" s="2746"/>
      <c r="Y22" s="3684"/>
      <c r="Z22" s="2745"/>
      <c r="AA22" s="1353">
        <v>1</v>
      </c>
      <c r="AB22" s="1353">
        <v>1</v>
      </c>
      <c r="AC22" s="1353">
        <v>1</v>
      </c>
    </row>
    <row r="23" spans="1:29" ht="81">
      <c r="A23" s="150"/>
      <c r="B23" s="1354" t="s">
        <v>143</v>
      </c>
      <c r="C23" s="157"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84"/>
      <c r="Q23" s="1349" t="str">
        <f>B23</f>
        <v>环境质量</v>
      </c>
      <c r="R23" s="1350" t="s">
        <v>65</v>
      </c>
      <c r="S23" s="1351">
        <f>F23</f>
        <v>100</v>
      </c>
      <c r="T23" s="1350" t="s">
        <v>65</v>
      </c>
      <c r="U23" s="1351">
        <f>H23</f>
        <v>100</v>
      </c>
      <c r="V23" s="1350" t="s">
        <v>65</v>
      </c>
      <c r="W23" s="1351">
        <f>J23</f>
        <v>100</v>
      </c>
      <c r="X23" s="1338"/>
      <c r="Y23" s="3684"/>
      <c r="Z23" s="1352" t="str">
        <f>Q23</f>
        <v>环境质量</v>
      </c>
      <c r="AA23" s="1353">
        <f t="shared" si="3"/>
        <v>1</v>
      </c>
      <c r="AB23" s="1353">
        <f t="shared" si="4"/>
        <v>1</v>
      </c>
      <c r="AC23" s="1353">
        <f t="shared" si="5"/>
        <v>1</v>
      </c>
    </row>
    <row r="24" spans="1:29" ht="14.25">
      <c r="A24" s="150"/>
      <c r="B24" s="1410"/>
      <c r="C24" s="97"/>
      <c r="D24" s="789"/>
      <c r="E24" s="98"/>
      <c r="F24" s="790"/>
      <c r="G24" s="99"/>
      <c r="H24" s="789"/>
      <c r="I24" s="98"/>
      <c r="J24" s="789"/>
      <c r="K24" s="188"/>
      <c r="L24" s="2300"/>
      <c r="M24" s="2295"/>
      <c r="N24" s="2295"/>
      <c r="O24" s="2339"/>
      <c r="P24" s="3684"/>
      <c r="Q24" s="1349"/>
      <c r="R24" s="1350"/>
      <c r="S24" s="1351"/>
      <c r="T24" s="1350"/>
      <c r="U24" s="1351"/>
      <c r="V24" s="1350"/>
      <c r="W24" s="1351"/>
      <c r="X24" s="1338"/>
      <c r="Y24" s="3684"/>
      <c r="Z24" s="1352"/>
      <c r="AA24" s="1353">
        <v>1</v>
      </c>
      <c r="AB24" s="1353">
        <v>1</v>
      </c>
      <c r="AC24" s="1353">
        <v>1</v>
      </c>
    </row>
    <row r="25" spans="1:29" ht="14.25">
      <c r="A25" s="145"/>
      <c r="B25" s="1355">
        <v>111</v>
      </c>
      <c r="C25" s="93">
        <v>111</v>
      </c>
      <c r="D25" s="776">
        <v>100</v>
      </c>
      <c r="E25" s="93"/>
      <c r="F25" s="802">
        <f>SUMIF(80:80,E25,81:81)-SUMIF(80:80,C25,81:81)+100</f>
        <v>100</v>
      </c>
      <c r="G25" s="93"/>
      <c r="H25" s="776">
        <f>SUMIF(80:80,G25,81:81)-SUMIF(80:80,C25,81:81)+100</f>
        <v>100</v>
      </c>
      <c r="I25" s="93"/>
      <c r="J25" s="776">
        <f>SUMIF(80:80,I25,81:81)-SUMIF(80:80,C25,81:81)+100</f>
        <v>100</v>
      </c>
      <c r="K25" s="187"/>
      <c r="L25" s="2300"/>
      <c r="M25" s="2295"/>
      <c r="N25" s="2295"/>
      <c r="O25" s="2339"/>
      <c r="P25" s="3684"/>
      <c r="Q25" s="1349">
        <f>B25</f>
        <v>111</v>
      </c>
      <c r="R25" s="1350" t="s">
        <v>65</v>
      </c>
      <c r="S25" s="1351">
        <f>F25</f>
        <v>100</v>
      </c>
      <c r="T25" s="1350" t="s">
        <v>65</v>
      </c>
      <c r="U25" s="1351">
        <f>H25</f>
        <v>100</v>
      </c>
      <c r="V25" s="1350" t="s">
        <v>65</v>
      </c>
      <c r="W25" s="1351">
        <f>J25</f>
        <v>100</v>
      </c>
      <c r="X25" s="1338"/>
      <c r="Y25" s="3684"/>
      <c r="Z25" s="1352">
        <f>Q25</f>
        <v>111</v>
      </c>
      <c r="AA25" s="1353">
        <f t="shared" si="3"/>
        <v>1</v>
      </c>
      <c r="AB25" s="1353">
        <f t="shared" si="4"/>
        <v>1</v>
      </c>
      <c r="AC25" s="1353">
        <f t="shared" si="5"/>
        <v>1</v>
      </c>
    </row>
    <row r="26" spans="1:29" ht="14.25">
      <c r="A26" s="150"/>
      <c r="B26" s="1355">
        <v>111</v>
      </c>
      <c r="C26" s="93">
        <v>111</v>
      </c>
      <c r="D26" s="776">
        <v>100</v>
      </c>
      <c r="E26" s="93"/>
      <c r="F26" s="802">
        <f>SUMIF(82:82,E26,83:83)-SUMIF(82:82,C26,83:83)+100</f>
        <v>100</v>
      </c>
      <c r="G26" s="93"/>
      <c r="H26" s="776">
        <f>SUMIF(82:82,G26,83:83)-SUMIF(82:82,C26,83:83)+100</f>
        <v>100</v>
      </c>
      <c r="I26" s="93"/>
      <c r="J26" s="776">
        <f>SUMIF(82:82,I26,83:83)-SUMIF(82:82,C26,83:83)+100</f>
        <v>100</v>
      </c>
      <c r="K26" s="187"/>
      <c r="L26" s="2300"/>
      <c r="M26" s="2295"/>
      <c r="N26" s="2295"/>
      <c r="O26" s="2339"/>
      <c r="P26" s="3684"/>
      <c r="Q26" s="1349">
        <f t="shared" ref="Q26:Q40" si="11">B26</f>
        <v>111</v>
      </c>
      <c r="R26" s="1350" t="s">
        <v>65</v>
      </c>
      <c r="S26" s="1351">
        <f>F26</f>
        <v>100</v>
      </c>
      <c r="T26" s="1350" t="s">
        <v>65</v>
      </c>
      <c r="U26" s="1351">
        <f>H26</f>
        <v>100</v>
      </c>
      <c r="V26" s="1350" t="s">
        <v>65</v>
      </c>
      <c r="W26" s="1351">
        <f>J26</f>
        <v>100</v>
      </c>
      <c r="X26" s="1338"/>
      <c r="Y26" s="3684"/>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7"/>
      <c r="L27" s="2296"/>
      <c r="M27" s="2258"/>
      <c r="N27" s="2258"/>
      <c r="O27" s="2337"/>
      <c r="P27" s="3684"/>
      <c r="Q27" s="7">
        <f t="shared" si="11"/>
        <v>111</v>
      </c>
      <c r="R27" s="1340" t="s">
        <v>65</v>
      </c>
      <c r="S27" s="1341">
        <f>F27</f>
        <v>100</v>
      </c>
      <c r="T27" s="1340" t="s">
        <v>65</v>
      </c>
      <c r="U27" s="1341">
        <f>H27</f>
        <v>100</v>
      </c>
      <c r="V27" s="1340" t="s">
        <v>65</v>
      </c>
      <c r="W27" s="1341">
        <f>J27</f>
        <v>100</v>
      </c>
      <c r="X27" s="286"/>
      <c r="Y27" s="3684"/>
      <c r="Z27" s="287">
        <f>Q27</f>
        <v>111</v>
      </c>
      <c r="AA27" s="1353">
        <f>D27/F27</f>
        <v>1</v>
      </c>
      <c r="AB27" s="1353">
        <f>D27/H27</f>
        <v>1</v>
      </c>
      <c r="AC27" s="1353">
        <f>D27/J27</f>
        <v>1</v>
      </c>
    </row>
    <row r="28" spans="1:29" ht="15" thickBot="1">
      <c r="A28" s="153"/>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7"/>
      <c r="L28" s="2300"/>
      <c r="M28" s="2295"/>
      <c r="N28" s="2295"/>
      <c r="O28" s="2339"/>
      <c r="P28" s="368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84"/>
      <c r="Z28" s="1352">
        <f t="shared" ref="Z28:Z40" si="15">Q28</f>
        <v>111</v>
      </c>
      <c r="AA28" s="1353">
        <f t="shared" si="3"/>
        <v>1</v>
      </c>
      <c r="AB28" s="1353">
        <f t="shared" si="4"/>
        <v>1</v>
      </c>
      <c r="AC28" s="1353">
        <f t="shared" si="5"/>
        <v>1</v>
      </c>
    </row>
    <row r="29" spans="1:29" ht="15">
      <c r="A29" s="159" t="s">
        <v>70</v>
      </c>
      <c r="B29" s="62" t="s">
        <v>146</v>
      </c>
      <c r="C29" s="196"/>
      <c r="D29" s="808">
        <v>100</v>
      </c>
      <c r="E29" s="196"/>
      <c r="F29" s="802">
        <f>SUMIF(88:88,E29,89:89)-SUMIF(88:88,C29,89:89)+100</f>
        <v>100</v>
      </c>
      <c r="G29" s="196"/>
      <c r="H29" s="776">
        <f>SUMIF(88:88,G29,89:89)-SUMIF(88:88,C29,89:89)+100</f>
        <v>100</v>
      </c>
      <c r="I29" s="196"/>
      <c r="J29" s="808">
        <f>SUMIF(88:88,I29,89:89)-SUMIF(88:88,C29,89:89)+100</f>
        <v>100</v>
      </c>
      <c r="K29" s="953"/>
      <c r="L29" s="2300"/>
      <c r="M29" s="2295"/>
      <c r="N29" s="2295"/>
      <c r="O29" s="2339"/>
      <c r="P29" s="3710" t="s">
        <v>1124</v>
      </c>
      <c r="Q29" s="1349" t="str">
        <f t="shared" si="11"/>
        <v>建筑类型</v>
      </c>
      <c r="R29" s="1350" t="s">
        <v>65</v>
      </c>
      <c r="S29" s="1351">
        <f t="shared" si="12"/>
        <v>100</v>
      </c>
      <c r="T29" s="1350" t="s">
        <v>65</v>
      </c>
      <c r="U29" s="1351">
        <f t="shared" si="13"/>
        <v>100</v>
      </c>
      <c r="V29" s="1350" t="s">
        <v>65</v>
      </c>
      <c r="W29" s="1351">
        <f t="shared" si="14"/>
        <v>100</v>
      </c>
      <c r="X29" s="1338"/>
      <c r="Y29" s="3688" t="s">
        <v>1124</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7"/>
      <c r="L30" s="2299"/>
      <c r="M30" s="2301"/>
      <c r="N30" s="2301"/>
      <c r="O30" s="2340"/>
      <c r="P30" s="3688"/>
      <c r="Q30" s="1357" t="str">
        <f t="shared" si="11"/>
        <v>项目建筑规模</v>
      </c>
      <c r="R30" s="1358" t="s">
        <v>65</v>
      </c>
      <c r="S30" s="1359" t="e">
        <f t="shared" si="12"/>
        <v>#N/A</v>
      </c>
      <c r="T30" s="1358" t="s">
        <v>65</v>
      </c>
      <c r="U30" s="1359" t="e">
        <f t="shared" si="13"/>
        <v>#N/A</v>
      </c>
      <c r="V30" s="1358" t="s">
        <v>65</v>
      </c>
      <c r="W30" s="1359" t="e">
        <f t="shared" si="14"/>
        <v>#N/A</v>
      </c>
      <c r="X30" s="1360"/>
      <c r="Y30" s="3688"/>
      <c r="Z30" s="1361" t="str">
        <f t="shared" si="15"/>
        <v>项目建筑规模</v>
      </c>
      <c r="AA30" s="1353" t="e">
        <f t="shared" si="3"/>
        <v>#N/A</v>
      </c>
      <c r="AB30" s="1353" t="e">
        <f t="shared" si="4"/>
        <v>#N/A</v>
      </c>
      <c r="AC30" s="1353" t="e">
        <f t="shared" si="5"/>
        <v>#N/A</v>
      </c>
    </row>
    <row r="31" spans="1:29" ht="15">
      <c r="A31" s="160"/>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88"/>
      <c r="Q31" s="1349" t="str">
        <f t="shared" si="11"/>
        <v>建筑结构</v>
      </c>
      <c r="R31" s="1350" t="s">
        <v>65</v>
      </c>
      <c r="S31" s="1351">
        <f t="shared" si="12"/>
        <v>100</v>
      </c>
      <c r="T31" s="1350" t="s">
        <v>65</v>
      </c>
      <c r="U31" s="1351">
        <f t="shared" si="13"/>
        <v>100</v>
      </c>
      <c r="V31" s="1350" t="s">
        <v>65</v>
      </c>
      <c r="W31" s="1351">
        <f t="shared" si="14"/>
        <v>100</v>
      </c>
      <c r="X31" s="1338"/>
      <c r="Y31" s="3688"/>
      <c r="Z31" s="1352" t="str">
        <f t="shared" si="15"/>
        <v>建筑结构</v>
      </c>
      <c r="AA31" s="1353">
        <f t="shared" si="3"/>
        <v>1</v>
      </c>
      <c r="AB31" s="1353">
        <f t="shared" si="4"/>
        <v>1</v>
      </c>
      <c r="AC31" s="1353">
        <f t="shared" si="5"/>
        <v>1</v>
      </c>
    </row>
    <row r="32" spans="1:29" ht="15">
      <c r="A32" s="160"/>
      <c r="B32" s="12" t="s">
        <v>1026</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88"/>
      <c r="Q32" s="1349" t="str">
        <f t="shared" si="11"/>
        <v>公共部分装修</v>
      </c>
      <c r="R32" s="1350" t="s">
        <v>65</v>
      </c>
      <c r="S32" s="1351">
        <f t="shared" si="12"/>
        <v>100</v>
      </c>
      <c r="T32" s="1350" t="s">
        <v>65</v>
      </c>
      <c r="U32" s="1351">
        <f t="shared" si="13"/>
        <v>100</v>
      </c>
      <c r="V32" s="1350" t="s">
        <v>65</v>
      </c>
      <c r="W32" s="1351">
        <f t="shared" si="14"/>
        <v>100</v>
      </c>
      <c r="X32" s="1338"/>
      <c r="Y32" s="3688"/>
      <c r="Z32" s="1352" t="str">
        <f t="shared" si="15"/>
        <v>公共部分装修</v>
      </c>
      <c r="AA32" s="1353">
        <f t="shared" si="3"/>
        <v>1</v>
      </c>
      <c r="AB32" s="1353">
        <f t="shared" si="4"/>
        <v>1</v>
      </c>
      <c r="AC32" s="1353">
        <f t="shared" si="5"/>
        <v>1</v>
      </c>
    </row>
    <row r="33" spans="1:29" ht="15">
      <c r="A33" s="160"/>
      <c r="B33" s="12" t="s">
        <v>1027</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88"/>
      <c r="Q33" s="1349" t="str">
        <f t="shared" si="11"/>
        <v>成新度</v>
      </c>
      <c r="R33" s="1350" t="s">
        <v>65</v>
      </c>
      <c r="S33" s="1351" t="e">
        <f t="shared" si="12"/>
        <v>#N/A</v>
      </c>
      <c r="T33" s="1350" t="s">
        <v>65</v>
      </c>
      <c r="U33" s="1351" t="e">
        <f t="shared" si="13"/>
        <v>#N/A</v>
      </c>
      <c r="V33" s="1350" t="s">
        <v>65</v>
      </c>
      <c r="W33" s="1351" t="e">
        <f t="shared" si="14"/>
        <v>#N/A</v>
      </c>
      <c r="X33" s="1338"/>
      <c r="Y33" s="3688"/>
      <c r="Z33" s="1352" t="str">
        <f t="shared" si="15"/>
        <v>成新度</v>
      </c>
      <c r="AA33" s="1353" t="e">
        <f t="shared" si="3"/>
        <v>#N/A</v>
      </c>
      <c r="AB33" s="1353" t="e">
        <f t="shared" si="4"/>
        <v>#N/A</v>
      </c>
      <c r="AC33" s="1353" t="e">
        <f t="shared" si="5"/>
        <v>#N/A</v>
      </c>
    </row>
    <row r="34" spans="1:29" s="40" customFormat="1" ht="15">
      <c r="A34" s="1039"/>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88"/>
      <c r="Q34" s="7" t="str">
        <f t="shared" si="11"/>
        <v>物业管理</v>
      </c>
      <c r="R34" s="1340" t="s">
        <v>65</v>
      </c>
      <c r="S34" s="1341">
        <f t="shared" si="12"/>
        <v>100</v>
      </c>
      <c r="T34" s="1340" t="s">
        <v>65</v>
      </c>
      <c r="U34" s="1341">
        <f t="shared" si="13"/>
        <v>100</v>
      </c>
      <c r="V34" s="1340" t="s">
        <v>65</v>
      </c>
      <c r="W34" s="1341">
        <f t="shared" si="14"/>
        <v>100</v>
      </c>
      <c r="X34" s="286"/>
      <c r="Y34" s="3688"/>
      <c r="Z34" s="287" t="str">
        <f t="shared" si="15"/>
        <v>物业管理</v>
      </c>
      <c r="AA34" s="1342">
        <f t="shared" si="3"/>
        <v>1</v>
      </c>
      <c r="AB34" s="1342">
        <f t="shared" si="4"/>
        <v>1</v>
      </c>
      <c r="AC34" s="1342">
        <f t="shared" si="5"/>
        <v>1</v>
      </c>
    </row>
    <row r="35" spans="1:29" ht="15">
      <c r="A35" s="160"/>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88" t="s">
        <v>70</v>
      </c>
      <c r="Q35" s="1349" t="str">
        <f t="shared" si="11"/>
        <v>市政基础设施</v>
      </c>
      <c r="R35" s="1350" t="s">
        <v>65</v>
      </c>
      <c r="S35" s="1351">
        <f t="shared" si="12"/>
        <v>100</v>
      </c>
      <c r="T35" s="1350" t="s">
        <v>65</v>
      </c>
      <c r="U35" s="1351">
        <f t="shared" si="13"/>
        <v>100</v>
      </c>
      <c r="V35" s="1350" t="s">
        <v>65</v>
      </c>
      <c r="W35" s="1351">
        <f t="shared" si="14"/>
        <v>100</v>
      </c>
      <c r="X35" s="1338"/>
      <c r="Y35" s="3688" t="s">
        <v>70</v>
      </c>
      <c r="Z35" s="1352" t="str">
        <f t="shared" si="15"/>
        <v>市政基础设施</v>
      </c>
      <c r="AA35" s="1353">
        <f t="shared" si="3"/>
        <v>1</v>
      </c>
      <c r="AB35" s="1353">
        <f t="shared" si="4"/>
        <v>1</v>
      </c>
      <c r="AC35" s="1353">
        <f t="shared" si="5"/>
        <v>1</v>
      </c>
    </row>
    <row r="36" spans="1:29" ht="15">
      <c r="A36" s="160"/>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88"/>
      <c r="Q36" s="1349" t="str">
        <f t="shared" si="11"/>
        <v>内部装修</v>
      </c>
      <c r="R36" s="1350" t="s">
        <v>65</v>
      </c>
      <c r="S36" s="1351">
        <f t="shared" si="12"/>
        <v>100</v>
      </c>
      <c r="T36" s="1350" t="s">
        <v>65</v>
      </c>
      <c r="U36" s="1351">
        <f t="shared" si="13"/>
        <v>100</v>
      </c>
      <c r="V36" s="1350" t="s">
        <v>65</v>
      </c>
      <c r="W36" s="1351">
        <f t="shared" si="14"/>
        <v>100</v>
      </c>
      <c r="X36" s="1338"/>
      <c r="Y36" s="3688"/>
      <c r="Z36" s="1352" t="str">
        <f t="shared" si="15"/>
        <v>内部装修</v>
      </c>
      <c r="AA36" s="1353">
        <f t="shared" si="3"/>
        <v>1</v>
      </c>
      <c r="AB36" s="1353">
        <f t="shared" si="4"/>
        <v>1</v>
      </c>
      <c r="AC36" s="1353">
        <f t="shared" si="5"/>
        <v>1</v>
      </c>
    </row>
    <row r="37" spans="1:29" ht="15">
      <c r="A37" s="160"/>
      <c r="B37" s="12" t="s">
        <v>1126</v>
      </c>
      <c r="C37" s="181"/>
      <c r="D37" s="776">
        <v>100</v>
      </c>
      <c r="E37" s="181"/>
      <c r="F37" s="802">
        <f>SUMIF(106:106,E37,107:107)-SUMIF(106:106,C37,107:107)+100</f>
        <v>100</v>
      </c>
      <c r="G37" s="181"/>
      <c r="H37" s="776">
        <f>SUMIF(106:106,G37,107:107)-SUMIF(106:106,C37,107:107)+100</f>
        <v>100</v>
      </c>
      <c r="I37" s="181"/>
      <c r="J37" s="776">
        <f>SUMIF(106:106,I37,107:107)-SUMIF(106:106,C37,107:107)+100</f>
        <v>100</v>
      </c>
      <c r="K37" s="953"/>
      <c r="L37" s="2300"/>
      <c r="M37" s="2295"/>
      <c r="N37" s="2295"/>
      <c r="O37" s="2339"/>
      <c r="P37" s="3688"/>
      <c r="Q37" s="1349" t="str">
        <f t="shared" si="11"/>
        <v>内部装修状况</v>
      </c>
      <c r="R37" s="1350" t="s">
        <v>65</v>
      </c>
      <c r="S37" s="1351">
        <f t="shared" si="12"/>
        <v>100</v>
      </c>
      <c r="T37" s="1350" t="s">
        <v>65</v>
      </c>
      <c r="U37" s="1351">
        <f t="shared" si="13"/>
        <v>100</v>
      </c>
      <c r="V37" s="1350" t="s">
        <v>65</v>
      </c>
      <c r="W37" s="1351">
        <f t="shared" si="14"/>
        <v>100</v>
      </c>
      <c r="X37" s="1338"/>
      <c r="Y37" s="3688"/>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7"/>
      <c r="L38" s="2299"/>
      <c r="M38" s="2301"/>
      <c r="N38" s="2301"/>
      <c r="O38" s="2340"/>
      <c r="P38" s="3688"/>
      <c r="Q38" s="1357">
        <f t="shared" si="11"/>
        <v>111</v>
      </c>
      <c r="R38" s="1358" t="s">
        <v>65</v>
      </c>
      <c r="S38" s="1359">
        <f t="shared" si="12"/>
        <v>100</v>
      </c>
      <c r="T38" s="1358" t="s">
        <v>65</v>
      </c>
      <c r="U38" s="1359">
        <f t="shared" si="13"/>
        <v>100</v>
      </c>
      <c r="V38" s="1358" t="s">
        <v>65</v>
      </c>
      <c r="W38" s="1359">
        <f t="shared" si="14"/>
        <v>100</v>
      </c>
      <c r="X38" s="1360"/>
      <c r="Y38" s="3688"/>
      <c r="Z38" s="1361">
        <f t="shared" si="15"/>
        <v>111</v>
      </c>
      <c r="AA38" s="1353">
        <f t="shared" si="3"/>
        <v>1</v>
      </c>
      <c r="AB38" s="1353">
        <f t="shared" si="4"/>
        <v>1</v>
      </c>
      <c r="AC38" s="1353">
        <f t="shared" si="5"/>
        <v>1</v>
      </c>
    </row>
    <row r="39" spans="1:29" ht="14.25">
      <c r="A39" s="160"/>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7"/>
      <c r="L39" s="2300"/>
      <c r="M39" s="2295"/>
      <c r="N39" s="2295"/>
      <c r="O39" s="2339"/>
      <c r="P39" s="3688"/>
      <c r="Q39" s="1349">
        <f t="shared" si="11"/>
        <v>111</v>
      </c>
      <c r="R39" s="1350" t="s">
        <v>65</v>
      </c>
      <c r="S39" s="1351">
        <f t="shared" si="12"/>
        <v>100</v>
      </c>
      <c r="T39" s="1350" t="s">
        <v>65</v>
      </c>
      <c r="U39" s="1351">
        <f t="shared" si="13"/>
        <v>100</v>
      </c>
      <c r="V39" s="1350" t="s">
        <v>65</v>
      </c>
      <c r="W39" s="1351">
        <f t="shared" si="14"/>
        <v>100</v>
      </c>
      <c r="X39" s="1338"/>
      <c r="Y39" s="3688"/>
      <c r="Z39" s="1352">
        <f t="shared" si="15"/>
        <v>111</v>
      </c>
      <c r="AA39" s="1353">
        <f t="shared" si="3"/>
        <v>1</v>
      </c>
      <c r="AB39" s="1353">
        <f t="shared" si="4"/>
        <v>1</v>
      </c>
      <c r="AC39" s="1353">
        <f t="shared" si="5"/>
        <v>1</v>
      </c>
    </row>
    <row r="40" spans="1:29" ht="15" thickBot="1">
      <c r="A40" s="161"/>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7"/>
      <c r="L40" s="2300"/>
      <c r="M40" s="2295"/>
      <c r="N40" s="2295"/>
      <c r="O40" s="2339"/>
      <c r="P40" s="3689"/>
      <c r="Q40" s="1349">
        <f t="shared" si="11"/>
        <v>111</v>
      </c>
      <c r="R40" s="1350" t="s">
        <v>65</v>
      </c>
      <c r="S40" s="1351">
        <f t="shared" si="12"/>
        <v>100</v>
      </c>
      <c r="T40" s="1350" t="s">
        <v>65</v>
      </c>
      <c r="U40" s="1351">
        <f t="shared" si="13"/>
        <v>100</v>
      </c>
      <c r="V40" s="1350" t="s">
        <v>65</v>
      </c>
      <c r="W40" s="1351">
        <f t="shared" si="14"/>
        <v>100</v>
      </c>
      <c r="X40" s="1338"/>
      <c r="Y40" s="3689"/>
      <c r="Z40" s="1352">
        <f t="shared" si="15"/>
        <v>111</v>
      </c>
      <c r="AA40" s="1353">
        <f t="shared" si="3"/>
        <v>1</v>
      </c>
      <c r="AB40" s="1353">
        <f t="shared" si="4"/>
        <v>1</v>
      </c>
      <c r="AC40" s="1353">
        <f t="shared" si="5"/>
        <v>1</v>
      </c>
    </row>
    <row r="41" spans="1:29" ht="15">
      <c r="A41" s="162" t="s">
        <v>102</v>
      </c>
      <c r="B41" s="163"/>
      <c r="C41" s="2831" t="s">
        <v>23</v>
      </c>
      <c r="D41" s="2832"/>
      <c r="E41" s="2833"/>
      <c r="F41" s="2834"/>
      <c r="G41" s="2835"/>
      <c r="H41" s="2836"/>
      <c r="I41" s="2833"/>
      <c r="J41" s="2836"/>
      <c r="K41" s="1391"/>
      <c r="L41" s="2302"/>
      <c r="M41" s="2303"/>
      <c r="N41" s="2295"/>
      <c r="O41" s="2303"/>
      <c r="P41" s="3690" t="str">
        <f>A41</f>
        <v>成交单价（元/平方米）</v>
      </c>
      <c r="Q41" s="3690"/>
      <c r="R41" s="3691">
        <f>E41</f>
        <v>0</v>
      </c>
      <c r="S41" s="3691"/>
      <c r="T41" s="3691">
        <f>G41</f>
        <v>0</v>
      </c>
      <c r="U41" s="3691"/>
      <c r="V41" s="3691">
        <f>I41</f>
        <v>0</v>
      </c>
      <c r="W41" s="3691"/>
      <c r="X41" s="1363"/>
      <c r="Y41" s="1364"/>
      <c r="Z41" s="1363"/>
      <c r="AA41" s="1363"/>
      <c r="AB41" s="1363"/>
      <c r="AC41" s="1363"/>
    </row>
    <row r="42" spans="1:29" ht="15.75" thickBot="1">
      <c r="A42" s="164" t="s">
        <v>100</v>
      </c>
      <c r="B42" s="165"/>
      <c r="C42" s="2837" t="e">
        <f>R43</f>
        <v>#DIV/0!</v>
      </c>
      <c r="D42" s="2838"/>
      <c r="E42" s="2839" t="e">
        <f>R42</f>
        <v>#DIV/0!</v>
      </c>
      <c r="F42" s="2839"/>
      <c r="G42" s="2837" t="e">
        <f>T42</f>
        <v>#DIV/0!</v>
      </c>
      <c r="H42" s="2838"/>
      <c r="I42" s="2839" t="e">
        <f>V42</f>
        <v>#DIV/0!</v>
      </c>
      <c r="J42" s="2838"/>
      <c r="K42" s="1392"/>
      <c r="L42" s="2302"/>
      <c r="M42" s="2303"/>
      <c r="N42" s="2295"/>
      <c r="O42" s="2303"/>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1363"/>
      <c r="Y42" s="1363"/>
      <c r="Z42" s="1363"/>
      <c r="AA42" s="1363"/>
      <c r="AB42" s="1363"/>
      <c r="AC42" s="1363"/>
    </row>
    <row r="43" spans="1:29" ht="15.75" thickBot="1">
      <c r="A43" s="114" t="s">
        <v>3018</v>
      </c>
      <c r="B43" s="115"/>
      <c r="C43" s="2841" t="e">
        <f>R43</f>
        <v>#DIV/0!</v>
      </c>
      <c r="D43" s="2841"/>
      <c r="E43" s="2841"/>
      <c r="F43" s="2841"/>
      <c r="G43" s="2841"/>
      <c r="H43" s="2841"/>
      <c r="I43" s="2841"/>
      <c r="J43" s="2841"/>
      <c r="K43" s="1393"/>
      <c r="L43" s="2302"/>
      <c r="M43" s="2303"/>
      <c r="N43" s="2303"/>
      <c r="O43" s="2303"/>
      <c r="P43" s="3692" t="str">
        <f>A43</f>
        <v>估价对象XX用房的比较价值（楼面单价，元/平方米）</v>
      </c>
      <c r="Q43" s="3693"/>
      <c r="R43" s="3694" t="e">
        <f>IF(F1="售价",ROUND(AVERAGE(R42:V42),0),ROUND(AVERAGE(R42:V42),1))</f>
        <v>#DIV/0!</v>
      </c>
      <c r="S43" s="3694"/>
      <c r="T43" s="3694"/>
      <c r="U43" s="3694"/>
      <c r="V43" s="3694"/>
      <c r="W43" s="3694"/>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6" t="s">
        <v>1000</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4"/>
      <c r="L46" s="2305"/>
      <c r="M46" s="2303"/>
      <c r="N46" s="2303"/>
      <c r="O46" s="2303"/>
    </row>
    <row r="47" spans="1:29" ht="13.5" customHeight="1">
      <c r="A47" s="2303"/>
      <c r="B47" s="2303"/>
      <c r="C47" s="166" t="s">
        <v>1001</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4"/>
      <c r="L47" s="2305"/>
      <c r="M47" s="2303"/>
      <c r="N47" s="2303"/>
      <c r="O47" s="2303"/>
    </row>
    <row r="48" spans="1:29" s="118" customFormat="1" ht="13.5" customHeight="1">
      <c r="A48" s="2308"/>
      <c r="B48" s="2308"/>
      <c r="C48" s="166" t="s">
        <v>1002</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6"/>
      <c r="L48" s="2307"/>
      <c r="M48" s="2308"/>
      <c r="N48" s="2308"/>
      <c r="O48" s="2308"/>
    </row>
    <row r="49" spans="1:17" s="118"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19"/>
      <c r="Q51" s="120"/>
    </row>
    <row r="52" spans="1:17" s="849" customFormat="1" ht="15">
      <c r="A52" s="846" t="s">
        <v>2795</v>
      </c>
      <c r="B52" s="847"/>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48"/>
    </row>
    <row r="53" spans="1:17" s="40" customFormat="1" ht="14.25">
      <c r="A53" s="1043"/>
      <c r="B53" s="1044"/>
      <c r="C53" s="3036">
        <v>100</v>
      </c>
      <c r="D53" s="853"/>
      <c r="E53" s="853"/>
      <c r="F53" s="853"/>
      <c r="G53" s="853"/>
      <c r="H53" s="853"/>
      <c r="I53" s="853"/>
      <c r="J53" s="853"/>
      <c r="K53" s="853"/>
      <c r="L53" s="853"/>
      <c r="M53" s="854"/>
      <c r="N53" s="853"/>
      <c r="O53" s="855"/>
      <c r="P53" s="120"/>
    </row>
    <row r="54" spans="1:17" s="40" customFormat="1" ht="15" thickBot="1">
      <c r="A54" s="1045" t="s">
        <v>118</v>
      </c>
      <c r="B54" s="1046"/>
      <c r="C54" s="858"/>
      <c r="D54" s="859"/>
      <c r="E54" s="859"/>
      <c r="F54" s="859"/>
      <c r="G54" s="859"/>
      <c r="H54" s="859"/>
      <c r="I54" s="859"/>
      <c r="J54" s="859"/>
      <c r="K54" s="859"/>
      <c r="L54" s="859"/>
      <c r="M54" s="860"/>
      <c r="N54" s="859"/>
      <c r="O54" s="861"/>
      <c r="P54" s="120"/>
      <c r="Q54" s="120"/>
    </row>
    <row r="55" spans="1:17" s="40" customFormat="1">
      <c r="A55" s="1047" t="s">
        <v>66</v>
      </c>
      <c r="B55" s="1044"/>
      <c r="C55" s="1048" t="s">
        <v>116</v>
      </c>
      <c r="D55" s="139"/>
      <c r="E55" s="139"/>
      <c r="F55" s="139"/>
      <c r="G55" s="139"/>
      <c r="H55" s="139"/>
      <c r="I55" s="139"/>
      <c r="J55" s="139"/>
      <c r="K55" s="139"/>
      <c r="L55" s="140"/>
      <c r="M55" s="1049"/>
      <c r="N55" s="1386"/>
      <c r="O55" s="1386"/>
      <c r="P55" s="1050"/>
      <c r="Q55" s="120"/>
    </row>
    <row r="56" spans="1:17" s="40" customFormat="1" ht="15" thickBot="1">
      <c r="A56" s="1047"/>
      <c r="B56" s="1044"/>
      <c r="C56" s="980">
        <v>100</v>
      </c>
      <c r="D56" s="853"/>
      <c r="E56" s="853"/>
      <c r="F56" s="853"/>
      <c r="G56" s="853"/>
      <c r="H56" s="853"/>
      <c r="I56" s="853"/>
      <c r="J56" s="853"/>
      <c r="K56" s="853"/>
      <c r="L56" s="853"/>
      <c r="M56" s="855"/>
      <c r="N56" s="1386"/>
      <c r="O56" s="1386"/>
      <c r="P56" s="120"/>
      <c r="Q56" s="120"/>
    </row>
    <row r="57" spans="1:17">
      <c r="A57" s="171" t="s">
        <v>67</v>
      </c>
      <c r="B57" s="285" t="s">
        <v>68</v>
      </c>
      <c r="C57" s="175">
        <f>C9</f>
        <v>0</v>
      </c>
      <c r="D57" s="121"/>
      <c r="E57" s="121"/>
      <c r="F57" s="121"/>
      <c r="G57" s="121"/>
      <c r="H57" s="121"/>
      <c r="I57" s="121"/>
      <c r="J57" s="121"/>
      <c r="K57" s="122"/>
      <c r="L57" s="123"/>
      <c r="M57" s="124"/>
      <c r="N57" s="1387"/>
      <c r="O57" s="1387"/>
      <c r="P57" s="1"/>
      <c r="Q57" s="120"/>
    </row>
    <row r="58" spans="1:17" ht="15" thickBot="1">
      <c r="A58" s="172"/>
      <c r="B58" s="1051"/>
      <c r="C58" s="877">
        <v>100</v>
      </c>
      <c r="D58" s="877"/>
      <c r="E58" s="877"/>
      <c r="F58" s="877"/>
      <c r="G58" s="877"/>
      <c r="H58" s="877"/>
      <c r="I58" s="877"/>
      <c r="J58" s="877"/>
      <c r="K58" s="877"/>
      <c r="L58" s="877"/>
      <c r="M58" s="878"/>
      <c r="N58" s="1388"/>
      <c r="O58" s="1388"/>
      <c r="P58" s="1"/>
      <c r="Q58" s="120"/>
    </row>
    <row r="59" spans="1:17" ht="27.75" thickTop="1">
      <c r="A59" s="172"/>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0"/>
    </row>
    <row r="60" spans="1:17" ht="15" thickBot="1">
      <c r="A60" s="172"/>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0"/>
    </row>
    <row r="61" spans="1:17" ht="15" thickTop="1">
      <c r="A61" s="172"/>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0"/>
    </row>
    <row r="62" spans="1:17" ht="14.25">
      <c r="A62" s="172"/>
      <c r="B62" s="1055"/>
      <c r="C62" s="890"/>
      <c r="D62" s="890"/>
      <c r="E62" s="890"/>
      <c r="F62" s="890"/>
      <c r="G62" s="890"/>
      <c r="H62" s="890"/>
      <c r="I62" s="890"/>
      <c r="J62" s="890"/>
      <c r="K62" s="891"/>
      <c r="L62" s="892"/>
      <c r="M62" s="893"/>
      <c r="N62" s="1387"/>
      <c r="O62" s="1387"/>
      <c r="P62" s="1"/>
      <c r="Q62" s="120"/>
    </row>
    <row r="63" spans="1:17" ht="15" thickBot="1">
      <c r="A63" s="172"/>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0"/>
    </row>
    <row r="64" spans="1:17" s="1037" customFormat="1" ht="14.25" thickTop="1">
      <c r="A64" s="1056"/>
      <c r="B64" s="1052">
        <f>B12</f>
        <v>111</v>
      </c>
      <c r="C64" s="138"/>
      <c r="D64" s="138"/>
      <c r="E64" s="138"/>
      <c r="F64" s="138"/>
      <c r="G64" s="138"/>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8"/>
      <c r="D66" s="138"/>
      <c r="E66" s="138"/>
      <c r="F66" s="138"/>
      <c r="G66" s="138"/>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39"/>
      <c r="D68" s="139"/>
      <c r="E68" s="139"/>
      <c r="F68" s="139"/>
      <c r="G68" s="139"/>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1" t="s">
        <v>69</v>
      </c>
      <c r="B70" s="285" t="s">
        <v>159</v>
      </c>
      <c r="C70" s="914" t="s">
        <v>1013</v>
      </c>
      <c r="D70" s="914" t="s">
        <v>1014</v>
      </c>
      <c r="E70" s="914" t="s">
        <v>1015</v>
      </c>
      <c r="F70" s="914" t="s">
        <v>1016</v>
      </c>
      <c r="G70" s="914" t="s">
        <v>1017</v>
      </c>
      <c r="H70" s="870"/>
      <c r="I70" s="870"/>
      <c r="J70" s="870"/>
      <c r="K70" s="915"/>
      <c r="L70" s="916"/>
      <c r="M70" s="917"/>
      <c r="N70" s="1387"/>
      <c r="O70" s="1387"/>
      <c r="P70" s="129"/>
      <c r="Q70" s="120"/>
    </row>
    <row r="71" spans="1:17" ht="15" thickBot="1">
      <c r="A71" s="172"/>
      <c r="B71" s="1053"/>
      <c r="C71" s="885">
        <v>100</v>
      </c>
      <c r="D71" s="885">
        <f>C71-$K15</f>
        <v>100</v>
      </c>
      <c r="E71" s="885">
        <f>D71-$K15</f>
        <v>100</v>
      </c>
      <c r="F71" s="885">
        <f>E71-$K15</f>
        <v>100</v>
      </c>
      <c r="G71" s="885">
        <f>F71-$K15</f>
        <v>100</v>
      </c>
      <c r="H71" s="885"/>
      <c r="I71" s="885"/>
      <c r="J71" s="885"/>
      <c r="K71" s="885"/>
      <c r="L71" s="885"/>
      <c r="M71" s="886"/>
      <c r="N71" s="1388"/>
      <c r="O71" s="1388"/>
      <c r="P71" s="1"/>
      <c r="Q71" s="120"/>
    </row>
    <row r="72" spans="1:17" ht="15" thickTop="1">
      <c r="A72" s="172"/>
      <c r="B72" s="1052" t="s">
        <v>92</v>
      </c>
      <c r="C72" s="919" t="s">
        <v>1013</v>
      </c>
      <c r="D72" s="919" t="s">
        <v>1014</v>
      </c>
      <c r="E72" s="919" t="s">
        <v>1015</v>
      </c>
      <c r="F72" s="919" t="s">
        <v>1016</v>
      </c>
      <c r="G72" s="919" t="s">
        <v>1017</v>
      </c>
      <c r="H72" s="880"/>
      <c r="I72" s="880"/>
      <c r="J72" s="880"/>
      <c r="K72" s="881"/>
      <c r="L72" s="882"/>
      <c r="M72" s="883"/>
      <c r="N72" s="1387"/>
      <c r="O72" s="1387"/>
      <c r="P72" s="1"/>
      <c r="Q72" s="120"/>
    </row>
    <row r="73" spans="1:17" ht="15" thickBot="1">
      <c r="A73" s="172"/>
      <c r="B73" s="1053"/>
      <c r="C73" s="885">
        <v>100</v>
      </c>
      <c r="D73" s="885">
        <f>C73-$K17</f>
        <v>100</v>
      </c>
      <c r="E73" s="885">
        <f>D73-$K17</f>
        <v>100</v>
      </c>
      <c r="F73" s="885">
        <f>E73-$K17</f>
        <v>100</v>
      </c>
      <c r="G73" s="885">
        <f>F73-$K17</f>
        <v>100</v>
      </c>
      <c r="H73" s="885"/>
      <c r="I73" s="885"/>
      <c r="J73" s="885"/>
      <c r="K73" s="885"/>
      <c r="L73" s="885"/>
      <c r="M73" s="886"/>
      <c r="N73" s="1388"/>
      <c r="O73" s="1388"/>
      <c r="P73" s="1"/>
      <c r="Q73" s="120"/>
    </row>
    <row r="74" spans="1:17" ht="15" thickTop="1">
      <c r="A74" s="172"/>
      <c r="B74" s="1052" t="s">
        <v>2638</v>
      </c>
      <c r="C74" s="919" t="s">
        <v>1013</v>
      </c>
      <c r="D74" s="919" t="s">
        <v>1014</v>
      </c>
      <c r="E74" s="919" t="s">
        <v>1015</v>
      </c>
      <c r="F74" s="919" t="s">
        <v>1016</v>
      </c>
      <c r="G74" s="919" t="s">
        <v>1017</v>
      </c>
      <c r="H74" s="880"/>
      <c r="I74" s="880"/>
      <c r="J74" s="880"/>
      <c r="K74" s="881"/>
      <c r="L74" s="882"/>
      <c r="M74" s="883"/>
      <c r="N74" s="1387"/>
      <c r="O74" s="1387"/>
      <c r="P74" s="1"/>
      <c r="Q74" s="120"/>
    </row>
    <row r="75" spans="1:17" ht="15" thickBot="1">
      <c r="A75" s="172"/>
      <c r="B75" s="1053"/>
      <c r="C75" s="885">
        <v>100</v>
      </c>
      <c r="D75" s="885">
        <f>C75-$K19</f>
        <v>100</v>
      </c>
      <c r="E75" s="885">
        <f>D75-$K19</f>
        <v>100</v>
      </c>
      <c r="F75" s="885">
        <f>E75-$K19</f>
        <v>100</v>
      </c>
      <c r="G75" s="885">
        <f>F75-$K19</f>
        <v>100</v>
      </c>
      <c r="H75" s="885"/>
      <c r="I75" s="885"/>
      <c r="J75" s="885"/>
      <c r="K75" s="885"/>
      <c r="L75" s="885"/>
      <c r="M75" s="886"/>
      <c r="N75" s="1388"/>
      <c r="O75" s="1388"/>
      <c r="P75" s="1"/>
      <c r="Q75" s="120"/>
    </row>
    <row r="76" spans="1:17" ht="15" thickTop="1">
      <c r="A76" s="172"/>
      <c r="B76" s="1054" t="s">
        <v>2666</v>
      </c>
      <c r="C76" s="212" t="s">
        <v>2658</v>
      </c>
      <c r="D76" s="212" t="s">
        <v>2659</v>
      </c>
      <c r="E76" s="212" t="s">
        <v>2660</v>
      </c>
      <c r="F76" s="212" t="s">
        <v>2661</v>
      </c>
      <c r="G76" s="212" t="s">
        <v>2662</v>
      </c>
      <c r="H76" s="880"/>
      <c r="I76" s="880"/>
      <c r="J76" s="880"/>
      <c r="K76" s="880"/>
      <c r="L76" s="880"/>
      <c r="M76" s="2763"/>
      <c r="N76" s="1388"/>
      <c r="O76" s="1388"/>
      <c r="P76" s="1"/>
      <c r="Q76" s="120"/>
    </row>
    <row r="77" spans="1:17" ht="15" thickBot="1">
      <c r="A77" s="172"/>
      <c r="B77" s="1054"/>
      <c r="C77" s="885">
        <v>100</v>
      </c>
      <c r="D77" s="885">
        <f>C77-$K21</f>
        <v>100</v>
      </c>
      <c r="E77" s="885">
        <f>D77-$K21</f>
        <v>100</v>
      </c>
      <c r="F77" s="885">
        <f>E77-$K21</f>
        <v>100</v>
      </c>
      <c r="G77" s="885">
        <f>F77-$K21</f>
        <v>100</v>
      </c>
      <c r="H77" s="1001"/>
      <c r="I77" s="1001"/>
      <c r="J77" s="1001"/>
      <c r="K77" s="1001"/>
      <c r="L77" s="1001"/>
      <c r="M77" s="791"/>
      <c r="N77" s="1388"/>
      <c r="O77" s="1388"/>
      <c r="P77" s="1"/>
      <c r="Q77" s="120"/>
    </row>
    <row r="78" spans="1:17" ht="15" thickTop="1">
      <c r="A78" s="172"/>
      <c r="B78" s="1052" t="s">
        <v>149</v>
      </c>
      <c r="C78" s="919" t="s">
        <v>1013</v>
      </c>
      <c r="D78" s="919" t="s">
        <v>1014</v>
      </c>
      <c r="E78" s="919" t="s">
        <v>1015</v>
      </c>
      <c r="F78" s="919" t="s">
        <v>1016</v>
      </c>
      <c r="G78" s="919" t="s">
        <v>1017</v>
      </c>
      <c r="H78" s="880"/>
      <c r="I78" s="880"/>
      <c r="J78" s="880"/>
      <c r="K78" s="881"/>
      <c r="L78" s="882"/>
      <c r="M78" s="883"/>
      <c r="N78" s="1387"/>
      <c r="O78" s="1387"/>
      <c r="P78" s="1"/>
      <c r="Q78" s="120"/>
    </row>
    <row r="79" spans="1:17" ht="15" thickBot="1">
      <c r="A79" s="172"/>
      <c r="B79" s="1053"/>
      <c r="C79" s="885">
        <v>100</v>
      </c>
      <c r="D79" s="885">
        <f>C79-$K23</f>
        <v>100</v>
      </c>
      <c r="E79" s="885">
        <f>D79-$K23</f>
        <v>100</v>
      </c>
      <c r="F79" s="885">
        <f>E79-$K23</f>
        <v>100</v>
      </c>
      <c r="G79" s="885">
        <f>F79-$K23</f>
        <v>100</v>
      </c>
      <c r="H79" s="885"/>
      <c r="I79" s="885"/>
      <c r="J79" s="885"/>
      <c r="K79" s="885"/>
      <c r="L79" s="885"/>
      <c r="M79" s="886"/>
      <c r="N79" s="1388"/>
      <c r="O79" s="1388"/>
      <c r="P79" s="1"/>
      <c r="Q79" s="120"/>
    </row>
    <row r="80" spans="1:17" s="40" customFormat="1" ht="14.25" thickTop="1">
      <c r="A80" s="1070"/>
      <c r="B80" s="1052">
        <f>B25</f>
        <v>111</v>
      </c>
      <c r="C80" s="138"/>
      <c r="D80" s="138"/>
      <c r="E80" s="138"/>
      <c r="F80" s="138"/>
      <c r="G80" s="138"/>
      <c r="H80" s="138"/>
      <c r="I80" s="138"/>
      <c r="J80" s="138"/>
      <c r="K80" s="138"/>
      <c r="L80" s="1382"/>
      <c r="M80" s="1383"/>
      <c r="N80" s="1386"/>
      <c r="O80" s="1386"/>
      <c r="P80" s="1"/>
      <c r="Q80" s="120"/>
    </row>
    <row r="81" spans="1:17" s="40" customFormat="1" ht="15" thickBot="1">
      <c r="A81" s="1070"/>
      <c r="B81" s="1053"/>
      <c r="C81" s="901"/>
      <c r="D81" s="877"/>
      <c r="E81" s="877"/>
      <c r="F81" s="877"/>
      <c r="G81" s="877"/>
      <c r="H81" s="877"/>
      <c r="I81" s="877"/>
      <c r="J81" s="877"/>
      <c r="K81" s="877"/>
      <c r="L81" s="877"/>
      <c r="M81" s="878"/>
      <c r="N81" s="1388"/>
      <c r="O81" s="1388"/>
      <c r="P81" s="1"/>
      <c r="Q81" s="120"/>
    </row>
    <row r="82" spans="1:17" s="40" customFormat="1" ht="14.25" thickTop="1">
      <c r="A82" s="1070"/>
      <c r="B82" s="1052">
        <f>B26</f>
        <v>111</v>
      </c>
      <c r="C82" s="138"/>
      <c r="D82" s="138"/>
      <c r="E82" s="138"/>
      <c r="F82" s="138"/>
      <c r="G82" s="138"/>
      <c r="H82" s="138"/>
      <c r="I82" s="138"/>
      <c r="J82" s="138"/>
      <c r="K82" s="138"/>
      <c r="L82" s="1382"/>
      <c r="M82" s="1383"/>
      <c r="N82" s="1386"/>
      <c r="O82" s="1386"/>
      <c r="P82" s="1"/>
      <c r="Q82" s="120"/>
    </row>
    <row r="83" spans="1:17" s="40" customFormat="1" ht="15" thickBot="1">
      <c r="A83" s="1070"/>
      <c r="B83" s="1053"/>
      <c r="C83" s="901"/>
      <c r="D83" s="877"/>
      <c r="E83" s="877"/>
      <c r="F83" s="877"/>
      <c r="G83" s="877"/>
      <c r="H83" s="877"/>
      <c r="I83" s="877"/>
      <c r="J83" s="877"/>
      <c r="K83" s="877"/>
      <c r="L83" s="877"/>
      <c r="M83" s="878"/>
      <c r="N83" s="1388"/>
      <c r="O83" s="1388"/>
      <c r="P83" s="1"/>
      <c r="Q83" s="120"/>
    </row>
    <row r="84" spans="1:17" s="1037" customFormat="1" ht="14.25" thickTop="1">
      <c r="A84" s="1056"/>
      <c r="B84" s="1052">
        <f>B27</f>
        <v>111</v>
      </c>
      <c r="C84" s="138"/>
      <c r="D84" s="138"/>
      <c r="E84" s="138"/>
      <c r="F84" s="138"/>
      <c r="G84" s="138"/>
      <c r="H84" s="138"/>
      <c r="I84" s="138"/>
      <c r="J84" s="138"/>
      <c r="K84" s="138"/>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2"/>
      <c r="B86" s="1054">
        <f>B28</f>
        <v>111</v>
      </c>
      <c r="C86" s="139"/>
      <c r="D86" s="139"/>
      <c r="E86" s="139"/>
      <c r="F86" s="139"/>
      <c r="G86" s="134"/>
      <c r="H86" s="134"/>
      <c r="I86" s="134"/>
      <c r="J86" s="134"/>
      <c r="K86" s="135"/>
      <c r="L86" s="136"/>
      <c r="M86" s="137"/>
      <c r="N86" s="1387"/>
      <c r="O86" s="1387"/>
      <c r="P86" s="1"/>
      <c r="Q86" s="120"/>
    </row>
    <row r="87" spans="1:17" ht="15" thickBot="1">
      <c r="A87" s="173"/>
      <c r="B87" s="1069"/>
      <c r="C87" s="911"/>
      <c r="D87" s="911"/>
      <c r="E87" s="911"/>
      <c r="F87" s="911"/>
      <c r="G87" s="932"/>
      <c r="H87" s="932"/>
      <c r="I87" s="932"/>
      <c r="J87" s="932"/>
      <c r="K87" s="932"/>
      <c r="L87" s="932"/>
      <c r="M87" s="933"/>
      <c r="N87" s="1388"/>
      <c r="O87" s="1388"/>
      <c r="P87" s="1"/>
      <c r="Q87" s="120"/>
    </row>
    <row r="88" spans="1:17">
      <c r="A88" s="171" t="s">
        <v>70</v>
      </c>
      <c r="B88" s="285" t="s">
        <v>123</v>
      </c>
      <c r="C88" s="121"/>
      <c r="D88" s="121"/>
      <c r="E88" s="121"/>
      <c r="F88" s="121"/>
      <c r="G88" s="121"/>
      <c r="H88" s="121"/>
      <c r="I88" s="121"/>
      <c r="J88" s="121"/>
      <c r="K88" s="122"/>
      <c r="L88" s="123"/>
      <c r="M88" s="124"/>
      <c r="N88" s="1387"/>
      <c r="O88" s="1387"/>
      <c r="P88" s="1"/>
      <c r="Q88" s="120"/>
    </row>
    <row r="89" spans="1:17" ht="15" thickBot="1">
      <c r="A89" s="172"/>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0"/>
    </row>
    <row r="90" spans="1:17" ht="15" thickTop="1">
      <c r="A90" s="172"/>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0"/>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4"/>
      <c r="B93" s="1052" t="s">
        <v>95</v>
      </c>
      <c r="C93" s="138"/>
      <c r="D93" s="138"/>
      <c r="E93" s="130"/>
      <c r="F93" s="130"/>
      <c r="G93" s="130"/>
      <c r="H93" s="130"/>
      <c r="I93" s="130"/>
      <c r="J93" s="130"/>
      <c r="K93" s="131"/>
      <c r="L93" s="132"/>
      <c r="M93" s="133"/>
      <c r="N93" s="1387"/>
      <c r="O93" s="1387"/>
      <c r="P93" s="1"/>
      <c r="Q93" s="120"/>
    </row>
    <row r="94" spans="1:17" ht="15" thickBot="1">
      <c r="A94" s="172"/>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0"/>
    </row>
    <row r="95" spans="1:17" ht="14.25" thickTop="1">
      <c r="A95" s="174"/>
      <c r="B95" s="1052" t="s">
        <v>124</v>
      </c>
      <c r="C95" s="138"/>
      <c r="D95" s="138"/>
      <c r="E95" s="138"/>
      <c r="F95" s="130"/>
      <c r="G95" s="130"/>
      <c r="H95" s="130"/>
      <c r="I95" s="130"/>
      <c r="J95" s="130"/>
      <c r="K95" s="131"/>
      <c r="L95" s="132"/>
      <c r="M95" s="133"/>
      <c r="N95" s="1387"/>
      <c r="O95" s="1387"/>
      <c r="P95" s="1"/>
      <c r="Q95" s="120"/>
    </row>
    <row r="96" spans="1:17" ht="15" thickBot="1">
      <c r="A96" s="172"/>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0"/>
    </row>
    <row r="97" spans="1:17" ht="15" thickTop="1">
      <c r="A97" s="174"/>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0"/>
      <c r="J97" s="130"/>
      <c r="K97" s="131"/>
      <c r="L97" s="132"/>
      <c r="M97" s="133"/>
      <c r="N97" s="1387"/>
      <c r="O97" s="1387"/>
      <c r="P97" s="1"/>
      <c r="Q97" s="120"/>
    </row>
    <row r="98" spans="1:17" ht="14.25">
      <c r="A98" s="174"/>
      <c r="B98" s="1054"/>
      <c r="C98" s="944">
        <v>0.5</v>
      </c>
      <c r="D98" s="944">
        <v>0.6</v>
      </c>
      <c r="E98" s="944">
        <v>0.7</v>
      </c>
      <c r="F98" s="944">
        <v>0.8</v>
      </c>
      <c r="G98" s="944">
        <v>0.9</v>
      </c>
      <c r="H98" s="944">
        <v>1.0001</v>
      </c>
      <c r="I98" s="182"/>
      <c r="J98" s="182"/>
      <c r="K98" s="183"/>
      <c r="L98" s="184"/>
      <c r="M98" s="185"/>
      <c r="N98" s="1387"/>
      <c r="O98" s="1387"/>
      <c r="P98" s="1"/>
      <c r="Q98" s="120"/>
    </row>
    <row r="99" spans="1:17" ht="15" thickBot="1">
      <c r="A99" s="172"/>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0"/>
    </row>
    <row r="100" spans="1:17" s="1037" customFormat="1" ht="14.25" thickTop="1">
      <c r="A100" s="1071"/>
      <c r="B100" s="1052" t="s">
        <v>125</v>
      </c>
      <c r="C100" s="138"/>
      <c r="D100" s="138"/>
      <c r="E100" s="138"/>
      <c r="F100" s="138"/>
      <c r="G100" s="138"/>
      <c r="H100" s="130"/>
      <c r="I100" s="130"/>
      <c r="J100" s="130"/>
      <c r="K100" s="131"/>
      <c r="L100" s="132"/>
      <c r="M100" s="133"/>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4"/>
      <c r="B102" s="1052" t="s">
        <v>2640</v>
      </c>
      <c r="C102" s="138"/>
      <c r="D102" s="138"/>
      <c r="E102" s="138"/>
      <c r="F102" s="138"/>
      <c r="G102" s="138"/>
      <c r="H102" s="130"/>
      <c r="I102" s="130"/>
      <c r="J102" s="130"/>
      <c r="K102" s="131"/>
      <c r="L102" s="132"/>
      <c r="M102" s="133"/>
      <c r="N102" s="1387"/>
      <c r="O102" s="1387"/>
      <c r="P102" s="1"/>
      <c r="Q102" s="120"/>
    </row>
    <row r="103" spans="1:17" ht="15" thickBot="1">
      <c r="A103" s="172"/>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0"/>
    </row>
    <row r="104" spans="1:17" ht="14.25" thickTop="1">
      <c r="A104" s="174"/>
      <c r="B104" s="1052" t="s">
        <v>126</v>
      </c>
      <c r="C104" s="138"/>
      <c r="D104" s="138"/>
      <c r="E104" s="138"/>
      <c r="F104" s="138"/>
      <c r="G104" s="138"/>
      <c r="H104" s="130"/>
      <c r="I104" s="130"/>
      <c r="J104" s="130"/>
      <c r="K104" s="131"/>
      <c r="L104" s="132"/>
      <c r="M104" s="133"/>
      <c r="N104" s="1387"/>
      <c r="O104" s="1387"/>
      <c r="P104" s="1"/>
      <c r="Q104" s="120"/>
    </row>
    <row r="105" spans="1:17" ht="15" thickBot="1">
      <c r="A105" s="172"/>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0"/>
    </row>
    <row r="106" spans="1:17" ht="27.75" thickTop="1">
      <c r="A106" s="174"/>
      <c r="B106" s="210" t="s">
        <v>152</v>
      </c>
      <c r="C106" s="919" t="s">
        <v>1013</v>
      </c>
      <c r="D106" s="919" t="s">
        <v>1014</v>
      </c>
      <c r="E106" s="919" t="s">
        <v>1015</v>
      </c>
      <c r="F106" s="919" t="s">
        <v>1016</v>
      </c>
      <c r="G106" s="919" t="s">
        <v>1017</v>
      </c>
      <c r="H106" s="880"/>
      <c r="I106" s="880"/>
      <c r="J106" s="880"/>
      <c r="K106" s="881"/>
      <c r="L106" s="882"/>
      <c r="M106" s="883"/>
      <c r="N106" s="1388"/>
      <c r="O106" s="1388"/>
      <c r="P106" s="199"/>
      <c r="Q106" s="200"/>
    </row>
    <row r="107" spans="1:17" ht="15" thickBot="1">
      <c r="A107" s="172"/>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0"/>
    </row>
    <row r="108" spans="1:17" s="1037" customFormat="1" ht="14.25" thickTop="1">
      <c r="A108" s="1071"/>
      <c r="B108" s="1052">
        <f>B38</f>
        <v>111</v>
      </c>
      <c r="C108" s="138"/>
      <c r="D108" s="138"/>
      <c r="E108" s="138"/>
      <c r="F108" s="138"/>
      <c r="G108" s="138"/>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4"/>
      <c r="B110" s="1052">
        <f>B39</f>
        <v>111</v>
      </c>
      <c r="C110" s="138"/>
      <c r="D110" s="138"/>
      <c r="E110" s="138"/>
      <c r="F110" s="138"/>
      <c r="G110" s="138"/>
      <c r="H110" s="1057"/>
      <c r="I110" s="1057"/>
      <c r="J110" s="1057"/>
      <c r="K110" s="1057"/>
      <c r="L110" s="1058"/>
      <c r="M110" s="1059"/>
      <c r="N110" s="1387"/>
      <c r="O110" s="1387"/>
      <c r="P110" s="1"/>
      <c r="Q110" s="120"/>
    </row>
    <row r="111" spans="1:17" ht="15" thickBot="1">
      <c r="A111" s="172"/>
      <c r="B111" s="1053"/>
      <c r="C111" s="901"/>
      <c r="D111" s="877"/>
      <c r="E111" s="877"/>
      <c r="F111" s="877"/>
      <c r="G111" s="901"/>
      <c r="H111" s="903"/>
      <c r="I111" s="903"/>
      <c r="J111" s="903"/>
      <c r="K111" s="903"/>
      <c r="L111" s="903"/>
      <c r="M111" s="904"/>
      <c r="N111" s="1388"/>
      <c r="O111" s="1388"/>
      <c r="P111" s="1"/>
      <c r="Q111" s="120"/>
    </row>
    <row r="112" spans="1:17" ht="14.25" thickTop="1">
      <c r="A112" s="174"/>
      <c r="B112" s="1054">
        <f>B40</f>
        <v>111</v>
      </c>
      <c r="C112" s="139"/>
      <c r="D112" s="139"/>
      <c r="E112" s="139"/>
      <c r="F112" s="139"/>
      <c r="G112" s="134"/>
      <c r="H112" s="134"/>
      <c r="I112" s="134"/>
      <c r="J112" s="134"/>
      <c r="K112" s="139"/>
      <c r="L112" s="140"/>
      <c r="M112" s="137"/>
      <c r="N112" s="1387"/>
      <c r="O112" s="1387"/>
      <c r="P112" s="1"/>
      <c r="Q112" s="120"/>
    </row>
    <row r="113" spans="1:17" ht="15" thickBot="1">
      <c r="A113" s="173"/>
      <c r="B113" s="1069"/>
      <c r="C113" s="911"/>
      <c r="D113" s="911"/>
      <c r="E113" s="911"/>
      <c r="F113" s="911"/>
      <c r="G113" s="932"/>
      <c r="H113" s="932"/>
      <c r="I113" s="932"/>
      <c r="J113" s="932"/>
      <c r="K113" s="932"/>
      <c r="L113" s="932"/>
      <c r="M113" s="933"/>
      <c r="N113" s="1388"/>
      <c r="O113" s="1388"/>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9" customFormat="1" ht="28.5" customHeight="1" thickTop="1">
      <c r="A2" s="3116" t="s">
        <v>444</v>
      </c>
      <c r="B2" s="2842" t="e">
        <f ca="1">IF(C2="——",IF(B37="元/平方米",ROUND(C39*D3/10000,0),ROUND(F3*C39/10000,0)),IF(B37="元/平方米",ROUND(C39*D3/10000,0),ROUND(F3*C39/10000,0))-D2)</f>
        <v>#DIV/0!</v>
      </c>
      <c r="C2" s="3094"/>
      <c r="D2" s="2341" t="e">
        <f ca="1">SUMIF(INDIRECT("'"&amp;F2&amp;"'"&amp;"!A:A"),"承租人权益价值",INDIRECT("'"&amp;F2&amp;"'"&amp;"!c:c"))</f>
        <v>#REF!</v>
      </c>
      <c r="E2" s="3095" t="s">
        <v>868</v>
      </c>
      <c r="F2" s="3096"/>
      <c r="G2" s="2342"/>
      <c r="H2" s="2342"/>
      <c r="I2" s="2342"/>
      <c r="J2" s="2342"/>
      <c r="K2" s="2344"/>
      <c r="L2" s="2345"/>
      <c r="M2" s="2346"/>
      <c r="N2" s="2346"/>
      <c r="O2" s="2346"/>
      <c r="P2" s="2843"/>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2133</v>
      </c>
      <c r="F3" s="740">
        <f>SUMIF('数据-取费表'!A5:A15,D1,'数据-取费表'!AH5:AH15)</f>
        <v>0</v>
      </c>
      <c r="G3" s="2342"/>
      <c r="H3" s="2342"/>
      <c r="I3" s="2342"/>
      <c r="J3" s="2342"/>
      <c r="K3" s="2344"/>
      <c r="L3" s="2345"/>
      <c r="M3" s="2346"/>
      <c r="N3" s="2346"/>
      <c r="O3" s="2346"/>
      <c r="P3" s="2843"/>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582" t="s">
        <v>449</v>
      </c>
      <c r="S4" s="3583"/>
      <c r="T4" s="3582" t="s">
        <v>450</v>
      </c>
      <c r="U4" s="3583"/>
      <c r="V4" s="3607" t="s">
        <v>451</v>
      </c>
      <c r="W4" s="3607"/>
      <c r="X4" s="2828"/>
      <c r="Y4" s="3582" t="s">
        <v>453</v>
      </c>
      <c r="Z4" s="3583"/>
      <c r="AA4" s="3577" t="s">
        <v>449</v>
      </c>
      <c r="AB4" s="3578" t="s">
        <v>450</v>
      </c>
      <c r="AC4" s="3577" t="s">
        <v>451</v>
      </c>
    </row>
    <row r="5" spans="1:29" ht="15">
      <c r="A5" s="745"/>
      <c r="B5" s="746"/>
      <c r="C5" s="3713" t="s">
        <v>3019</v>
      </c>
      <c r="D5" s="3714"/>
      <c r="E5" s="3711" t="s">
        <v>3020</v>
      </c>
      <c r="F5" s="3712"/>
      <c r="G5" s="3713" t="s">
        <v>3021</v>
      </c>
      <c r="H5" s="3714"/>
      <c r="I5" s="3713" t="s">
        <v>3022</v>
      </c>
      <c r="J5" s="3714"/>
      <c r="K5" s="951"/>
      <c r="L5" s="2347"/>
      <c r="M5" s="2348"/>
      <c r="N5" s="2348"/>
      <c r="O5" s="2348"/>
      <c r="P5" s="3601"/>
      <c r="Q5" s="3602"/>
      <c r="R5" s="3584"/>
      <c r="S5" s="3585"/>
      <c r="T5" s="3584"/>
      <c r="U5" s="3585"/>
      <c r="V5" s="3607"/>
      <c r="W5" s="3607"/>
      <c r="X5" s="2828"/>
      <c r="Y5" s="3584"/>
      <c r="Z5" s="3585"/>
      <c r="AA5" s="3578"/>
      <c r="AB5" s="3578"/>
      <c r="AC5" s="3578"/>
    </row>
    <row r="6" spans="1:29" ht="15.75" thickBot="1">
      <c r="A6" s="747"/>
      <c r="B6" s="748"/>
      <c r="C6" s="3715" t="s">
        <v>3023</v>
      </c>
      <c r="D6" s="3716"/>
      <c r="E6" s="3717" t="s">
        <v>3023</v>
      </c>
      <c r="F6" s="3718"/>
      <c r="G6" s="3715" t="s">
        <v>3023</v>
      </c>
      <c r="H6" s="3716"/>
      <c r="I6" s="3715" t="s">
        <v>3023</v>
      </c>
      <c r="J6" s="3716"/>
      <c r="K6" s="951" t="s">
        <v>395</v>
      </c>
      <c r="L6" s="2347"/>
      <c r="M6" s="2348"/>
      <c r="N6" s="2348"/>
      <c r="O6" s="2348"/>
      <c r="P6" s="3603"/>
      <c r="Q6" s="3604"/>
      <c r="R6" s="3584"/>
      <c r="S6" s="3585"/>
      <c r="T6" s="3605"/>
      <c r="U6" s="3606"/>
      <c r="V6" s="3607"/>
      <c r="W6" s="3607"/>
      <c r="X6" s="2828"/>
      <c r="Y6" s="3605"/>
      <c r="Z6" s="3606"/>
      <c r="AA6" s="3579"/>
      <c r="AB6" s="3579"/>
      <c r="AC6" s="3579"/>
    </row>
    <row r="7" spans="1:29" s="405" customFormat="1" ht="15.75" thickBot="1">
      <c r="A7" s="749" t="s">
        <v>396</v>
      </c>
      <c r="B7" s="750"/>
      <c r="C7" s="751">
        <f>'数据-取费表'!B2</f>
        <v>42977</v>
      </c>
      <c r="D7" s="752">
        <v>100</v>
      </c>
      <c r="E7" s="753"/>
      <c r="F7" s="754">
        <f>SUMIF(48:48,YEAR(E7)&amp;"-"&amp;MONTH(E7),49:49)</f>
        <v>0</v>
      </c>
      <c r="G7" s="753"/>
      <c r="H7" s="752">
        <f>SUMIF(48:48,YEAR(G7)&amp;"-"&amp;MONTH(G7),49:49)</f>
        <v>0</v>
      </c>
      <c r="I7" s="753"/>
      <c r="J7" s="752">
        <f>SUMIF(48:48,YEAR(I7)&amp;"-"&amp;MONTH(I7),49:49)</f>
        <v>0</v>
      </c>
      <c r="K7" s="952"/>
      <c r="L7" s="2349"/>
      <c r="M7" s="2350"/>
      <c r="N7" s="2350"/>
      <c r="O7" s="2350"/>
      <c r="P7" s="3580" t="s">
        <v>397</v>
      </c>
      <c r="Q7" s="3608"/>
      <c r="R7" s="1317" t="s">
        <v>65</v>
      </c>
      <c r="S7" s="1318">
        <f t="shared" ref="S7:S14" si="0">F7</f>
        <v>0</v>
      </c>
      <c r="T7" s="1317" t="s">
        <v>65</v>
      </c>
      <c r="U7" s="1318">
        <f t="shared" ref="U7:U14" si="1">H7</f>
        <v>0</v>
      </c>
      <c r="V7" s="1317" t="s">
        <v>65</v>
      </c>
      <c r="W7" s="1318">
        <f t="shared" ref="W7:W14" si="2">J7</f>
        <v>0</v>
      </c>
      <c r="X7" s="1319"/>
      <c r="Y7" s="3580" t="s">
        <v>397</v>
      </c>
      <c r="Z7" s="3581"/>
      <c r="AA7" s="1320" t="e">
        <f>D7/F7</f>
        <v>#DIV/0!</v>
      </c>
      <c r="AB7" s="1320" t="e">
        <f>D7/H7</f>
        <v>#DIV/0!</v>
      </c>
      <c r="AC7" s="1320" t="e">
        <f>D7/J7</f>
        <v>#DIV/0!</v>
      </c>
    </row>
    <row r="8" spans="1:29" s="405"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36" si="3">D8/F8</f>
        <v>#DIV/0!</v>
      </c>
      <c r="AB8" s="1320" t="e">
        <f t="shared" ref="AB8:AB36" si="4">D8/H8</f>
        <v>#DIV/0!</v>
      </c>
      <c r="AC8" s="1320" t="e">
        <f t="shared" ref="AC8:AC36" si="5">D8/J8</f>
        <v>#DIV/0!</v>
      </c>
    </row>
    <row r="9" spans="1:29" s="405" customFormat="1">
      <c r="A9" s="357"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594" t="s">
        <v>400</v>
      </c>
      <c r="Q9" s="2827" t="str">
        <f t="shared" ref="Q9:Q14" si="6">B9</f>
        <v>用途</v>
      </c>
      <c r="R9" s="1317" t="s">
        <v>65</v>
      </c>
      <c r="S9" s="1318">
        <f t="shared" si="0"/>
        <v>100</v>
      </c>
      <c r="T9" s="1317" t="s">
        <v>65</v>
      </c>
      <c r="U9" s="1318">
        <f t="shared" si="1"/>
        <v>100</v>
      </c>
      <c r="V9" s="1317" t="s">
        <v>65</v>
      </c>
      <c r="W9" s="1318">
        <f t="shared" si="2"/>
        <v>100</v>
      </c>
      <c r="X9" s="1319"/>
      <c r="Y9" s="3551" t="s">
        <v>401</v>
      </c>
      <c r="Z9" s="343"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594"/>
      <c r="Q10" s="2827" t="str">
        <f t="shared" si="6"/>
        <v>土地使用年限（年）</v>
      </c>
      <c r="R10" s="1317" t="s">
        <v>65</v>
      </c>
      <c r="S10" s="1318">
        <f t="shared" si="0"/>
        <v>100</v>
      </c>
      <c r="T10" s="1317" t="s">
        <v>65</v>
      </c>
      <c r="U10" s="1318">
        <f t="shared" si="1"/>
        <v>100</v>
      </c>
      <c r="V10" s="1317" t="s">
        <v>65</v>
      </c>
      <c r="W10" s="1318">
        <f t="shared" si="2"/>
        <v>100</v>
      </c>
      <c r="X10" s="1319"/>
      <c r="Y10" s="3551"/>
      <c r="Z10" s="343"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594"/>
      <c r="Q11" s="2827">
        <f t="shared" si="6"/>
        <v>111</v>
      </c>
      <c r="R11" s="1317" t="s">
        <v>65</v>
      </c>
      <c r="S11" s="1318">
        <f t="shared" si="0"/>
        <v>100</v>
      </c>
      <c r="T11" s="1317" t="s">
        <v>65</v>
      </c>
      <c r="U11" s="1318">
        <f t="shared" si="1"/>
        <v>100</v>
      </c>
      <c r="V11" s="1317" t="s">
        <v>65</v>
      </c>
      <c r="W11" s="1318">
        <f t="shared" si="2"/>
        <v>100</v>
      </c>
      <c r="X11" s="1319"/>
      <c r="Y11" s="3551"/>
      <c r="Z11" s="343">
        <f t="shared" si="7"/>
        <v>111</v>
      </c>
      <c r="AA11" s="1320">
        <f t="shared" si="3"/>
        <v>1</v>
      </c>
      <c r="AB11" s="1320">
        <f t="shared" si="4"/>
        <v>1</v>
      </c>
      <c r="AC11" s="1320">
        <f t="shared" si="5"/>
        <v>1</v>
      </c>
    </row>
    <row r="12" spans="1:29" s="405"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594"/>
      <c r="Q12" s="2827">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594"/>
      <c r="Q13" s="2827">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94.5">
      <c r="A14" s="742" t="s">
        <v>404</v>
      </c>
      <c r="B14" s="970" t="s">
        <v>454</v>
      </c>
      <c r="C14" s="211"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09" t="s">
        <v>405</v>
      </c>
      <c r="Q14" s="2829" t="str">
        <f t="shared" si="6"/>
        <v>交通便捷度</v>
      </c>
      <c r="R14" s="1322" t="s">
        <v>65</v>
      </c>
      <c r="S14" s="1323">
        <f t="shared" si="0"/>
        <v>100</v>
      </c>
      <c r="T14" s="1322" t="s">
        <v>65</v>
      </c>
      <c r="U14" s="1323">
        <f t="shared" si="1"/>
        <v>100</v>
      </c>
      <c r="V14" s="1322" t="s">
        <v>65</v>
      </c>
      <c r="W14" s="1323">
        <f t="shared" si="2"/>
        <v>100</v>
      </c>
      <c r="X14" s="2828"/>
      <c r="Y14" s="3609"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7"/>
      <c r="M15" s="2348"/>
      <c r="N15" s="2348"/>
      <c r="O15" s="2348"/>
      <c r="P15" s="3610"/>
      <c r="Q15" s="2829"/>
      <c r="R15" s="1322"/>
      <c r="S15" s="1323"/>
      <c r="T15" s="1322"/>
      <c r="U15" s="1323"/>
      <c r="V15" s="1322"/>
      <c r="W15" s="1323"/>
      <c r="X15" s="2828"/>
      <c r="Y15" s="3610"/>
      <c r="Z15" s="2830"/>
      <c r="AA15" s="1325">
        <v>1</v>
      </c>
      <c r="AB15" s="1325">
        <v>1</v>
      </c>
      <c r="AC15" s="1325">
        <v>1</v>
      </c>
    </row>
    <row r="16" spans="1:29" ht="40.5">
      <c r="A16" s="745"/>
      <c r="B16" s="1032" t="s">
        <v>2667</v>
      </c>
      <c r="C16" s="157"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10"/>
      <c r="Q16" s="2829" t="str">
        <f>B16</f>
        <v>公共配套设施</v>
      </c>
      <c r="R16" s="1322" t="s">
        <v>65</v>
      </c>
      <c r="S16" s="1323">
        <f>F16</f>
        <v>100</v>
      </c>
      <c r="T16" s="1322" t="s">
        <v>65</v>
      </c>
      <c r="U16" s="1323">
        <f>H16</f>
        <v>100</v>
      </c>
      <c r="V16" s="1322" t="s">
        <v>65</v>
      </c>
      <c r="W16" s="1323">
        <f>J16</f>
        <v>100</v>
      </c>
      <c r="X16" s="2828"/>
      <c r="Y16" s="3610"/>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7"/>
      <c r="M17" s="2348"/>
      <c r="N17" s="2348"/>
      <c r="O17" s="2348"/>
      <c r="P17" s="3610"/>
      <c r="Q17" s="2829"/>
      <c r="R17" s="1322"/>
      <c r="S17" s="1323"/>
      <c r="T17" s="1322"/>
      <c r="U17" s="1323"/>
      <c r="V17" s="1322"/>
      <c r="W17" s="1323"/>
      <c r="X17" s="2828"/>
      <c r="Y17" s="3610"/>
      <c r="Z17" s="2830"/>
      <c r="AA17" s="1325">
        <v>1</v>
      </c>
      <c r="AB17" s="1325">
        <v>1</v>
      </c>
      <c r="AC17" s="1325">
        <v>1</v>
      </c>
    </row>
    <row r="18" spans="1:29" ht="40.5">
      <c r="A18" s="745"/>
      <c r="B18" s="1034" t="s">
        <v>2666</v>
      </c>
      <c r="C18" s="157"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10"/>
      <c r="Q18" s="2829" t="str">
        <f>B18</f>
        <v>基础设施水平</v>
      </c>
      <c r="R18" s="1322" t="s">
        <v>65</v>
      </c>
      <c r="S18" s="1323">
        <f>F18</f>
        <v>100</v>
      </c>
      <c r="T18" s="1322" t="s">
        <v>65</v>
      </c>
      <c r="U18" s="1323">
        <f>H18</f>
        <v>100</v>
      </c>
      <c r="V18" s="1322" t="s">
        <v>65</v>
      </c>
      <c r="W18" s="1323">
        <f>J18</f>
        <v>100</v>
      </c>
      <c r="X18" s="2828"/>
      <c r="Y18" s="3610"/>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7"/>
      <c r="M19" s="2348"/>
      <c r="N19" s="2348"/>
      <c r="O19" s="2348"/>
      <c r="P19" s="3610"/>
      <c r="Q19" s="2829"/>
      <c r="R19" s="1322"/>
      <c r="S19" s="1323"/>
      <c r="T19" s="1322"/>
      <c r="U19" s="1323"/>
      <c r="V19" s="1322"/>
      <c r="W19" s="1323"/>
      <c r="X19" s="2828"/>
      <c r="Y19" s="3610"/>
      <c r="Z19" s="2830"/>
      <c r="AA19" s="1325">
        <v>1</v>
      </c>
      <c r="AB19" s="1325">
        <v>1</v>
      </c>
      <c r="AC19" s="1325">
        <v>1</v>
      </c>
    </row>
    <row r="20" spans="1:29" ht="54">
      <c r="A20" s="745"/>
      <c r="B20" s="972" t="s">
        <v>455</v>
      </c>
      <c r="C20" s="157"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10"/>
      <c r="Q20" s="2829" t="str">
        <f>B20</f>
        <v>自然及人文环境</v>
      </c>
      <c r="R20" s="1322" t="s">
        <v>65</v>
      </c>
      <c r="S20" s="1323">
        <f>F20</f>
        <v>100</v>
      </c>
      <c r="T20" s="1322" t="s">
        <v>65</v>
      </c>
      <c r="U20" s="1323">
        <f>H20</f>
        <v>100</v>
      </c>
      <c r="V20" s="1322" t="s">
        <v>65</v>
      </c>
      <c r="W20" s="1323">
        <f>J20</f>
        <v>100</v>
      </c>
      <c r="X20" s="2828"/>
      <c r="Y20" s="3610"/>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7"/>
      <c r="M21" s="2348"/>
      <c r="N21" s="2348"/>
      <c r="O21" s="2348"/>
      <c r="P21" s="3610"/>
      <c r="Q21" s="2829"/>
      <c r="R21" s="1322"/>
      <c r="S21" s="1323"/>
      <c r="T21" s="1322"/>
      <c r="U21" s="1323"/>
      <c r="V21" s="1322"/>
      <c r="W21" s="1323"/>
      <c r="X21" s="2828"/>
      <c r="Y21" s="3610"/>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10"/>
      <c r="Q22" s="2829" t="str">
        <f>B22</f>
        <v>楼层</v>
      </c>
      <c r="R22" s="1322" t="s">
        <v>65</v>
      </c>
      <c r="S22" s="1323">
        <f>F22</f>
        <v>100</v>
      </c>
      <c r="T22" s="1322" t="s">
        <v>65</v>
      </c>
      <c r="U22" s="1323">
        <f>H22</f>
        <v>100</v>
      </c>
      <c r="V22" s="1322" t="s">
        <v>65</v>
      </c>
      <c r="W22" s="1323">
        <f>J22</f>
        <v>100</v>
      </c>
      <c r="X22" s="2828"/>
      <c r="Y22" s="3610"/>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10"/>
      <c r="Q23" s="2829">
        <f>B23</f>
        <v>111</v>
      </c>
      <c r="R23" s="1322" t="s">
        <v>65</v>
      </c>
      <c r="S23" s="1323">
        <f>F23</f>
        <v>100</v>
      </c>
      <c r="T23" s="1322" t="s">
        <v>65</v>
      </c>
      <c r="U23" s="1323">
        <f>H23</f>
        <v>100</v>
      </c>
      <c r="V23" s="1322" t="s">
        <v>65</v>
      </c>
      <c r="W23" s="1323">
        <f>J23</f>
        <v>100</v>
      </c>
      <c r="X23" s="2828"/>
      <c r="Y23" s="3610"/>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10"/>
      <c r="Q24" s="2829">
        <f t="shared" ref="Q24:Q36" si="11">B24</f>
        <v>111</v>
      </c>
      <c r="R24" s="1322" t="s">
        <v>65</v>
      </c>
      <c r="S24" s="1323">
        <f>F24</f>
        <v>100</v>
      </c>
      <c r="T24" s="1322" t="s">
        <v>65</v>
      </c>
      <c r="U24" s="1323">
        <f>H24</f>
        <v>100</v>
      </c>
      <c r="V24" s="1322" t="s">
        <v>65</v>
      </c>
      <c r="W24" s="1323">
        <f>J24</f>
        <v>100</v>
      </c>
      <c r="X24" s="2828"/>
      <c r="Y24" s="3610"/>
      <c r="Z24" s="2830">
        <f>Q24</f>
        <v>111</v>
      </c>
      <c r="AA24" s="1325">
        <f t="shared" si="3"/>
        <v>1</v>
      </c>
      <c r="AB24" s="1325">
        <f t="shared" si="4"/>
        <v>1</v>
      </c>
      <c r="AC24" s="1325">
        <f t="shared" si="5"/>
        <v>1</v>
      </c>
    </row>
    <row r="25" spans="1:29" s="405"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10"/>
      <c r="Q25" s="2827">
        <f t="shared" si="11"/>
        <v>111</v>
      </c>
      <c r="R25" s="1317" t="s">
        <v>65</v>
      </c>
      <c r="S25" s="1318">
        <f>F25</f>
        <v>100</v>
      </c>
      <c r="T25" s="1317" t="s">
        <v>65</v>
      </c>
      <c r="U25" s="1318">
        <f>H25</f>
        <v>100</v>
      </c>
      <c r="V25" s="1317" t="s">
        <v>65</v>
      </c>
      <c r="W25" s="1318">
        <f>J25</f>
        <v>100</v>
      </c>
      <c r="X25" s="1319"/>
      <c r="Y25" s="3610"/>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611"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12"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12"/>
      <c r="Q27" s="1326" t="str">
        <f t="shared" si="11"/>
        <v>项目停车位配比</v>
      </c>
      <c r="R27" s="1327" t="s">
        <v>65</v>
      </c>
      <c r="S27" s="1328">
        <f t="shared" si="12"/>
        <v>100</v>
      </c>
      <c r="T27" s="1327" t="s">
        <v>65</v>
      </c>
      <c r="U27" s="1328">
        <f t="shared" si="13"/>
        <v>100</v>
      </c>
      <c r="V27" s="1327" t="s">
        <v>65</v>
      </c>
      <c r="W27" s="1328">
        <f t="shared" si="14"/>
        <v>100</v>
      </c>
      <c r="X27" s="1329"/>
      <c r="Y27" s="361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612"/>
      <c r="Q28" s="2829" t="str">
        <f t="shared" si="11"/>
        <v>公共部分装修</v>
      </c>
      <c r="R28" s="1322" t="s">
        <v>65</v>
      </c>
      <c r="S28" s="1323">
        <f t="shared" si="12"/>
        <v>100</v>
      </c>
      <c r="T28" s="1322" t="s">
        <v>65</v>
      </c>
      <c r="U28" s="1323">
        <f t="shared" si="13"/>
        <v>100</v>
      </c>
      <c r="V28" s="1322" t="s">
        <v>65</v>
      </c>
      <c r="W28" s="1323">
        <f t="shared" si="14"/>
        <v>100</v>
      </c>
      <c r="X28" s="2828"/>
      <c r="Y28" s="3612"/>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612"/>
      <c r="Q29" s="2829" t="str">
        <f t="shared" si="11"/>
        <v>成新率</v>
      </c>
      <c r="R29" s="1322" t="s">
        <v>65</v>
      </c>
      <c r="S29" s="1323" t="e">
        <f t="shared" si="12"/>
        <v>#N/A</v>
      </c>
      <c r="T29" s="1322" t="s">
        <v>65</v>
      </c>
      <c r="U29" s="1323" t="e">
        <f t="shared" si="13"/>
        <v>#N/A</v>
      </c>
      <c r="V29" s="1322" t="s">
        <v>65</v>
      </c>
      <c r="W29" s="1323" t="e">
        <f t="shared" si="14"/>
        <v>#N/A</v>
      </c>
      <c r="X29" s="2828"/>
      <c r="Y29" s="3612"/>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612"/>
      <c r="Q30" s="2829" t="str">
        <f t="shared" si="11"/>
        <v>物业等级</v>
      </c>
      <c r="R30" s="1322" t="s">
        <v>65</v>
      </c>
      <c r="S30" s="1323">
        <f t="shared" si="12"/>
        <v>100</v>
      </c>
      <c r="T30" s="1322" t="s">
        <v>65</v>
      </c>
      <c r="U30" s="1323">
        <f t="shared" si="13"/>
        <v>100</v>
      </c>
      <c r="V30" s="1322" t="s">
        <v>65</v>
      </c>
      <c r="W30" s="1323">
        <f t="shared" si="14"/>
        <v>100</v>
      </c>
      <c r="X30" s="2828"/>
      <c r="Y30" s="3612"/>
      <c r="Z30" s="2830" t="str">
        <f t="shared" si="15"/>
        <v>物业等级</v>
      </c>
      <c r="AA30" s="1325">
        <f t="shared" si="3"/>
        <v>1</v>
      </c>
      <c r="AB30" s="1325">
        <f t="shared" si="4"/>
        <v>1</v>
      </c>
      <c r="AC30" s="1325">
        <f t="shared" si="5"/>
        <v>1</v>
      </c>
    </row>
    <row r="31" spans="1:29" s="405"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612"/>
      <c r="Q31" s="2827" t="str">
        <f t="shared" si="11"/>
        <v>停车位面积</v>
      </c>
      <c r="R31" s="1317" t="s">
        <v>65</v>
      </c>
      <c r="S31" s="1318" t="e">
        <f t="shared" si="12"/>
        <v>#N/A</v>
      </c>
      <c r="T31" s="1317" t="s">
        <v>65</v>
      </c>
      <c r="U31" s="1318" t="e">
        <f t="shared" si="13"/>
        <v>#N/A</v>
      </c>
      <c r="V31" s="1317" t="s">
        <v>65</v>
      </c>
      <c r="W31" s="1318" t="e">
        <f t="shared" si="14"/>
        <v>#N/A</v>
      </c>
      <c r="X31" s="1319"/>
      <c r="Y31" s="3612"/>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12" t="s">
        <v>407</v>
      </c>
      <c r="Q32" s="2829" t="str">
        <f t="shared" si="11"/>
        <v>车位类型</v>
      </c>
      <c r="R32" s="1322" t="s">
        <v>65</v>
      </c>
      <c r="S32" s="1323">
        <f t="shared" si="12"/>
        <v>100</v>
      </c>
      <c r="T32" s="1322" t="s">
        <v>65</v>
      </c>
      <c r="U32" s="1323">
        <f t="shared" si="13"/>
        <v>100</v>
      </c>
      <c r="V32" s="1322" t="s">
        <v>65</v>
      </c>
      <c r="W32" s="1323">
        <f t="shared" si="14"/>
        <v>100</v>
      </c>
      <c r="X32" s="2828"/>
      <c r="Y32" s="3612"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12"/>
      <c r="Q33" s="2829" t="str">
        <f t="shared" si="11"/>
        <v>是否直接入户</v>
      </c>
      <c r="R33" s="1322" t="s">
        <v>65</v>
      </c>
      <c r="S33" s="1323">
        <f t="shared" si="12"/>
        <v>100</v>
      </c>
      <c r="T33" s="1322" t="s">
        <v>65</v>
      </c>
      <c r="U33" s="1323">
        <f t="shared" si="13"/>
        <v>100</v>
      </c>
      <c r="V33" s="1322" t="s">
        <v>65</v>
      </c>
      <c r="W33" s="1323">
        <f t="shared" si="14"/>
        <v>100</v>
      </c>
      <c r="X33" s="2828"/>
      <c r="Y33" s="3612"/>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12"/>
      <c r="Q34" s="2829">
        <f t="shared" si="11"/>
        <v>111</v>
      </c>
      <c r="R34" s="1322" t="s">
        <v>65</v>
      </c>
      <c r="S34" s="1323">
        <f t="shared" si="12"/>
        <v>100</v>
      </c>
      <c r="T34" s="1322" t="s">
        <v>65</v>
      </c>
      <c r="U34" s="1323">
        <f t="shared" si="13"/>
        <v>100</v>
      </c>
      <c r="V34" s="1322" t="s">
        <v>65</v>
      </c>
      <c r="W34" s="1323">
        <f t="shared" si="14"/>
        <v>100</v>
      </c>
      <c r="X34" s="2828"/>
      <c r="Y34" s="3612"/>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12"/>
      <c r="Q35" s="1326">
        <f t="shared" si="11"/>
        <v>111</v>
      </c>
      <c r="R35" s="1327" t="s">
        <v>65</v>
      </c>
      <c r="S35" s="1328">
        <f t="shared" si="12"/>
        <v>100</v>
      </c>
      <c r="T35" s="1327" t="s">
        <v>65</v>
      </c>
      <c r="U35" s="1328">
        <f t="shared" si="13"/>
        <v>100</v>
      </c>
      <c r="V35" s="1327" t="s">
        <v>65</v>
      </c>
      <c r="W35" s="1328">
        <f t="shared" si="14"/>
        <v>100</v>
      </c>
      <c r="X35" s="1329"/>
      <c r="Y35" s="361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12"/>
      <c r="Q36" s="2829">
        <f t="shared" si="11"/>
        <v>111</v>
      </c>
      <c r="R36" s="1322" t="s">
        <v>65</v>
      </c>
      <c r="S36" s="1323">
        <f t="shared" si="12"/>
        <v>100</v>
      </c>
      <c r="T36" s="1322" t="s">
        <v>65</v>
      </c>
      <c r="U36" s="1323">
        <f t="shared" si="13"/>
        <v>100</v>
      </c>
      <c r="V36" s="1322" t="s">
        <v>65</v>
      </c>
      <c r="W36" s="1323">
        <f t="shared" si="14"/>
        <v>100</v>
      </c>
      <c r="X36" s="2828"/>
      <c r="Y36" s="3612"/>
      <c r="Z36" s="2830">
        <f t="shared" si="15"/>
        <v>111</v>
      </c>
      <c r="AA36" s="1325">
        <f t="shared" si="3"/>
        <v>1</v>
      </c>
      <c r="AB36" s="1325">
        <f t="shared" si="4"/>
        <v>1</v>
      </c>
      <c r="AC36" s="1325">
        <f t="shared" si="5"/>
        <v>1</v>
      </c>
    </row>
    <row r="37" spans="1:29" ht="15">
      <c r="A37" s="162" t="s">
        <v>2134</v>
      </c>
      <c r="B37" s="2098" t="s">
        <v>2135</v>
      </c>
      <c r="C37" s="2831" t="s">
        <v>23</v>
      </c>
      <c r="D37" s="2832"/>
      <c r="E37" s="2833"/>
      <c r="F37" s="2834"/>
      <c r="G37" s="2835"/>
      <c r="H37" s="2836"/>
      <c r="I37" s="2833"/>
      <c r="J37" s="2836"/>
      <c r="K37" s="960"/>
      <c r="L37" s="2360"/>
      <c r="M37" s="2361"/>
      <c r="N37" s="2348"/>
      <c r="O37" s="2361"/>
      <c r="P37" s="3594" t="str">
        <f>A37</f>
        <v>成交单价</v>
      </c>
      <c r="Q37" s="3594"/>
      <c r="R37" s="3719">
        <f>E37</f>
        <v>0</v>
      </c>
      <c r="S37" s="3719"/>
      <c r="T37" s="3719">
        <f>G37</f>
        <v>0</v>
      </c>
      <c r="U37" s="3719"/>
      <c r="V37" s="3719">
        <f>I37</f>
        <v>0</v>
      </c>
      <c r="W37" s="3719"/>
      <c r="X37" s="1305"/>
      <c r="Y37" s="1331"/>
      <c r="Z37" s="1305"/>
      <c r="AA37" s="1305"/>
      <c r="AB37" s="1305"/>
      <c r="AC37" s="1305"/>
    </row>
    <row r="38" spans="1:29" ht="15.75" thickBot="1">
      <c r="A38" s="827" t="s">
        <v>409</v>
      </c>
      <c r="B38" s="165" t="str">
        <f>B37</f>
        <v>元/车位</v>
      </c>
      <c r="C38" s="2837" t="e">
        <f>R39</f>
        <v>#DIV/0!</v>
      </c>
      <c r="D38" s="2838"/>
      <c r="E38" s="2839" t="e">
        <f>R38</f>
        <v>#DIV/0!</v>
      </c>
      <c r="F38" s="2839"/>
      <c r="G38" s="2837" t="e">
        <f>T38</f>
        <v>#DIV/0!</v>
      </c>
      <c r="H38" s="2838"/>
      <c r="I38" s="2839" t="e">
        <f>V38</f>
        <v>#DIV/0!</v>
      </c>
      <c r="J38" s="2838"/>
      <c r="K38" s="961"/>
      <c r="L38" s="2360"/>
      <c r="M38" s="2361"/>
      <c r="N38" s="2361"/>
      <c r="O38" s="2361"/>
      <c r="P38" s="3594" t="str">
        <f>A38</f>
        <v>比较价值（元/平方米）</v>
      </c>
      <c r="Q38" s="3594"/>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1305"/>
      <c r="Y38" s="1305"/>
      <c r="Z38" s="1305"/>
      <c r="AA38" s="1305"/>
      <c r="AB38" s="1305"/>
      <c r="AC38" s="1305"/>
    </row>
    <row r="39" spans="1:29" ht="15.75" thickBot="1">
      <c r="A39" s="833" t="s">
        <v>3024</v>
      </c>
      <c r="B39" s="834"/>
      <c r="C39" s="2841" t="e">
        <f>R39</f>
        <v>#DIV/0!</v>
      </c>
      <c r="D39" s="2841"/>
      <c r="E39" s="2841"/>
      <c r="F39" s="2841"/>
      <c r="G39" s="2841"/>
      <c r="H39" s="2841"/>
      <c r="I39" s="2841"/>
      <c r="J39" s="2841"/>
      <c r="K39" s="962"/>
      <c r="L39" s="2360"/>
      <c r="M39" s="2361"/>
      <c r="N39" s="2361"/>
      <c r="O39" s="2361"/>
      <c r="P39" s="3614" t="str">
        <f>A39</f>
        <v>估价对象XX用房的比较价值（楼面单价，元/平方米）</v>
      </c>
      <c r="Q39" s="3615"/>
      <c r="R39" s="3720" t="e">
        <f>IF(F1="售价",ROUND(AVERAGE(R38:V38),0),ROUND(AVERAGE(R38:V38),1))</f>
        <v>#DIV/0!</v>
      </c>
      <c r="S39" s="3720"/>
      <c r="T39" s="3720"/>
      <c r="U39" s="3720"/>
      <c r="V39" s="3720"/>
      <c r="W39" s="372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413</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49" customFormat="1" ht="15">
      <c r="A48" s="846" t="s">
        <v>2795</v>
      </c>
      <c r="B48" s="847"/>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2"/>
      <c r="Q48" s="2863"/>
      <c r="R48" s="2863"/>
      <c r="S48" s="2863"/>
      <c r="T48" s="2863"/>
      <c r="U48" s="2863"/>
      <c r="V48" s="2863"/>
      <c r="W48" s="2863"/>
      <c r="X48" s="2863"/>
      <c r="Y48" s="2863"/>
      <c r="Z48" s="2863"/>
      <c r="AA48" s="2863"/>
      <c r="AB48" s="2863"/>
      <c r="AC48" s="2863"/>
    </row>
    <row r="49" spans="1:29" s="405"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5"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5" customFormat="1" ht="15">
      <c r="A51" s="862" t="s">
        <v>398</v>
      </c>
      <c r="B51" s="851"/>
      <c r="C51" s="863" t="s">
        <v>415</v>
      </c>
      <c r="D51" s="864"/>
      <c r="E51" s="864"/>
      <c r="F51" s="864"/>
      <c r="G51" s="864"/>
      <c r="H51" s="864"/>
      <c r="I51" s="864"/>
      <c r="J51" s="864"/>
      <c r="K51" s="864"/>
      <c r="L51" s="865"/>
      <c r="M51" s="866"/>
      <c r="N51" s="2368"/>
      <c r="O51" s="2368"/>
      <c r="P51" s="2850"/>
      <c r="Q51" s="2847"/>
      <c r="R51" s="2851"/>
      <c r="S51" s="2851"/>
      <c r="T51" s="2851"/>
      <c r="U51" s="2851"/>
      <c r="V51" s="2851"/>
      <c r="W51" s="2851"/>
      <c r="X51" s="2851"/>
      <c r="Y51" s="2851"/>
      <c r="Z51" s="2851"/>
      <c r="AA51" s="2851"/>
      <c r="AB51" s="2851"/>
      <c r="AC51" s="2851"/>
    </row>
    <row r="52" spans="1:29" s="405" customFormat="1" ht="15.75" thickBot="1">
      <c r="A52" s="862"/>
      <c r="B52" s="851"/>
      <c r="C52" s="980">
        <v>100</v>
      </c>
      <c r="D52" s="853"/>
      <c r="E52" s="853"/>
      <c r="F52" s="853"/>
      <c r="G52" s="853"/>
      <c r="H52" s="853"/>
      <c r="I52" s="853"/>
      <c r="J52" s="853"/>
      <c r="K52" s="853"/>
      <c r="L52" s="853"/>
      <c r="M52" s="855"/>
      <c r="N52" s="2368"/>
      <c r="O52" s="2368"/>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9"/>
      <c r="O53" s="2369"/>
      <c r="P53" s="2853"/>
      <c r="Q53" s="2847"/>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3"/>
      <c r="Q54" s="2847"/>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3"/>
      <c r="Q55" s="2847"/>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3"/>
      <c r="Q56" s="2847"/>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3"/>
      <c r="Q57" s="2847"/>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3"/>
      <c r="Q58" s="2847"/>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70"/>
      <c r="O60" s="2370"/>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1"/>
      <c r="O61" s="2371"/>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1"/>
      <c r="O62" s="2371"/>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59"/>
      <c r="Q63" s="2847"/>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3"/>
      <c r="Q64" s="2847"/>
      <c r="R64" s="2361"/>
      <c r="S64" s="2361"/>
      <c r="T64" s="2361"/>
      <c r="U64" s="2361"/>
      <c r="V64" s="2361"/>
      <c r="W64" s="2361"/>
      <c r="X64" s="2361"/>
      <c r="Y64" s="2361"/>
      <c r="Z64" s="2361"/>
      <c r="AA64" s="2361"/>
      <c r="AB64" s="2361"/>
      <c r="AC64" s="2361"/>
    </row>
    <row r="65" spans="1:29" ht="15.75" thickTop="1">
      <c r="A65" s="875"/>
      <c r="B65" s="1052" t="s">
        <v>2638</v>
      </c>
      <c r="C65" s="919" t="s">
        <v>423</v>
      </c>
      <c r="D65" s="919" t="s">
        <v>424</v>
      </c>
      <c r="E65" s="919" t="s">
        <v>425</v>
      </c>
      <c r="F65" s="919" t="s">
        <v>426</v>
      </c>
      <c r="G65" s="919" t="s">
        <v>427</v>
      </c>
      <c r="H65" s="880"/>
      <c r="I65" s="880"/>
      <c r="J65" s="880"/>
      <c r="K65" s="881"/>
      <c r="L65" s="882"/>
      <c r="M65" s="883"/>
      <c r="N65" s="2369"/>
      <c r="O65" s="2369"/>
      <c r="P65" s="2853"/>
      <c r="Q65" s="2847"/>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3"/>
      <c r="Q66" s="2847"/>
      <c r="R66" s="2361"/>
      <c r="S66" s="2361"/>
      <c r="T66" s="2361"/>
      <c r="U66" s="2361"/>
      <c r="V66" s="2361"/>
      <c r="W66" s="2361"/>
      <c r="X66" s="2361"/>
      <c r="Y66" s="2361"/>
      <c r="Z66" s="2361"/>
      <c r="AA66" s="2361"/>
      <c r="AB66" s="2361"/>
      <c r="AC66" s="2361"/>
    </row>
    <row r="67" spans="1:29" ht="15.75" thickTop="1">
      <c r="A67" s="875"/>
      <c r="B67" s="1054" t="s">
        <v>2668</v>
      </c>
      <c r="C67" s="212" t="s">
        <v>2658</v>
      </c>
      <c r="D67" s="212" t="s">
        <v>2659</v>
      </c>
      <c r="E67" s="212" t="s">
        <v>2660</v>
      </c>
      <c r="F67" s="212" t="s">
        <v>2661</v>
      </c>
      <c r="G67" s="212" t="s">
        <v>2662</v>
      </c>
      <c r="H67" s="880"/>
      <c r="I67" s="880"/>
      <c r="J67" s="880"/>
      <c r="K67" s="880"/>
      <c r="L67" s="880"/>
      <c r="M67" s="2763"/>
      <c r="N67" s="2370"/>
      <c r="O67" s="2370"/>
      <c r="P67" s="2853"/>
      <c r="Q67" s="2847"/>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3"/>
      <c r="Q68" s="2847"/>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3"/>
      <c r="Q69" s="2847"/>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3"/>
      <c r="Q70" s="2847"/>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3"/>
      <c r="Q71" s="2847"/>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3"/>
      <c r="Q72" s="2847"/>
      <c r="R72" s="2361"/>
      <c r="S72" s="2361"/>
      <c r="T72" s="2361"/>
      <c r="U72" s="2361"/>
      <c r="V72" s="2361"/>
      <c r="W72" s="2361"/>
      <c r="X72" s="2361"/>
      <c r="Y72" s="2361"/>
      <c r="Z72" s="2361"/>
      <c r="AA72" s="2361"/>
      <c r="AB72" s="2361"/>
      <c r="AC72" s="2361"/>
    </row>
    <row r="73" spans="1:29" s="405" customFormat="1" ht="15.75" thickTop="1">
      <c r="A73" s="920"/>
      <c r="B73" s="879">
        <f>B23</f>
        <v>111</v>
      </c>
      <c r="C73" s="890"/>
      <c r="D73" s="890"/>
      <c r="E73" s="890"/>
      <c r="F73" s="890"/>
      <c r="G73" s="895"/>
      <c r="H73" s="895"/>
      <c r="I73" s="895"/>
      <c r="J73" s="895"/>
      <c r="K73" s="895"/>
      <c r="L73" s="921"/>
      <c r="M73" s="922"/>
      <c r="N73" s="2368"/>
      <c r="O73" s="2368"/>
      <c r="P73" s="2853"/>
      <c r="Q73" s="2847"/>
      <c r="R73" s="2851"/>
      <c r="S73" s="2851"/>
      <c r="T73" s="2851"/>
      <c r="U73" s="2851"/>
      <c r="V73" s="2851"/>
      <c r="W73" s="2851"/>
      <c r="X73" s="2851"/>
      <c r="Y73" s="2851"/>
      <c r="Z73" s="2851"/>
      <c r="AA73" s="2851"/>
      <c r="AB73" s="2851"/>
      <c r="AC73" s="2851"/>
    </row>
    <row r="74" spans="1:29" s="405" customFormat="1" ht="15.75" thickBot="1">
      <c r="A74" s="920"/>
      <c r="B74" s="884"/>
      <c r="C74" s="901"/>
      <c r="D74" s="877"/>
      <c r="E74" s="877"/>
      <c r="F74" s="877"/>
      <c r="G74" s="877"/>
      <c r="H74" s="877"/>
      <c r="I74" s="877"/>
      <c r="J74" s="877"/>
      <c r="K74" s="877"/>
      <c r="L74" s="877"/>
      <c r="M74" s="878"/>
      <c r="N74" s="2370"/>
      <c r="O74" s="2370"/>
      <c r="P74" s="2853"/>
      <c r="Q74" s="2847"/>
      <c r="R74" s="2851"/>
      <c r="S74" s="2851"/>
      <c r="T74" s="2851"/>
      <c r="U74" s="2851"/>
      <c r="V74" s="2851"/>
      <c r="W74" s="2851"/>
      <c r="X74" s="2851"/>
      <c r="Y74" s="2851"/>
      <c r="Z74" s="2851"/>
      <c r="AA74" s="2851"/>
      <c r="AB74" s="2851"/>
      <c r="AC74" s="2851"/>
    </row>
    <row r="75" spans="1:29" s="405" customFormat="1" ht="15.75" thickTop="1">
      <c r="A75" s="920"/>
      <c r="B75" s="879">
        <f>B24</f>
        <v>111</v>
      </c>
      <c r="C75" s="890"/>
      <c r="D75" s="890"/>
      <c r="E75" s="890"/>
      <c r="F75" s="890"/>
      <c r="G75" s="895"/>
      <c r="H75" s="895"/>
      <c r="I75" s="895"/>
      <c r="J75" s="895"/>
      <c r="K75" s="895"/>
      <c r="L75" s="895"/>
      <c r="M75" s="922"/>
      <c r="N75" s="2368"/>
      <c r="O75" s="2368"/>
      <c r="P75" s="2853"/>
      <c r="Q75" s="2847"/>
      <c r="R75" s="2851"/>
      <c r="S75" s="2851"/>
      <c r="T75" s="2851"/>
      <c r="U75" s="2851"/>
      <c r="V75" s="2851"/>
      <c r="W75" s="2851"/>
      <c r="X75" s="2851"/>
      <c r="Y75" s="2851"/>
      <c r="Z75" s="2851"/>
      <c r="AA75" s="2851"/>
      <c r="AB75" s="2851"/>
      <c r="AC75" s="2851"/>
    </row>
    <row r="76" spans="1:29" s="405" customFormat="1" ht="15.75" thickBot="1">
      <c r="A76" s="920"/>
      <c r="B76" s="884"/>
      <c r="C76" s="901"/>
      <c r="D76" s="877"/>
      <c r="E76" s="877"/>
      <c r="F76" s="877"/>
      <c r="G76" s="877"/>
      <c r="H76" s="877"/>
      <c r="I76" s="877"/>
      <c r="J76" s="877"/>
      <c r="K76" s="877"/>
      <c r="L76" s="877"/>
      <c r="M76" s="878"/>
      <c r="N76" s="2370"/>
      <c r="O76" s="2370"/>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1"/>
      <c r="O77" s="2371"/>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1"/>
      <c r="O78" s="2371"/>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9"/>
      <c r="O79" s="2369"/>
      <c r="P79" s="2853"/>
      <c r="Q79" s="2847"/>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3"/>
      <c r="Q81" s="2847"/>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9"/>
      <c r="O83" s="2369"/>
      <c r="P83" s="2853"/>
      <c r="Q83" s="2847"/>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3"/>
      <c r="Q85" s="2847"/>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3"/>
      <c r="Q86" s="2847"/>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3"/>
      <c r="Q88" s="2847"/>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3"/>
      <c r="Q89" s="2847"/>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1"/>
      <c r="O91" s="2371"/>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1"/>
      <c r="O92" s="2371"/>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9"/>
      <c r="O93" s="2369"/>
      <c r="P93" s="2853"/>
      <c r="Q93" s="2847"/>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3"/>
      <c r="Q95" s="2847"/>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3"/>
      <c r="Q96" s="2847"/>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0"/>
      <c r="Q97" s="2861"/>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3"/>
      <c r="Q98" s="2847"/>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1"/>
      <c r="O100" s="2371"/>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9"/>
      <c r="O101" s="2369"/>
      <c r="P101" s="2853"/>
      <c r="Q101" s="2847"/>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9" customFormat="1" ht="28.5" customHeight="1" thickTop="1">
      <c r="A2" s="3116" t="s">
        <v>444</v>
      </c>
      <c r="B2" s="2842" t="e">
        <f ca="1">IF(C2="——",ROUND(C37*D3/10000,0),ROUND(C37*D3/10000,0)-D2)</f>
        <v>#DIV/0!</v>
      </c>
      <c r="C2" s="3094"/>
      <c r="D2" s="2341" t="e">
        <f ca="1">SUMIF(INDIRECT("'"&amp;F2&amp;"'"&amp;"!A:A"),"承租人权益价值",INDIRECT("'"&amp;F2&amp;"'"&amp;"!c:c"))</f>
        <v>#REF!</v>
      </c>
      <c r="E2" s="3095" t="s">
        <v>868</v>
      </c>
      <c r="F2" s="3096"/>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582" t="s">
        <v>449</v>
      </c>
      <c r="S4" s="3583"/>
      <c r="T4" s="3582" t="s">
        <v>450</v>
      </c>
      <c r="U4" s="3583"/>
      <c r="V4" s="3607" t="s">
        <v>451</v>
      </c>
      <c r="W4" s="3607"/>
      <c r="X4" s="1316"/>
      <c r="Y4" s="3582" t="s">
        <v>453</v>
      </c>
      <c r="Z4" s="3583"/>
      <c r="AA4" s="3577" t="s">
        <v>449</v>
      </c>
      <c r="AB4" s="3578" t="s">
        <v>450</v>
      </c>
      <c r="AC4" s="3577" t="s">
        <v>451</v>
      </c>
    </row>
    <row r="5" spans="1:29" ht="15">
      <c r="A5" s="745"/>
      <c r="B5" s="746"/>
      <c r="C5" s="3666" t="s">
        <v>1127</v>
      </c>
      <c r="D5" s="3667"/>
      <c r="E5" s="3668" t="s">
        <v>1128</v>
      </c>
      <c r="F5" s="3669"/>
      <c r="G5" s="3666" t="s">
        <v>61</v>
      </c>
      <c r="H5" s="3667"/>
      <c r="I5" s="3666" t="s">
        <v>1129</v>
      </c>
      <c r="J5" s="3667"/>
      <c r="K5" s="951"/>
      <c r="L5" s="2347"/>
      <c r="M5" s="2348"/>
      <c r="N5" s="2348"/>
      <c r="O5" s="2348"/>
      <c r="P5" s="3601"/>
      <c r="Q5" s="3602"/>
      <c r="R5" s="3584"/>
      <c r="S5" s="3585"/>
      <c r="T5" s="3584"/>
      <c r="U5" s="3585"/>
      <c r="V5" s="3607"/>
      <c r="W5" s="3607"/>
      <c r="X5" s="1316"/>
      <c r="Y5" s="3584"/>
      <c r="Z5" s="3585"/>
      <c r="AA5" s="3578"/>
      <c r="AB5" s="3578"/>
      <c r="AC5" s="3578"/>
    </row>
    <row r="6" spans="1:29" ht="15.75" thickBot="1">
      <c r="A6" s="747"/>
      <c r="B6" s="748"/>
      <c r="C6" s="3670" t="s">
        <v>1130</v>
      </c>
      <c r="D6" s="3671"/>
      <c r="E6" s="3672" t="s">
        <v>1130</v>
      </c>
      <c r="F6" s="3673"/>
      <c r="G6" s="3670" t="s">
        <v>1130</v>
      </c>
      <c r="H6" s="3671"/>
      <c r="I6" s="3670" t="s">
        <v>1130</v>
      </c>
      <c r="J6" s="3671"/>
      <c r="K6" s="951" t="s">
        <v>395</v>
      </c>
      <c r="L6" s="2347"/>
      <c r="M6" s="2348"/>
      <c r="N6" s="2348"/>
      <c r="O6" s="2348"/>
      <c r="P6" s="3603"/>
      <c r="Q6" s="3604"/>
      <c r="R6" s="3584"/>
      <c r="S6" s="3585"/>
      <c r="T6" s="3605"/>
      <c r="U6" s="3606"/>
      <c r="V6" s="3607"/>
      <c r="W6" s="3607"/>
      <c r="X6" s="1316"/>
      <c r="Y6" s="3605"/>
      <c r="Z6" s="3606"/>
      <c r="AA6" s="3579"/>
      <c r="AB6" s="3579"/>
      <c r="AC6" s="3579"/>
    </row>
    <row r="7" spans="1:29" s="405" customFormat="1" ht="15.75" thickBot="1">
      <c r="A7" s="749" t="s">
        <v>396</v>
      </c>
      <c r="B7" s="750"/>
      <c r="C7" s="751">
        <f>'数据-取费表'!B2</f>
        <v>42977</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580" t="s">
        <v>397</v>
      </c>
      <c r="Q7" s="3608"/>
      <c r="R7" s="1317" t="s">
        <v>65</v>
      </c>
      <c r="S7" s="1318">
        <f t="shared" ref="S7:S14" si="0">F7</f>
        <v>0</v>
      </c>
      <c r="T7" s="1317" t="s">
        <v>65</v>
      </c>
      <c r="U7" s="1318">
        <f t="shared" ref="U7:U14" si="1">H7</f>
        <v>0</v>
      </c>
      <c r="V7" s="1317" t="s">
        <v>65</v>
      </c>
      <c r="W7" s="1318">
        <f t="shared" ref="W7:W14" si="2">J7</f>
        <v>0</v>
      </c>
      <c r="X7" s="1319"/>
      <c r="Y7" s="3580" t="s">
        <v>397</v>
      </c>
      <c r="Z7" s="3581"/>
      <c r="AA7" s="1320" t="e">
        <f>D7/F7</f>
        <v>#DIV/0!</v>
      </c>
      <c r="AB7" s="1320" t="e">
        <f>D7/H7</f>
        <v>#DIV/0!</v>
      </c>
      <c r="AC7" s="1320"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34" si="3">D8/F8</f>
        <v>#DIV/0!</v>
      </c>
      <c r="AB8" s="1320" t="e">
        <f t="shared" ref="AB8:AB34" si="4">D8/H8</f>
        <v>#DIV/0!</v>
      </c>
      <c r="AC8" s="1320" t="e">
        <f t="shared" ref="AC8:AC34" si="5">D8/J8</f>
        <v>#DIV/0!</v>
      </c>
    </row>
    <row r="9" spans="1:29" s="405" customFormat="1">
      <c r="A9" s="756" t="s">
        <v>399</v>
      </c>
      <c r="B9" s="360" t="s">
        <v>417</v>
      </c>
      <c r="C9" s="1344"/>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594" t="s">
        <v>400</v>
      </c>
      <c r="Q9" s="295" t="str">
        <f t="shared" ref="Q9:Q14" si="6">B9</f>
        <v>用途</v>
      </c>
      <c r="R9" s="1317" t="s">
        <v>65</v>
      </c>
      <c r="S9" s="1318">
        <f t="shared" si="0"/>
        <v>100</v>
      </c>
      <c r="T9" s="1317" t="s">
        <v>65</v>
      </c>
      <c r="U9" s="1318">
        <f t="shared" si="1"/>
        <v>100</v>
      </c>
      <c r="V9" s="1317" t="s">
        <v>65</v>
      </c>
      <c r="W9" s="1318">
        <f t="shared" si="2"/>
        <v>100</v>
      </c>
      <c r="X9" s="1319"/>
      <c r="Y9" s="3551" t="s">
        <v>401</v>
      </c>
      <c r="Z9" s="343"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594"/>
      <c r="Q10" s="295" t="str">
        <f t="shared" si="6"/>
        <v>土地使用年限（年）</v>
      </c>
      <c r="R10" s="1317" t="s">
        <v>65</v>
      </c>
      <c r="S10" s="1318">
        <f t="shared" si="0"/>
        <v>100</v>
      </c>
      <c r="T10" s="1317" t="s">
        <v>65</v>
      </c>
      <c r="U10" s="1318">
        <f t="shared" si="1"/>
        <v>100</v>
      </c>
      <c r="V10" s="1317" t="s">
        <v>65</v>
      </c>
      <c r="W10" s="1318">
        <f t="shared" si="2"/>
        <v>100</v>
      </c>
      <c r="X10" s="1319"/>
      <c r="Y10" s="3551"/>
      <c r="Z10" s="343"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5"/>
      <c r="M11" s="2348"/>
      <c r="N11" s="2348"/>
      <c r="O11" s="2356"/>
      <c r="P11" s="3594"/>
      <c r="Q11" s="295">
        <f t="shared" si="6"/>
        <v>111</v>
      </c>
      <c r="R11" s="1317" t="s">
        <v>65</v>
      </c>
      <c r="S11" s="1318">
        <f t="shared" si="0"/>
        <v>100</v>
      </c>
      <c r="T11" s="1317" t="s">
        <v>65</v>
      </c>
      <c r="U11" s="1318">
        <f t="shared" si="1"/>
        <v>100</v>
      </c>
      <c r="V11" s="1317" t="s">
        <v>65</v>
      </c>
      <c r="W11" s="1318">
        <f t="shared" si="2"/>
        <v>100</v>
      </c>
      <c r="X11" s="1319"/>
      <c r="Y11" s="3551"/>
      <c r="Z11" s="343">
        <f t="shared" si="7"/>
        <v>111</v>
      </c>
      <c r="AA11" s="1320">
        <f t="shared" si="3"/>
        <v>1</v>
      </c>
      <c r="AB11" s="1320">
        <f t="shared" si="4"/>
        <v>1</v>
      </c>
      <c r="AC11" s="1320">
        <f t="shared" si="5"/>
        <v>1</v>
      </c>
    </row>
    <row r="12" spans="1:29" s="405"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9"/>
      <c r="M12" s="2350"/>
      <c r="N12" s="2350"/>
      <c r="O12" s="2351"/>
      <c r="P12" s="3594"/>
      <c r="Q12" s="295">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94.5">
      <c r="A14" s="781" t="s">
        <v>404</v>
      </c>
      <c r="B14" s="358" t="s">
        <v>454</v>
      </c>
      <c r="C14" s="211"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09" t="s">
        <v>405</v>
      </c>
      <c r="Q14" s="1321" t="str">
        <f t="shared" si="6"/>
        <v>交通便捷度</v>
      </c>
      <c r="R14" s="1322" t="s">
        <v>65</v>
      </c>
      <c r="S14" s="1323">
        <f t="shared" si="0"/>
        <v>100</v>
      </c>
      <c r="T14" s="1322" t="s">
        <v>65</v>
      </c>
      <c r="U14" s="1323">
        <f t="shared" si="1"/>
        <v>100</v>
      </c>
      <c r="V14" s="1322" t="s">
        <v>65</v>
      </c>
      <c r="W14" s="1323">
        <f t="shared" si="2"/>
        <v>100</v>
      </c>
      <c r="X14" s="1316"/>
      <c r="Y14" s="360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610"/>
      <c r="Q15" s="1321"/>
      <c r="R15" s="1322"/>
      <c r="S15" s="1323"/>
      <c r="T15" s="1322"/>
      <c r="U15" s="1323"/>
      <c r="V15" s="1322"/>
      <c r="W15" s="1323"/>
      <c r="X15" s="1316"/>
      <c r="Y15" s="3610"/>
      <c r="Z15" s="1324"/>
      <c r="AA15" s="1325">
        <v>1</v>
      </c>
      <c r="AB15" s="1325">
        <v>1</v>
      </c>
      <c r="AC15" s="1325">
        <v>1</v>
      </c>
    </row>
    <row r="16" spans="1:29" ht="40.5">
      <c r="A16" s="769"/>
      <c r="B16" s="1354" t="s">
        <v>2667</v>
      </c>
      <c r="C16" s="157"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10"/>
      <c r="Q16" s="1321" t="str">
        <f>B16</f>
        <v>公共配套设施</v>
      </c>
      <c r="R16" s="1322" t="s">
        <v>65</v>
      </c>
      <c r="S16" s="1323">
        <f>F16</f>
        <v>100</v>
      </c>
      <c r="T16" s="1322" t="s">
        <v>65</v>
      </c>
      <c r="U16" s="1323">
        <f>H16</f>
        <v>100</v>
      </c>
      <c r="V16" s="1322" t="s">
        <v>65</v>
      </c>
      <c r="W16" s="1323">
        <f>J16</f>
        <v>100</v>
      </c>
      <c r="X16" s="1316"/>
      <c r="Y16" s="361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610"/>
      <c r="Q17" s="1321"/>
      <c r="R17" s="1322"/>
      <c r="S17" s="1323"/>
      <c r="T17" s="1322"/>
      <c r="U17" s="1323"/>
      <c r="V17" s="1322"/>
      <c r="W17" s="1323"/>
      <c r="X17" s="1316"/>
      <c r="Y17" s="3610"/>
      <c r="Z17" s="1324"/>
      <c r="AA17" s="1325">
        <v>1</v>
      </c>
      <c r="AB17" s="1325">
        <v>1</v>
      </c>
      <c r="AC17" s="1325">
        <v>1</v>
      </c>
    </row>
    <row r="18" spans="1:29" ht="40.5">
      <c r="A18" s="769"/>
      <c r="B18" s="1410" t="s">
        <v>2669</v>
      </c>
      <c r="C18" s="157"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10"/>
      <c r="Q18" s="2747" t="str">
        <f>B18</f>
        <v>基础设施水平</v>
      </c>
      <c r="R18" s="1322" t="s">
        <v>65</v>
      </c>
      <c r="S18" s="1323">
        <f>F18</f>
        <v>100</v>
      </c>
      <c r="T18" s="1322" t="s">
        <v>65</v>
      </c>
      <c r="U18" s="1323">
        <f>H18</f>
        <v>100</v>
      </c>
      <c r="V18" s="1322" t="s">
        <v>65</v>
      </c>
      <c r="W18" s="1323">
        <f>J18</f>
        <v>100</v>
      </c>
      <c r="X18" s="2749"/>
      <c r="Y18" s="3610"/>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7"/>
      <c r="M19" s="2348"/>
      <c r="N19" s="2348"/>
      <c r="O19" s="2356"/>
      <c r="P19" s="3610"/>
      <c r="Q19" s="2747"/>
      <c r="R19" s="1322"/>
      <c r="S19" s="1323"/>
      <c r="T19" s="1322"/>
      <c r="U19" s="1323"/>
      <c r="V19" s="1322"/>
      <c r="W19" s="1323"/>
      <c r="X19" s="2749"/>
      <c r="Y19" s="3610"/>
      <c r="Z19" s="2748"/>
      <c r="AA19" s="1325">
        <v>1</v>
      </c>
      <c r="AB19" s="1325">
        <v>1</v>
      </c>
      <c r="AC19" s="1325">
        <v>1</v>
      </c>
    </row>
    <row r="20" spans="1:29" ht="54">
      <c r="A20" s="769"/>
      <c r="B20" s="792" t="s">
        <v>455</v>
      </c>
      <c r="C20" s="157"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10"/>
      <c r="Q20" s="1321" t="str">
        <f>B20</f>
        <v>自然及人文环境</v>
      </c>
      <c r="R20" s="1322" t="s">
        <v>65</v>
      </c>
      <c r="S20" s="1323">
        <f>F20</f>
        <v>100</v>
      </c>
      <c r="T20" s="1322" t="s">
        <v>65</v>
      </c>
      <c r="U20" s="1323">
        <f>H20</f>
        <v>100</v>
      </c>
      <c r="V20" s="1322" t="s">
        <v>65</v>
      </c>
      <c r="W20" s="1323">
        <f>J20</f>
        <v>100</v>
      </c>
      <c r="X20" s="1316"/>
      <c r="Y20" s="361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610"/>
      <c r="Q21" s="1321"/>
      <c r="R21" s="1322"/>
      <c r="S21" s="1323"/>
      <c r="T21" s="1322"/>
      <c r="U21" s="1323"/>
      <c r="V21" s="1322"/>
      <c r="W21" s="1323"/>
      <c r="X21" s="1316"/>
      <c r="Y21" s="361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10"/>
      <c r="Q22" s="1321" t="str">
        <f>B22</f>
        <v>楼层</v>
      </c>
      <c r="R22" s="1322" t="s">
        <v>65</v>
      </c>
      <c r="S22" s="1323">
        <f>F22</f>
        <v>100</v>
      </c>
      <c r="T22" s="1322" t="s">
        <v>65</v>
      </c>
      <c r="U22" s="1323">
        <f>H22</f>
        <v>100</v>
      </c>
      <c r="V22" s="1322" t="s">
        <v>65</v>
      </c>
      <c r="W22" s="1323">
        <f>J22</f>
        <v>100</v>
      </c>
      <c r="X22" s="1316"/>
      <c r="Y22" s="361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10"/>
      <c r="Q23" s="1321">
        <f>B23</f>
        <v>111</v>
      </c>
      <c r="R23" s="1322" t="s">
        <v>65</v>
      </c>
      <c r="S23" s="1323">
        <f>F23</f>
        <v>100</v>
      </c>
      <c r="T23" s="1322" t="s">
        <v>65</v>
      </c>
      <c r="U23" s="1323">
        <f>H23</f>
        <v>100</v>
      </c>
      <c r="V23" s="1322" t="s">
        <v>65</v>
      </c>
      <c r="W23" s="1323">
        <f>J23</f>
        <v>100</v>
      </c>
      <c r="X23" s="1316"/>
      <c r="Y23" s="361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10"/>
      <c r="Q24" s="1321">
        <f t="shared" ref="Q24:Q34" si="11">B24</f>
        <v>111</v>
      </c>
      <c r="R24" s="1322" t="s">
        <v>65</v>
      </c>
      <c r="S24" s="1323">
        <f>F24</f>
        <v>100</v>
      </c>
      <c r="T24" s="1322" t="s">
        <v>65</v>
      </c>
      <c r="U24" s="1323">
        <f>H24</f>
        <v>100</v>
      </c>
      <c r="V24" s="1322" t="s">
        <v>65</v>
      </c>
      <c r="W24" s="1323">
        <f>J24</f>
        <v>100</v>
      </c>
      <c r="X24" s="1316"/>
      <c r="Y24" s="3610"/>
      <c r="Z24" s="1324">
        <f>Q24</f>
        <v>111</v>
      </c>
      <c r="AA24" s="1325">
        <f t="shared" si="3"/>
        <v>1</v>
      </c>
      <c r="AB24" s="1325">
        <f t="shared" si="4"/>
        <v>1</v>
      </c>
      <c r="AC24" s="1325">
        <f t="shared" si="5"/>
        <v>1</v>
      </c>
    </row>
    <row r="25" spans="1:29" s="405" customFormat="1" ht="15.75" thickBot="1">
      <c r="A25" s="772"/>
      <c r="B25" s="1029">
        <v>111</v>
      </c>
      <c r="C25" s="201"/>
      <c r="D25" s="1006">
        <v>100</v>
      </c>
      <c r="E25" s="201"/>
      <c r="F25" s="1007">
        <f>SUMIF(75:75,E25,76:76)-SUMIF(75:75,C25,76:76)+100</f>
        <v>100</v>
      </c>
      <c r="G25" s="201"/>
      <c r="H25" s="1006">
        <f>SUMIF(75:75,G25,76:76)-SUMIF(75:75,C25,76:76)+100</f>
        <v>100</v>
      </c>
      <c r="I25" s="201"/>
      <c r="J25" s="1006">
        <f>SUMIF(75:75,I25,76:76)-SUMIF(75:75,C25,76:76)+100</f>
        <v>100</v>
      </c>
      <c r="K25" s="954"/>
      <c r="L25" s="2349"/>
      <c r="M25" s="2350"/>
      <c r="N25" s="2350"/>
      <c r="O25" s="2351"/>
      <c r="P25" s="3610"/>
      <c r="Q25" s="295">
        <f t="shared" si="11"/>
        <v>111</v>
      </c>
      <c r="R25" s="1317" t="s">
        <v>65</v>
      </c>
      <c r="S25" s="1318">
        <f>F25</f>
        <v>100</v>
      </c>
      <c r="T25" s="1317" t="s">
        <v>65</v>
      </c>
      <c r="U25" s="1318">
        <f>H25</f>
        <v>100</v>
      </c>
      <c r="V25" s="1317" t="s">
        <v>65</v>
      </c>
      <c r="W25" s="1318">
        <f>J25</f>
        <v>100</v>
      </c>
      <c r="X25" s="1319"/>
      <c r="Y25" s="3610"/>
      <c r="Z25" s="343">
        <f>Q25</f>
        <v>111</v>
      </c>
      <c r="AA25" s="1325">
        <f>D25/F25</f>
        <v>1</v>
      </c>
      <c r="AB25" s="1325">
        <f>D25/H25</f>
        <v>1</v>
      </c>
      <c r="AC25" s="1325">
        <f>D25/J25</f>
        <v>1</v>
      </c>
    </row>
    <row r="26" spans="1:29" ht="15">
      <c r="A26" s="807" t="s">
        <v>406</v>
      </c>
      <c r="B26" s="360" t="s">
        <v>459</v>
      </c>
      <c r="C26" s="196"/>
      <c r="D26" s="808">
        <v>100</v>
      </c>
      <c r="E26" s="196"/>
      <c r="F26" s="1008">
        <f>SUMIF(77:77,E26,78:78)-SUMIF(77:77,C26,78:78)+100</f>
        <v>100</v>
      </c>
      <c r="G26" s="196"/>
      <c r="H26" s="808">
        <f>SUMIF(77:77,G26,78:78)-SUMIF(77:77,C26,78:78)+100</f>
        <v>100</v>
      </c>
      <c r="I26" s="196"/>
      <c r="J26" s="808">
        <f>SUMIF(77:77,I26,78:78)-SUMIF(77:77,C26,78:78)+100</f>
        <v>100</v>
      </c>
      <c r="K26" s="953"/>
      <c r="L26" s="2357"/>
      <c r="M26" s="2348"/>
      <c r="N26" s="2348"/>
      <c r="O26" s="2356"/>
      <c r="P26" s="361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1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12"/>
      <c r="Q27" s="1326" t="str">
        <f t="shared" si="11"/>
        <v>成新率</v>
      </c>
      <c r="R27" s="1327" t="s">
        <v>65</v>
      </c>
      <c r="S27" s="1328" t="e">
        <f t="shared" si="12"/>
        <v>#N/A</v>
      </c>
      <c r="T27" s="1327" t="s">
        <v>65</v>
      </c>
      <c r="U27" s="1328" t="e">
        <f t="shared" si="13"/>
        <v>#N/A</v>
      </c>
      <c r="V27" s="1327" t="s">
        <v>65</v>
      </c>
      <c r="W27" s="1328" t="e">
        <f t="shared" si="14"/>
        <v>#N/A</v>
      </c>
      <c r="X27" s="1329"/>
      <c r="Y27" s="361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12"/>
      <c r="Q28" s="1321" t="str">
        <f t="shared" si="11"/>
        <v>物业等级</v>
      </c>
      <c r="R28" s="1322" t="s">
        <v>65</v>
      </c>
      <c r="S28" s="1323">
        <f t="shared" si="12"/>
        <v>100</v>
      </c>
      <c r="T28" s="1322" t="s">
        <v>65</v>
      </c>
      <c r="U28" s="1323">
        <f t="shared" si="13"/>
        <v>100</v>
      </c>
      <c r="V28" s="1322" t="s">
        <v>65</v>
      </c>
      <c r="W28" s="1323">
        <f t="shared" si="14"/>
        <v>100</v>
      </c>
      <c r="X28" s="1316"/>
      <c r="Y28" s="361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612"/>
      <c r="Q29" s="1321" t="str">
        <f t="shared" si="11"/>
        <v>有无电梯</v>
      </c>
      <c r="R29" s="1322" t="s">
        <v>65</v>
      </c>
      <c r="S29" s="1323">
        <f t="shared" si="12"/>
        <v>100</v>
      </c>
      <c r="T29" s="1322" t="s">
        <v>65</v>
      </c>
      <c r="U29" s="1323">
        <f t="shared" si="13"/>
        <v>100</v>
      </c>
      <c r="V29" s="1322" t="s">
        <v>65</v>
      </c>
      <c r="W29" s="1323">
        <f t="shared" si="14"/>
        <v>100</v>
      </c>
      <c r="X29" s="1316"/>
      <c r="Y29" s="361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12"/>
      <c r="Q30" s="1321" t="str">
        <f t="shared" si="11"/>
        <v>建筑面积</v>
      </c>
      <c r="R30" s="1322" t="s">
        <v>65</v>
      </c>
      <c r="S30" s="1323" t="e">
        <f t="shared" si="12"/>
        <v>#N/A</v>
      </c>
      <c r="T30" s="1322" t="s">
        <v>65</v>
      </c>
      <c r="U30" s="1323" t="e">
        <f t="shared" si="13"/>
        <v>#N/A</v>
      </c>
      <c r="V30" s="1322" t="s">
        <v>65</v>
      </c>
      <c r="W30" s="1323" t="e">
        <f t="shared" si="14"/>
        <v>#N/A</v>
      </c>
      <c r="X30" s="1316"/>
      <c r="Y30" s="3612"/>
      <c r="Z30" s="1324" t="str">
        <f t="shared" si="15"/>
        <v>建筑面积</v>
      </c>
      <c r="AA30" s="1325" t="e">
        <f t="shared" si="3"/>
        <v>#N/A</v>
      </c>
      <c r="AB30" s="1325" t="e">
        <f t="shared" si="4"/>
        <v>#N/A</v>
      </c>
      <c r="AC30" s="1325" t="e">
        <f t="shared" si="5"/>
        <v>#N/A</v>
      </c>
    </row>
    <row r="31" spans="1:29" s="405"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612"/>
      <c r="Q31" s="295" t="str">
        <f t="shared" si="11"/>
        <v>是否封闭</v>
      </c>
      <c r="R31" s="1317" t="s">
        <v>65</v>
      </c>
      <c r="S31" s="1318">
        <f t="shared" si="12"/>
        <v>100</v>
      </c>
      <c r="T31" s="1317" t="s">
        <v>65</v>
      </c>
      <c r="U31" s="1318">
        <f t="shared" si="13"/>
        <v>100</v>
      </c>
      <c r="V31" s="1317" t="s">
        <v>65</v>
      </c>
      <c r="W31" s="1318">
        <f t="shared" si="14"/>
        <v>100</v>
      </c>
      <c r="X31" s="1319"/>
      <c r="Y31" s="3612"/>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612" t="s">
        <v>407</v>
      </c>
      <c r="Q32" s="1321">
        <f t="shared" si="11"/>
        <v>111</v>
      </c>
      <c r="R32" s="1322" t="s">
        <v>65</v>
      </c>
      <c r="S32" s="1323">
        <f t="shared" si="12"/>
        <v>100</v>
      </c>
      <c r="T32" s="1322" t="s">
        <v>65</v>
      </c>
      <c r="U32" s="1323">
        <f t="shared" si="13"/>
        <v>100</v>
      </c>
      <c r="V32" s="1322" t="s">
        <v>65</v>
      </c>
      <c r="W32" s="1323">
        <f t="shared" si="14"/>
        <v>100</v>
      </c>
      <c r="X32" s="1316"/>
      <c r="Y32" s="361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612"/>
      <c r="Q33" s="1321">
        <f t="shared" si="11"/>
        <v>111</v>
      </c>
      <c r="R33" s="1322" t="s">
        <v>65</v>
      </c>
      <c r="S33" s="1323">
        <f t="shared" si="12"/>
        <v>100</v>
      </c>
      <c r="T33" s="1322" t="s">
        <v>65</v>
      </c>
      <c r="U33" s="1323">
        <f t="shared" si="13"/>
        <v>100</v>
      </c>
      <c r="V33" s="1322" t="s">
        <v>65</v>
      </c>
      <c r="W33" s="1323">
        <f t="shared" si="14"/>
        <v>100</v>
      </c>
      <c r="X33" s="1316"/>
      <c r="Y33" s="361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612"/>
      <c r="Q34" s="1321">
        <f t="shared" si="11"/>
        <v>111</v>
      </c>
      <c r="R34" s="1322" t="s">
        <v>65</v>
      </c>
      <c r="S34" s="1323">
        <f t="shared" si="12"/>
        <v>100</v>
      </c>
      <c r="T34" s="1322" t="s">
        <v>65</v>
      </c>
      <c r="U34" s="1323">
        <f t="shared" si="13"/>
        <v>100</v>
      </c>
      <c r="V34" s="1322" t="s">
        <v>65</v>
      </c>
      <c r="W34" s="1323">
        <f t="shared" si="14"/>
        <v>100</v>
      </c>
      <c r="X34" s="1316"/>
      <c r="Y34" s="3612"/>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60"/>
      <c r="M35" s="2361"/>
      <c r="N35" s="2348"/>
      <c r="O35" s="2361"/>
      <c r="P35" s="3594" t="str">
        <f>A35</f>
        <v>成交单价（元/平方米）</v>
      </c>
      <c r="Q35" s="3594"/>
      <c r="R35" s="3719">
        <f>E35</f>
        <v>0</v>
      </c>
      <c r="S35" s="3719"/>
      <c r="T35" s="3719">
        <f>G35</f>
        <v>0</v>
      </c>
      <c r="U35" s="3719"/>
      <c r="V35" s="3719">
        <f>I35</f>
        <v>0</v>
      </c>
      <c r="W35" s="3719"/>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60"/>
      <c r="M36" s="2361"/>
      <c r="N36" s="2348"/>
      <c r="O36" s="2361"/>
      <c r="P36" s="3594" t="str">
        <f>A36</f>
        <v>比较价值（元/平方米）</v>
      </c>
      <c r="Q36" s="3594"/>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1305"/>
      <c r="Y36" s="1305"/>
      <c r="Z36" s="1305"/>
      <c r="AA36" s="1305"/>
      <c r="AB36" s="1305"/>
      <c r="AC36" s="1305"/>
    </row>
    <row r="37" spans="1:29" ht="15.75" thickBot="1">
      <c r="A37" s="114" t="s">
        <v>3018</v>
      </c>
      <c r="B37" s="834"/>
      <c r="C37" s="2841" t="e">
        <f>R37</f>
        <v>#DIV/0!</v>
      </c>
      <c r="D37" s="2841"/>
      <c r="E37" s="2841"/>
      <c r="F37" s="2841"/>
      <c r="G37" s="2841"/>
      <c r="H37" s="2841"/>
      <c r="I37" s="2841"/>
      <c r="J37" s="2841"/>
      <c r="K37" s="1400"/>
      <c r="L37" s="2360"/>
      <c r="M37" s="2361"/>
      <c r="N37" s="2361"/>
      <c r="O37" s="2361"/>
      <c r="P37" s="3614" t="str">
        <f>A37</f>
        <v>估价对象XX用房的比较价值（楼面单价，元/平方米）</v>
      </c>
      <c r="Q37" s="3615"/>
      <c r="R37" s="3720" t="e">
        <f>IF(F1="售价",ROUND(AVERAGE(R36:V36),0),ROUND(AVERAGE(R36:V36),1))</f>
        <v>#DIV/0!</v>
      </c>
      <c r="S37" s="3720"/>
      <c r="T37" s="3720"/>
      <c r="U37" s="3720"/>
      <c r="V37" s="3720"/>
      <c r="W37" s="372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48"/>
    </row>
    <row r="47" spans="1:29" s="405" customFormat="1" ht="15">
      <c r="A47" s="850"/>
      <c r="B47" s="851"/>
      <c r="C47" s="3036">
        <v>100</v>
      </c>
      <c r="D47" s="853"/>
      <c r="E47" s="853"/>
      <c r="F47" s="853"/>
      <c r="G47" s="853"/>
      <c r="H47" s="853"/>
      <c r="I47" s="853"/>
      <c r="J47" s="853"/>
      <c r="K47" s="853"/>
      <c r="L47" s="853"/>
      <c r="M47" s="854"/>
      <c r="N47" s="853"/>
      <c r="O47" s="855"/>
      <c r="P47" s="845"/>
    </row>
    <row r="48" spans="1:29" s="405" customFormat="1" ht="15.75" thickBot="1">
      <c r="A48" s="856" t="s">
        <v>414</v>
      </c>
      <c r="B48" s="857"/>
      <c r="C48" s="858"/>
      <c r="D48" s="859"/>
      <c r="E48" s="859"/>
      <c r="F48" s="859"/>
      <c r="G48" s="859"/>
      <c r="H48" s="859"/>
      <c r="I48" s="859"/>
      <c r="J48" s="859"/>
      <c r="K48" s="859"/>
      <c r="L48" s="859"/>
      <c r="M48" s="860"/>
      <c r="N48" s="859"/>
      <c r="O48" s="861"/>
      <c r="P48" s="845"/>
      <c r="Q48" s="845"/>
    </row>
    <row r="49" spans="1:17" s="405" customFormat="1" ht="15">
      <c r="A49" s="862" t="s">
        <v>398</v>
      </c>
      <c r="B49" s="851"/>
      <c r="C49" s="863" t="s">
        <v>415</v>
      </c>
      <c r="D49" s="139"/>
      <c r="E49" s="139"/>
      <c r="F49" s="139"/>
      <c r="G49" s="139"/>
      <c r="H49" s="139"/>
      <c r="I49" s="139"/>
      <c r="J49" s="139"/>
      <c r="K49" s="139"/>
      <c r="L49" s="140"/>
      <c r="M49" s="1049"/>
      <c r="N49" s="2368"/>
      <c r="O49" s="2368"/>
      <c r="P49" s="867"/>
      <c r="Q49" s="845"/>
    </row>
    <row r="50" spans="1:17" s="405"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1"/>
      <c r="E51" s="121"/>
      <c r="F51" s="121"/>
      <c r="G51" s="121"/>
      <c r="H51" s="121"/>
      <c r="I51" s="121"/>
      <c r="J51" s="121"/>
      <c r="K51" s="122"/>
      <c r="L51" s="123"/>
      <c r="M51" s="124"/>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2">
        <f>B11</f>
        <v>111</v>
      </c>
      <c r="C55" s="125"/>
      <c r="D55" s="125"/>
      <c r="E55" s="125"/>
      <c r="F55" s="125"/>
      <c r="G55" s="125"/>
      <c r="H55" s="125"/>
      <c r="I55" s="125"/>
      <c r="J55" s="125"/>
      <c r="K55" s="126"/>
      <c r="L55" s="127"/>
      <c r="M55" s="128"/>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5"/>
      <c r="D57" s="125"/>
      <c r="E57" s="125"/>
      <c r="F57" s="125"/>
      <c r="G57" s="138"/>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5"/>
      <c r="D59" s="125"/>
      <c r="E59" s="125"/>
      <c r="F59" s="125"/>
      <c r="G59" s="138"/>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2668</v>
      </c>
      <c r="C65" s="212" t="s">
        <v>2658</v>
      </c>
      <c r="D65" s="212" t="s">
        <v>2659</v>
      </c>
      <c r="E65" s="212" t="s">
        <v>2660</v>
      </c>
      <c r="F65" s="212" t="s">
        <v>2661</v>
      </c>
      <c r="G65" s="212" t="s">
        <v>2662</v>
      </c>
      <c r="H65" s="880"/>
      <c r="I65" s="880"/>
      <c r="J65" s="880"/>
      <c r="K65" s="880"/>
      <c r="L65" s="880"/>
      <c r="M65" s="2763"/>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431</v>
      </c>
      <c r="C69" s="138"/>
      <c r="D69" s="138"/>
      <c r="E69" s="138"/>
      <c r="F69" s="138"/>
      <c r="G69" s="138"/>
      <c r="H69" s="130"/>
      <c r="I69" s="130"/>
      <c r="J69" s="130"/>
      <c r="K69" s="131"/>
      <c r="L69" s="132"/>
      <c r="M69" s="133"/>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5" customFormat="1" ht="15.75" thickTop="1">
      <c r="A71" s="920"/>
      <c r="B71" s="1052">
        <f>B23</f>
        <v>111</v>
      </c>
      <c r="C71" s="125"/>
      <c r="D71" s="125"/>
      <c r="E71" s="125"/>
      <c r="F71" s="125"/>
      <c r="G71" s="138"/>
      <c r="H71" s="138"/>
      <c r="I71" s="138"/>
      <c r="J71" s="138"/>
      <c r="K71" s="138"/>
      <c r="L71" s="1382"/>
      <c r="M71" s="1383"/>
      <c r="N71" s="2368"/>
      <c r="O71" s="2368"/>
      <c r="P71" s="333"/>
      <c r="Q71" s="845"/>
    </row>
    <row r="72" spans="1:17" s="405" customFormat="1" ht="15.75" thickBot="1">
      <c r="A72" s="920"/>
      <c r="B72" s="1053"/>
      <c r="C72" s="901"/>
      <c r="D72" s="877"/>
      <c r="E72" s="877"/>
      <c r="F72" s="877"/>
      <c r="G72" s="877"/>
      <c r="H72" s="877"/>
      <c r="I72" s="877"/>
      <c r="J72" s="877"/>
      <c r="K72" s="877"/>
      <c r="L72" s="877"/>
      <c r="M72" s="878"/>
      <c r="N72" s="2370"/>
      <c r="O72" s="2370"/>
      <c r="P72" s="333"/>
      <c r="Q72" s="845"/>
    </row>
    <row r="73" spans="1:17" s="405" customFormat="1" ht="15.75" thickTop="1">
      <c r="A73" s="920"/>
      <c r="B73" s="1052">
        <f>B24</f>
        <v>111</v>
      </c>
      <c r="C73" s="125"/>
      <c r="D73" s="125"/>
      <c r="E73" s="125"/>
      <c r="F73" s="125"/>
      <c r="G73" s="138"/>
      <c r="H73" s="138"/>
      <c r="I73" s="138"/>
      <c r="J73" s="138"/>
      <c r="K73" s="138"/>
      <c r="L73" s="138"/>
      <c r="M73" s="1383"/>
      <c r="N73" s="2368"/>
      <c r="O73" s="2368"/>
      <c r="P73" s="333"/>
      <c r="Q73" s="845"/>
    </row>
    <row r="74" spans="1:17" s="405"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5"/>
      <c r="D75" s="125"/>
      <c r="E75" s="125"/>
      <c r="F75" s="125"/>
      <c r="G75" s="138"/>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8"/>
      <c r="D77" s="138"/>
      <c r="E77" s="121"/>
      <c r="F77" s="121"/>
      <c r="G77" s="121"/>
      <c r="H77" s="121"/>
      <c r="I77" s="121"/>
      <c r="J77" s="121"/>
      <c r="K77" s="122"/>
      <c r="L77" s="123"/>
      <c r="M77" s="124"/>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8"/>
      <c r="D82" s="138"/>
      <c r="E82" s="130"/>
      <c r="F82" s="130"/>
      <c r="G82" s="130"/>
      <c r="H82" s="130"/>
      <c r="I82" s="130"/>
      <c r="J82" s="130"/>
      <c r="K82" s="131"/>
      <c r="L82" s="132"/>
      <c r="M82" s="133"/>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476</v>
      </c>
      <c r="C84" s="138"/>
      <c r="D84" s="138"/>
      <c r="E84" s="138"/>
      <c r="F84" s="138"/>
      <c r="G84" s="138"/>
      <c r="H84" s="138"/>
      <c r="I84" s="130"/>
      <c r="J84" s="130"/>
      <c r="K84" s="131"/>
      <c r="L84" s="132"/>
      <c r="M84" s="133"/>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478</v>
      </c>
      <c r="C89" s="138"/>
      <c r="D89" s="138"/>
      <c r="E89" s="138"/>
      <c r="F89" s="138"/>
      <c r="G89" s="138"/>
      <c r="H89" s="138"/>
      <c r="I89" s="138"/>
      <c r="J89" s="138"/>
      <c r="K89" s="138"/>
      <c r="L89" s="138"/>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5"/>
      <c r="D91" s="125"/>
      <c r="E91" s="125"/>
      <c r="F91" s="125"/>
      <c r="G91" s="138"/>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5"/>
      <c r="D93" s="125"/>
      <c r="E93" s="125"/>
      <c r="F93" s="125"/>
      <c r="G93" s="138"/>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0">
        <f>B34</f>
        <v>111</v>
      </c>
      <c r="C95" s="125"/>
      <c r="D95" s="125"/>
      <c r="E95" s="125"/>
      <c r="F95" s="125"/>
      <c r="G95" s="138"/>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582" t="s">
        <v>390</v>
      </c>
      <c r="S4" s="3583"/>
      <c r="T4" s="3582" t="s">
        <v>391</v>
      </c>
      <c r="U4" s="3583"/>
      <c r="V4" s="3607" t="s">
        <v>392</v>
      </c>
      <c r="W4" s="3607"/>
      <c r="X4" s="1316"/>
      <c r="Y4" s="3582" t="s">
        <v>394</v>
      </c>
      <c r="Z4" s="3583"/>
      <c r="AA4" s="3577" t="s">
        <v>390</v>
      </c>
      <c r="AB4" s="3578" t="s">
        <v>391</v>
      </c>
      <c r="AC4" s="3577" t="s">
        <v>392</v>
      </c>
    </row>
    <row r="5" spans="1:29" ht="15">
      <c r="A5" s="745"/>
      <c r="B5" s="746"/>
      <c r="C5" s="3666" t="s">
        <v>1127</v>
      </c>
      <c r="D5" s="3667"/>
      <c r="E5" s="3668" t="s">
        <v>1128</v>
      </c>
      <c r="F5" s="3669"/>
      <c r="G5" s="3666" t="s">
        <v>1131</v>
      </c>
      <c r="H5" s="3667"/>
      <c r="I5" s="3666" t="s">
        <v>1129</v>
      </c>
      <c r="J5" s="3667"/>
      <c r="K5" s="951"/>
      <c r="L5" s="2347"/>
      <c r="M5" s="2348"/>
      <c r="N5" s="2348"/>
      <c r="O5" s="2348"/>
      <c r="P5" s="3601"/>
      <c r="Q5" s="3602"/>
      <c r="R5" s="3584"/>
      <c r="S5" s="3585"/>
      <c r="T5" s="3584"/>
      <c r="U5" s="3585"/>
      <c r="V5" s="3607"/>
      <c r="W5" s="3607"/>
      <c r="X5" s="1316"/>
      <c r="Y5" s="3584"/>
      <c r="Z5" s="3585"/>
      <c r="AA5" s="3578"/>
      <c r="AB5" s="3578"/>
      <c r="AC5" s="3578"/>
    </row>
    <row r="6" spans="1:29" ht="15.75" thickBot="1">
      <c r="A6" s="747"/>
      <c r="B6" s="748"/>
      <c r="C6" s="3721" t="s">
        <v>1130</v>
      </c>
      <c r="D6" s="3722"/>
      <c r="E6" s="3723" t="s">
        <v>1130</v>
      </c>
      <c r="F6" s="3724"/>
      <c r="G6" s="3721" t="s">
        <v>1130</v>
      </c>
      <c r="H6" s="3722"/>
      <c r="I6" s="3721" t="s">
        <v>1130</v>
      </c>
      <c r="J6" s="3722"/>
      <c r="K6" s="951" t="s">
        <v>395</v>
      </c>
      <c r="L6" s="2347"/>
      <c r="M6" s="2348"/>
      <c r="N6" s="2348"/>
      <c r="O6" s="2348"/>
      <c r="P6" s="3603"/>
      <c r="Q6" s="3604"/>
      <c r="R6" s="3584"/>
      <c r="S6" s="3585"/>
      <c r="T6" s="3605"/>
      <c r="U6" s="3606"/>
      <c r="V6" s="3607"/>
      <c r="W6" s="3607"/>
      <c r="X6" s="1316"/>
      <c r="Y6" s="3605"/>
      <c r="Z6" s="3606"/>
      <c r="AA6" s="3579"/>
      <c r="AB6" s="3579"/>
      <c r="AC6" s="3579"/>
    </row>
    <row r="7" spans="1:29" s="405" customFormat="1" ht="15.75" thickBot="1">
      <c r="A7" s="749" t="s">
        <v>396</v>
      </c>
      <c r="B7" s="750"/>
      <c r="C7" s="751">
        <f>'数据-取费表'!B2</f>
        <v>42977</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580" t="s">
        <v>397</v>
      </c>
      <c r="Q7" s="3608"/>
      <c r="R7" s="1317" t="s">
        <v>65</v>
      </c>
      <c r="S7" s="1318">
        <f t="shared" ref="S7:S15" si="0">F7</f>
        <v>0</v>
      </c>
      <c r="T7" s="1317" t="s">
        <v>65</v>
      </c>
      <c r="U7" s="1318">
        <f t="shared" ref="U7:U15" si="1">H7</f>
        <v>0</v>
      </c>
      <c r="V7" s="1317" t="s">
        <v>65</v>
      </c>
      <c r="W7" s="1318">
        <f t="shared" ref="W7:W15" si="2">J7</f>
        <v>0</v>
      </c>
      <c r="X7" s="1319"/>
      <c r="Y7" s="3580" t="s">
        <v>397</v>
      </c>
      <c r="Z7" s="3581"/>
      <c r="AA7" s="1320" t="e">
        <f>D7/F7</f>
        <v>#DIV/0!</v>
      </c>
      <c r="AB7" s="1320" t="e">
        <f>D7/H7</f>
        <v>#DIV/0!</v>
      </c>
      <c r="AC7" s="1320" t="e">
        <f>D7/J7</f>
        <v>#DIV/0!</v>
      </c>
    </row>
    <row r="8" spans="1:29" s="405"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40" si="3">D8/F8</f>
        <v>#DIV/0!</v>
      </c>
      <c r="AB8" s="1320" t="e">
        <f t="shared" ref="AB8:AB40" si="4">D8/H8</f>
        <v>#DIV/0!</v>
      </c>
      <c r="AC8" s="1320" t="e">
        <f t="shared" ref="AC8:AC40" si="5">D8/J8</f>
        <v>#DIV/0!</v>
      </c>
    </row>
    <row r="9" spans="1:29" s="405" customFormat="1">
      <c r="A9" s="756" t="s">
        <v>399</v>
      </c>
      <c r="B9" s="360"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594" t="s">
        <v>400</v>
      </c>
      <c r="Q9" s="295" t="str">
        <f t="shared" ref="Q9:Q15" si="6">B9</f>
        <v>用途</v>
      </c>
      <c r="R9" s="1317" t="s">
        <v>65</v>
      </c>
      <c r="S9" s="1318">
        <f t="shared" si="0"/>
        <v>100</v>
      </c>
      <c r="T9" s="1317" t="s">
        <v>65</v>
      </c>
      <c r="U9" s="1318">
        <f t="shared" si="1"/>
        <v>100</v>
      </c>
      <c r="V9" s="1317" t="s">
        <v>65</v>
      </c>
      <c r="W9" s="1318">
        <f t="shared" si="2"/>
        <v>100</v>
      </c>
      <c r="X9" s="1319"/>
      <c r="Y9" s="3551" t="s">
        <v>401</v>
      </c>
      <c r="Z9" s="343"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101</v>
      </c>
      <c r="G10" s="1022"/>
      <c r="H10" s="424">
        <f>ROUND(100/'数据-取费表'!G16,0)</f>
        <v>101</v>
      </c>
      <c r="I10" s="1022"/>
      <c r="J10" s="424">
        <f>ROUND(100/'数据-取费表'!G16,0)</f>
        <v>101</v>
      </c>
      <c r="K10" s="1079"/>
      <c r="L10" s="2352"/>
      <c r="M10" s="2353"/>
      <c r="N10" s="2353"/>
      <c r="O10" s="2354"/>
      <c r="P10" s="3594"/>
      <c r="Q10" s="295" t="str">
        <f t="shared" si="6"/>
        <v>土地使用年限（年）</v>
      </c>
      <c r="R10" s="1317" t="s">
        <v>65</v>
      </c>
      <c r="S10" s="1318">
        <f t="shared" si="0"/>
        <v>101</v>
      </c>
      <c r="T10" s="1317" t="s">
        <v>65</v>
      </c>
      <c r="U10" s="1318">
        <f t="shared" si="1"/>
        <v>101</v>
      </c>
      <c r="V10" s="1317" t="s">
        <v>65</v>
      </c>
      <c r="W10" s="1318">
        <f t="shared" si="2"/>
        <v>101</v>
      </c>
      <c r="X10" s="1319"/>
      <c r="Y10" s="3551"/>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594"/>
      <c r="Q11" s="295" t="str">
        <f t="shared" si="6"/>
        <v>容积率</v>
      </c>
      <c r="R11" s="1317" t="s">
        <v>65</v>
      </c>
      <c r="S11" s="1318" t="e">
        <f t="shared" si="0"/>
        <v>#N/A</v>
      </c>
      <c r="T11" s="1317" t="s">
        <v>65</v>
      </c>
      <c r="U11" s="1318" t="e">
        <f t="shared" si="1"/>
        <v>#N/A</v>
      </c>
      <c r="V11" s="1317" t="s">
        <v>65</v>
      </c>
      <c r="W11" s="1318" t="e">
        <f t="shared" si="2"/>
        <v>#N/A</v>
      </c>
      <c r="X11" s="1319"/>
      <c r="Y11" s="3551"/>
      <c r="Z11" s="343" t="str">
        <f t="shared" si="7"/>
        <v>容积率</v>
      </c>
      <c r="AA11" s="1320" t="e">
        <f t="shared" si="3"/>
        <v>#N/A</v>
      </c>
      <c r="AB11" s="1320" t="e">
        <f t="shared" si="4"/>
        <v>#N/A</v>
      </c>
      <c r="AC11" s="1320" t="e">
        <f t="shared" si="5"/>
        <v>#N/A</v>
      </c>
    </row>
    <row r="12" spans="1:29" s="405" customFormat="1" ht="15">
      <c r="A12" s="772"/>
      <c r="B12" s="1029">
        <v>111</v>
      </c>
      <c r="C12" s="1022"/>
      <c r="D12" s="774">
        <v>100</v>
      </c>
      <c r="E12" s="125"/>
      <c r="F12" s="424">
        <f>SUMIF(77:77,E12,78:78)-SUMIF(77:77,C12,78:78)+100</f>
        <v>100</v>
      </c>
      <c r="G12" s="202"/>
      <c r="H12" s="424">
        <f>SUMIF(77:77,G12,78:78)-SUMIF(77:77,C12,78:78)+100</f>
        <v>100</v>
      </c>
      <c r="I12" s="125"/>
      <c r="J12" s="424">
        <f>SUMIF(77:77,I12,78:78)-SUMIF(77:77,C12,78:78)+100</f>
        <v>100</v>
      </c>
      <c r="K12" s="1079"/>
      <c r="L12" s="2349"/>
      <c r="M12" s="2350"/>
      <c r="N12" s="2350"/>
      <c r="O12" s="2351"/>
      <c r="P12" s="3594"/>
      <c r="Q12" s="295">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
      <c r="A13" s="769"/>
      <c r="B13" s="1029">
        <v>111</v>
      </c>
      <c r="C13" s="93"/>
      <c r="D13" s="776">
        <v>100</v>
      </c>
      <c r="E13" s="125"/>
      <c r="F13" s="424">
        <f>SUMIF(79:79,E13,80:80)-SUMIF(79:79,C13,80:80)+100</f>
        <v>100</v>
      </c>
      <c r="G13" s="202"/>
      <c r="H13" s="776">
        <f>SUMIF(79:79,G13,80:80)-SUMIF(79:79,C13,80:80)+100</f>
        <v>100</v>
      </c>
      <c r="I13" s="125"/>
      <c r="J13" s="776">
        <f>SUMIF(79:79,I13,80:80)-SUMIF(79:79,C13,80:80)+100</f>
        <v>100</v>
      </c>
      <c r="K13" s="1079"/>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15.75" thickBot="1">
      <c r="A14" s="777"/>
      <c r="B14" s="1030">
        <v>111</v>
      </c>
      <c r="C14" s="94"/>
      <c r="D14" s="779">
        <v>100</v>
      </c>
      <c r="E14" s="125"/>
      <c r="F14" s="779">
        <f>SUMIF(81:81,E14,82:82)-SUMIF(81:81,C14,82:82)+100</f>
        <v>100</v>
      </c>
      <c r="G14" s="202"/>
      <c r="H14" s="779">
        <f>SUMIF(81:81,G14,82:82)-SUMIF(81:81,C14,82:82)+100</f>
        <v>100</v>
      </c>
      <c r="I14" s="125"/>
      <c r="J14" s="779">
        <f>SUMIF(81:81,I14,82:82)-SUMIF(81:81,C14,82:82)+100</f>
        <v>100</v>
      </c>
      <c r="K14" s="1079"/>
      <c r="L14" s="2357"/>
      <c r="M14" s="2348"/>
      <c r="N14" s="2348"/>
      <c r="O14" s="2356"/>
      <c r="P14" s="3594"/>
      <c r="Q14" s="295">
        <f t="shared" si="6"/>
        <v>111</v>
      </c>
      <c r="R14" s="1317" t="s">
        <v>65</v>
      </c>
      <c r="S14" s="1318">
        <f t="shared" si="0"/>
        <v>100</v>
      </c>
      <c r="T14" s="1317" t="s">
        <v>65</v>
      </c>
      <c r="U14" s="1318">
        <f t="shared" si="1"/>
        <v>100</v>
      </c>
      <c r="V14" s="1317" t="s">
        <v>65</v>
      </c>
      <c r="W14" s="1318">
        <f t="shared" si="2"/>
        <v>100</v>
      </c>
      <c r="X14" s="1319"/>
      <c r="Y14" s="3551"/>
      <c r="Z14" s="343">
        <f t="shared" si="7"/>
        <v>111</v>
      </c>
      <c r="AA14" s="1320">
        <f t="shared" si="3"/>
        <v>1</v>
      </c>
      <c r="AB14" s="1320">
        <f t="shared" si="4"/>
        <v>1</v>
      </c>
      <c r="AC14" s="1320">
        <f t="shared" si="5"/>
        <v>1</v>
      </c>
    </row>
    <row r="15" spans="1:29" ht="67.5">
      <c r="A15" s="781" t="s">
        <v>404</v>
      </c>
      <c r="B15" s="970" t="s">
        <v>516</v>
      </c>
      <c r="C15" s="211"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09" t="s">
        <v>405</v>
      </c>
      <c r="Q15" s="1321" t="str">
        <f t="shared" si="6"/>
        <v>产业集聚程度</v>
      </c>
      <c r="R15" s="1322" t="s">
        <v>65</v>
      </c>
      <c r="S15" s="1323">
        <f t="shared" si="0"/>
        <v>100</v>
      </c>
      <c r="T15" s="1322" t="s">
        <v>65</v>
      </c>
      <c r="U15" s="1323">
        <f t="shared" si="1"/>
        <v>100</v>
      </c>
      <c r="V15" s="1322" t="s">
        <v>65</v>
      </c>
      <c r="W15" s="1323">
        <f t="shared" si="2"/>
        <v>100</v>
      </c>
      <c r="X15" s="1316"/>
      <c r="Y15" s="3609" t="s">
        <v>405</v>
      </c>
      <c r="Z15" s="1324" t="str">
        <f t="shared" si="7"/>
        <v>产业集聚程度</v>
      </c>
      <c r="AA15" s="1325">
        <f t="shared" si="3"/>
        <v>1</v>
      </c>
      <c r="AB15" s="1325">
        <f t="shared" si="4"/>
        <v>1</v>
      </c>
      <c r="AC15" s="1325">
        <f t="shared" si="5"/>
        <v>1</v>
      </c>
    </row>
    <row r="16" spans="1:29" ht="15">
      <c r="A16" s="769"/>
      <c r="B16" s="971"/>
      <c r="C16" s="97"/>
      <c r="D16" s="789"/>
      <c r="E16" s="191"/>
      <c r="F16" s="789"/>
      <c r="G16" s="191"/>
      <c r="H16" s="791"/>
      <c r="I16" s="191"/>
      <c r="J16" s="789"/>
      <c r="K16" s="1079"/>
      <c r="L16" s="2357"/>
      <c r="M16" s="2348"/>
      <c r="N16" s="2348"/>
      <c r="O16" s="2356"/>
      <c r="P16" s="3610"/>
      <c r="Q16" s="1321"/>
      <c r="R16" s="1322"/>
      <c r="S16" s="1323"/>
      <c r="T16" s="1322"/>
      <c r="U16" s="1323"/>
      <c r="V16" s="1322"/>
      <c r="W16" s="1323"/>
      <c r="X16" s="1316"/>
      <c r="Y16" s="3610"/>
      <c r="Z16" s="1324"/>
      <c r="AA16" s="1325">
        <v>1</v>
      </c>
      <c r="AB16" s="1325">
        <v>1</v>
      </c>
      <c r="AC16" s="1325">
        <v>1</v>
      </c>
    </row>
    <row r="17" spans="1:29" ht="94.5">
      <c r="A17" s="769"/>
      <c r="B17" s="972" t="s">
        <v>454</v>
      </c>
      <c r="C17" s="157"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10"/>
      <c r="Q17" s="1321" t="str">
        <f>B17</f>
        <v>交通便捷度</v>
      </c>
      <c r="R17" s="1322" t="s">
        <v>65</v>
      </c>
      <c r="S17" s="1323">
        <f>F17</f>
        <v>100</v>
      </c>
      <c r="T17" s="1322" t="s">
        <v>65</v>
      </c>
      <c r="U17" s="1323">
        <f>H17</f>
        <v>100</v>
      </c>
      <c r="V17" s="1322" t="s">
        <v>65</v>
      </c>
      <c r="W17" s="1323">
        <f>J17</f>
        <v>100</v>
      </c>
      <c r="X17" s="1316"/>
      <c r="Y17" s="3610"/>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610"/>
      <c r="Q18" s="1321"/>
      <c r="R18" s="1322"/>
      <c r="S18" s="1323"/>
      <c r="T18" s="1322"/>
      <c r="U18" s="1323"/>
      <c r="V18" s="1322"/>
      <c r="W18" s="1323"/>
      <c r="X18" s="1316"/>
      <c r="Y18" s="3610"/>
      <c r="Z18" s="1324"/>
      <c r="AA18" s="1325">
        <v>1</v>
      </c>
      <c r="AB18" s="1325">
        <v>1</v>
      </c>
      <c r="AC18" s="1325">
        <v>1</v>
      </c>
    </row>
    <row r="19" spans="1:29" ht="27">
      <c r="A19" s="769"/>
      <c r="B19" s="972" t="s">
        <v>1849</v>
      </c>
      <c r="C19" s="157">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10"/>
      <c r="Q19" s="1321" t="str">
        <f t="shared" ref="Q19:Q33" si="8">B19</f>
        <v>区域土地利用方向</v>
      </c>
      <c r="R19" s="1322" t="s">
        <v>65</v>
      </c>
      <c r="S19" s="1323">
        <f>F19</f>
        <v>100</v>
      </c>
      <c r="T19" s="1322" t="s">
        <v>65</v>
      </c>
      <c r="U19" s="1323">
        <f>H19</f>
        <v>100</v>
      </c>
      <c r="V19" s="1322" t="s">
        <v>65</v>
      </c>
      <c r="W19" s="1323">
        <f>J19</f>
        <v>100</v>
      </c>
      <c r="X19" s="1316"/>
      <c r="Y19" s="3610"/>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7"/>
      <c r="M20" s="2348"/>
      <c r="N20" s="2348"/>
      <c r="O20" s="2356"/>
      <c r="P20" s="3610"/>
      <c r="Q20" s="1468"/>
      <c r="R20" s="1322"/>
      <c r="S20" s="1323"/>
      <c r="T20" s="1322"/>
      <c r="U20" s="1323"/>
      <c r="V20" s="1322"/>
      <c r="W20" s="1323"/>
      <c r="X20" s="1467"/>
      <c r="Y20" s="3610"/>
      <c r="Z20" s="1469"/>
      <c r="AA20" s="1325"/>
      <c r="AB20" s="1325"/>
      <c r="AC20" s="1325"/>
    </row>
    <row r="21" spans="1:29" ht="81">
      <c r="A21" s="745"/>
      <c r="B21" s="972" t="s">
        <v>517</v>
      </c>
      <c r="C21" s="157"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10"/>
      <c r="Q21" s="1321" t="str">
        <f t="shared" si="8"/>
        <v>环境状况</v>
      </c>
      <c r="R21" s="1322" t="s">
        <v>65</v>
      </c>
      <c r="S21" s="1323">
        <f>F21</f>
        <v>100</v>
      </c>
      <c r="T21" s="1322" t="s">
        <v>65</v>
      </c>
      <c r="U21" s="1323">
        <f>H21</f>
        <v>100</v>
      </c>
      <c r="V21" s="1322" t="s">
        <v>65</v>
      </c>
      <c r="W21" s="1323">
        <f>J21</f>
        <v>100</v>
      </c>
      <c r="X21" s="1316"/>
      <c r="Y21" s="3610"/>
      <c r="Z21" s="1324" t="str">
        <f>Q21</f>
        <v>环境状况</v>
      </c>
      <c r="AA21" s="1325">
        <f t="shared" si="3"/>
        <v>1</v>
      </c>
      <c r="AB21" s="1325">
        <f t="shared" si="4"/>
        <v>1</v>
      </c>
      <c r="AC21" s="1325">
        <f t="shared" si="5"/>
        <v>1</v>
      </c>
    </row>
    <row r="22" spans="1:29" ht="15">
      <c r="A22" s="745"/>
      <c r="B22" s="973"/>
      <c r="C22" s="97"/>
      <c r="D22" s="789"/>
      <c r="E22" s="191"/>
      <c r="F22" s="789"/>
      <c r="G22" s="191"/>
      <c r="H22" s="789"/>
      <c r="I22" s="97"/>
      <c r="J22" s="789"/>
      <c r="K22" s="1079"/>
      <c r="L22" s="2357"/>
      <c r="M22" s="2348"/>
      <c r="N22" s="2348"/>
      <c r="O22" s="2356"/>
      <c r="P22" s="3610"/>
      <c r="Q22" s="1321"/>
      <c r="R22" s="1322"/>
      <c r="S22" s="1323"/>
      <c r="T22" s="1322"/>
      <c r="U22" s="1323"/>
      <c r="V22" s="1322"/>
      <c r="W22" s="1323"/>
      <c r="X22" s="1316"/>
      <c r="Y22" s="3610"/>
      <c r="Z22" s="1324"/>
      <c r="AA22" s="1325">
        <v>1</v>
      </c>
      <c r="AB22" s="1325">
        <v>1</v>
      </c>
      <c r="AC22" s="1325">
        <v>1</v>
      </c>
    </row>
    <row r="23" spans="1:29" s="405" customFormat="1" ht="40.5">
      <c r="A23" s="990"/>
      <c r="B23" s="1034" t="s">
        <v>2670</v>
      </c>
      <c r="C23" s="157"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10"/>
      <c r="Q23" s="295" t="str">
        <f t="shared" si="8"/>
        <v>公共配套设施</v>
      </c>
      <c r="R23" s="1317" t="s">
        <v>65</v>
      </c>
      <c r="S23" s="1318">
        <f>F23</f>
        <v>100</v>
      </c>
      <c r="T23" s="1317" t="s">
        <v>65</v>
      </c>
      <c r="U23" s="1318">
        <f>H23</f>
        <v>100</v>
      </c>
      <c r="V23" s="1317" t="s">
        <v>65</v>
      </c>
      <c r="W23" s="1318">
        <f>J23</f>
        <v>100</v>
      </c>
      <c r="X23" s="1319"/>
      <c r="Y23" s="3610"/>
      <c r="Z23" s="343" t="str">
        <f>Q23</f>
        <v>公共配套设施</v>
      </c>
      <c r="AA23" s="1325">
        <f>D23/F23</f>
        <v>1</v>
      </c>
      <c r="AB23" s="1325">
        <f>D23/H23</f>
        <v>1</v>
      </c>
      <c r="AC23" s="1325">
        <f>D23/J23</f>
        <v>1</v>
      </c>
    </row>
    <row r="24" spans="1:29" s="405" customFormat="1" ht="15">
      <c r="A24" s="990"/>
      <c r="B24" s="973"/>
      <c r="C24" s="2773"/>
      <c r="D24" s="789"/>
      <c r="E24" s="191"/>
      <c r="F24" s="789"/>
      <c r="G24" s="191"/>
      <c r="H24" s="789"/>
      <c r="I24" s="97"/>
      <c r="J24" s="789"/>
      <c r="K24" s="1079"/>
      <c r="L24" s="2349"/>
      <c r="M24" s="2350"/>
      <c r="N24" s="2350"/>
      <c r="O24" s="2351"/>
      <c r="P24" s="3610"/>
      <c r="Q24" s="295"/>
      <c r="R24" s="1317"/>
      <c r="S24" s="1318"/>
      <c r="T24" s="1317"/>
      <c r="U24" s="1318"/>
      <c r="V24" s="1317"/>
      <c r="W24" s="1318"/>
      <c r="X24" s="1319"/>
      <c r="Y24" s="3610"/>
      <c r="Z24" s="343"/>
      <c r="AA24" s="1320">
        <v>1</v>
      </c>
      <c r="AB24" s="1320">
        <v>1</v>
      </c>
      <c r="AC24" s="1320">
        <v>1</v>
      </c>
    </row>
    <row r="25" spans="1:29" s="405" customFormat="1" ht="40.5">
      <c r="A25" s="990"/>
      <c r="B25" s="1034" t="s">
        <v>2671</v>
      </c>
      <c r="C25" s="157"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10"/>
      <c r="Q25" s="2742" t="str">
        <f t="shared" ref="Q25" si="9">B25</f>
        <v>基础设施水平</v>
      </c>
      <c r="R25" s="1317" t="s">
        <v>65</v>
      </c>
      <c r="S25" s="1318">
        <f>F25</f>
        <v>100</v>
      </c>
      <c r="T25" s="1317" t="s">
        <v>65</v>
      </c>
      <c r="U25" s="1318">
        <f>H25</f>
        <v>100</v>
      </c>
      <c r="V25" s="1317" t="s">
        <v>65</v>
      </c>
      <c r="W25" s="1318">
        <f>J25</f>
        <v>100</v>
      </c>
      <c r="X25" s="1319"/>
      <c r="Y25" s="3610"/>
      <c r="Z25" s="343" t="str">
        <f>Q25</f>
        <v>基础设施水平</v>
      </c>
      <c r="AA25" s="1325">
        <f>D25/F25</f>
        <v>1</v>
      </c>
      <c r="AB25" s="1325">
        <f>D25/H25</f>
        <v>1</v>
      </c>
      <c r="AC25" s="1325">
        <f>D25/J25</f>
        <v>1</v>
      </c>
    </row>
    <row r="26" spans="1:29" s="405" customFormat="1" ht="15">
      <c r="A26" s="990"/>
      <c r="B26" s="973"/>
      <c r="C26" s="2773"/>
      <c r="D26" s="789"/>
      <c r="E26" s="1035"/>
      <c r="F26" s="789"/>
      <c r="G26" s="1035"/>
      <c r="H26" s="789"/>
      <c r="I26" s="1035"/>
      <c r="J26" s="789"/>
      <c r="K26" s="1079"/>
      <c r="L26" s="2349"/>
      <c r="M26" s="2350"/>
      <c r="N26" s="2350"/>
      <c r="O26" s="2351"/>
      <c r="P26" s="3610"/>
      <c r="Q26" s="2742"/>
      <c r="R26" s="1317"/>
      <c r="S26" s="1318"/>
      <c r="T26" s="1317"/>
      <c r="U26" s="1318"/>
      <c r="V26" s="1317"/>
      <c r="W26" s="1318"/>
      <c r="X26" s="1319"/>
      <c r="Y26" s="3610"/>
      <c r="Z26" s="343"/>
      <c r="AA26" s="1320">
        <v>1</v>
      </c>
      <c r="AB26" s="1320">
        <v>1</v>
      </c>
      <c r="AC26" s="1320">
        <v>1</v>
      </c>
    </row>
    <row r="27" spans="1:29" ht="15">
      <c r="A27" s="769"/>
      <c r="B27" s="973" t="s">
        <v>435</v>
      </c>
      <c r="C27" s="181"/>
      <c r="D27" s="776">
        <v>100</v>
      </c>
      <c r="E27" s="194"/>
      <c r="F27" s="776">
        <f>SUMIF(95:95,E27,96:96)-SUMIF(95:95,C27,96:96)+100</f>
        <v>100</v>
      </c>
      <c r="G27" s="194"/>
      <c r="H27" s="776">
        <f>SUMIF(95:95,G27,96:96)-SUMIF(95:95,C27,96:96)+100</f>
        <v>100</v>
      </c>
      <c r="I27" s="194"/>
      <c r="J27" s="776">
        <f>SUMIF(95:95,I27,96:96)-SUMIF(95:95,C27,96:96)+100</f>
        <v>100</v>
      </c>
      <c r="K27" s="1080"/>
      <c r="L27" s="2357"/>
      <c r="M27" s="2348"/>
      <c r="N27" s="2348"/>
      <c r="O27" s="2356"/>
      <c r="P27" s="3610"/>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10"/>
      <c r="Z27" s="1324" t="str">
        <f t="shared" ref="Z27:Z40" si="13">Q27</f>
        <v>临街状况</v>
      </c>
      <c r="AA27" s="1325">
        <f t="shared" si="3"/>
        <v>1</v>
      </c>
      <c r="AB27" s="1325">
        <f t="shared" si="4"/>
        <v>1</v>
      </c>
      <c r="AC27" s="1325">
        <f t="shared" si="5"/>
        <v>1</v>
      </c>
    </row>
    <row r="28" spans="1:29" ht="27">
      <c r="A28" s="769"/>
      <c r="B28" s="974"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10"/>
      <c r="Q28" s="1321" t="str">
        <f t="shared" si="8"/>
        <v>毗邻道路的类型与等级</v>
      </c>
      <c r="R28" s="1322" t="s">
        <v>65</v>
      </c>
      <c r="S28" s="1323">
        <f t="shared" si="10"/>
        <v>100</v>
      </c>
      <c r="T28" s="1322" t="s">
        <v>65</v>
      </c>
      <c r="U28" s="1323">
        <f t="shared" si="11"/>
        <v>100</v>
      </c>
      <c r="V28" s="1322" t="s">
        <v>65</v>
      </c>
      <c r="W28" s="1323">
        <f t="shared" si="12"/>
        <v>100</v>
      </c>
      <c r="X28" s="1316"/>
      <c r="Y28" s="3610"/>
      <c r="Z28" s="1324" t="str">
        <f t="shared" si="13"/>
        <v>毗邻道路的类型与等级</v>
      </c>
      <c r="AA28" s="1325">
        <f t="shared" si="3"/>
        <v>1</v>
      </c>
      <c r="AB28" s="1325">
        <f t="shared" si="4"/>
        <v>1</v>
      </c>
      <c r="AC28" s="1325">
        <f t="shared" si="5"/>
        <v>1</v>
      </c>
    </row>
    <row r="29" spans="1:29" ht="15">
      <c r="A29" s="769"/>
      <c r="B29" s="973"/>
      <c r="C29" s="97"/>
      <c r="D29" s="789"/>
      <c r="E29" s="191"/>
      <c r="F29" s="789"/>
      <c r="G29" s="191"/>
      <c r="H29" s="789"/>
      <c r="I29" s="191"/>
      <c r="J29" s="789"/>
      <c r="K29" s="954"/>
      <c r="L29" s="2357"/>
      <c r="M29" s="2348"/>
      <c r="N29" s="2348"/>
      <c r="O29" s="2356"/>
      <c r="P29" s="3610"/>
      <c r="Q29" s="1321"/>
      <c r="R29" s="1322"/>
      <c r="S29" s="1323"/>
      <c r="T29" s="1322"/>
      <c r="U29" s="1323"/>
      <c r="V29" s="1322"/>
      <c r="W29" s="1323"/>
      <c r="X29" s="1316"/>
      <c r="Y29" s="3610"/>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10"/>
      <c r="Q30" s="1321" t="str">
        <f t="shared" si="8"/>
        <v>土地级别</v>
      </c>
      <c r="R30" s="1322" t="s">
        <v>65</v>
      </c>
      <c r="S30" s="1323">
        <f t="shared" si="10"/>
        <v>100</v>
      </c>
      <c r="T30" s="1322" t="s">
        <v>65</v>
      </c>
      <c r="U30" s="1323">
        <f t="shared" si="11"/>
        <v>100</v>
      </c>
      <c r="V30" s="1322" t="s">
        <v>65</v>
      </c>
      <c r="W30" s="1323">
        <f t="shared" si="12"/>
        <v>100</v>
      </c>
      <c r="X30" s="1316"/>
      <c r="Y30" s="3610"/>
      <c r="Z30" s="1324" t="str">
        <f t="shared" si="13"/>
        <v>土地级别</v>
      </c>
      <c r="AA30" s="1325">
        <f t="shared" si="3"/>
        <v>1</v>
      </c>
      <c r="AB30" s="1325">
        <f t="shared" si="4"/>
        <v>1</v>
      </c>
      <c r="AC30" s="1325">
        <f t="shared" si="5"/>
        <v>1</v>
      </c>
    </row>
    <row r="31" spans="1:29" ht="15">
      <c r="A31" s="745"/>
      <c r="B31" s="1036">
        <v>111</v>
      </c>
      <c r="C31" s="202"/>
      <c r="D31" s="776">
        <v>100</v>
      </c>
      <c r="E31" s="113"/>
      <c r="F31" s="776">
        <f>SUMIF(101:101,E31,102:102)-SUMIF(101:101,C31,102:102)+100</f>
        <v>100</v>
      </c>
      <c r="G31" s="113"/>
      <c r="H31" s="776">
        <f>SUMIF(101:101,G31,102:102)-SUMIF(101:101,C31,102:102)+100</f>
        <v>100</v>
      </c>
      <c r="I31" s="125"/>
      <c r="J31" s="776">
        <f>SUMIF(101:101,I31,102:102)-SUMIF(101:101,C31,102:102)+100</f>
        <v>100</v>
      </c>
      <c r="K31" s="954"/>
      <c r="L31" s="2357"/>
      <c r="M31" s="2348"/>
      <c r="N31" s="2348"/>
      <c r="O31" s="2356"/>
      <c r="P31" s="3610"/>
      <c r="Q31" s="1321">
        <f t="shared" si="8"/>
        <v>111</v>
      </c>
      <c r="R31" s="1322" t="s">
        <v>65</v>
      </c>
      <c r="S31" s="1323">
        <f t="shared" si="10"/>
        <v>100</v>
      </c>
      <c r="T31" s="1322" t="s">
        <v>65</v>
      </c>
      <c r="U31" s="1323">
        <f t="shared" si="11"/>
        <v>100</v>
      </c>
      <c r="V31" s="1322" t="s">
        <v>65</v>
      </c>
      <c r="W31" s="1323">
        <f t="shared" si="12"/>
        <v>100</v>
      </c>
      <c r="X31" s="1316"/>
      <c r="Y31" s="3610"/>
      <c r="Z31" s="1324">
        <f t="shared" si="13"/>
        <v>111</v>
      </c>
      <c r="AA31" s="1325">
        <f t="shared" si="3"/>
        <v>1</v>
      </c>
      <c r="AB31" s="1325">
        <f t="shared" si="4"/>
        <v>1</v>
      </c>
      <c r="AC31" s="1325">
        <f t="shared" si="5"/>
        <v>1</v>
      </c>
    </row>
    <row r="32" spans="1:29" ht="15">
      <c r="A32" s="1082"/>
      <c r="B32" s="203">
        <v>111</v>
      </c>
      <c r="C32" s="202"/>
      <c r="D32" s="776">
        <v>100</v>
      </c>
      <c r="E32" s="113"/>
      <c r="F32" s="776">
        <f>SUMIF(103:103,E33,104:104)-SUMIF(103:103,C33,104:104)+100</f>
        <v>100</v>
      </c>
      <c r="G32" s="113"/>
      <c r="H32" s="776">
        <f>SUMIF(103:103,G32,104:104)-SUMIF(103:103,C32,104:104)+100</f>
        <v>100</v>
      </c>
      <c r="I32" s="202"/>
      <c r="J32" s="776">
        <f>SUMIF(103:103,I32,104:104)-SUMIF(103:103,C32,104:104)+100</f>
        <v>100</v>
      </c>
      <c r="K32" s="954"/>
      <c r="L32" s="2357"/>
      <c r="M32" s="2348"/>
      <c r="N32" s="2348"/>
      <c r="O32" s="2356"/>
      <c r="P32" s="3611" t="s">
        <v>407</v>
      </c>
      <c r="Q32" s="1321">
        <f t="shared" si="8"/>
        <v>111</v>
      </c>
      <c r="R32" s="1322" t="s">
        <v>65</v>
      </c>
      <c r="S32" s="1323">
        <f t="shared" si="10"/>
        <v>100</v>
      </c>
      <c r="T32" s="1322" t="s">
        <v>65</v>
      </c>
      <c r="U32" s="1323">
        <f t="shared" si="11"/>
        <v>100</v>
      </c>
      <c r="V32" s="1322" t="s">
        <v>65</v>
      </c>
      <c r="W32" s="1323">
        <f t="shared" si="12"/>
        <v>100</v>
      </c>
      <c r="X32" s="1316"/>
      <c r="Y32" s="3612" t="s">
        <v>407</v>
      </c>
      <c r="Z32" s="1324">
        <f t="shared" si="13"/>
        <v>111</v>
      </c>
      <c r="AA32" s="1325">
        <f t="shared" si="3"/>
        <v>1</v>
      </c>
      <c r="AB32" s="1325">
        <f t="shared" si="4"/>
        <v>1</v>
      </c>
      <c r="AC32" s="1325">
        <f t="shared" si="5"/>
        <v>1</v>
      </c>
    </row>
    <row r="33" spans="1:29" s="812" customFormat="1" ht="15.75" thickBot="1">
      <c r="A33" s="1083"/>
      <c r="B33" s="3296">
        <v>111</v>
      </c>
      <c r="C33" s="204"/>
      <c r="D33" s="425">
        <v>100</v>
      </c>
      <c r="E33" s="284"/>
      <c r="F33" s="779">
        <f>SUMIF(105:105,E33,106:106)-SUMIF(105:105,C33,106:106)+100</f>
        <v>100</v>
      </c>
      <c r="G33" s="284"/>
      <c r="H33" s="779">
        <f>SUMIF(105:105,G33,106:106)-SUMIF(105:105,C33,106:106)+100</f>
        <v>100</v>
      </c>
      <c r="I33" s="204"/>
      <c r="J33" s="779">
        <f>SUMIF(105:105,I33,106:106)-SUMIF(105:105,C33,106:106)+100</f>
        <v>100</v>
      </c>
      <c r="K33" s="954"/>
      <c r="L33" s="2355"/>
      <c r="M33" s="2358"/>
      <c r="N33" s="2358"/>
      <c r="O33" s="2359"/>
      <c r="P33" s="3612"/>
      <c r="Q33" s="1321">
        <f t="shared" si="8"/>
        <v>111</v>
      </c>
      <c r="R33" s="1327" t="s">
        <v>65</v>
      </c>
      <c r="S33" s="1328">
        <f t="shared" si="10"/>
        <v>100</v>
      </c>
      <c r="T33" s="1327" t="s">
        <v>65</v>
      </c>
      <c r="U33" s="1328">
        <f t="shared" si="11"/>
        <v>100</v>
      </c>
      <c r="V33" s="1327" t="s">
        <v>65</v>
      </c>
      <c r="W33" s="1328">
        <f t="shared" si="12"/>
        <v>100</v>
      </c>
      <c r="X33" s="1329"/>
      <c r="Y33" s="3612"/>
      <c r="Z33" s="1330">
        <f t="shared" si="13"/>
        <v>111</v>
      </c>
      <c r="AA33" s="1325">
        <f t="shared" si="3"/>
        <v>1</v>
      </c>
      <c r="AB33" s="1325">
        <f t="shared" si="4"/>
        <v>1</v>
      </c>
      <c r="AC33" s="1325">
        <f t="shared" si="5"/>
        <v>1</v>
      </c>
    </row>
    <row r="34" spans="1:29" ht="15">
      <c r="A34" s="781" t="s">
        <v>2796</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12"/>
      <c r="Q34" s="1321" t="str">
        <f>B34</f>
        <v>宗地面积</v>
      </c>
      <c r="R34" s="1322" t="s">
        <v>65</v>
      </c>
      <c r="S34" s="1323" t="e">
        <f t="shared" si="10"/>
        <v>#N/A</v>
      </c>
      <c r="T34" s="1322" t="s">
        <v>65</v>
      </c>
      <c r="U34" s="1323" t="e">
        <f t="shared" si="11"/>
        <v>#N/A</v>
      </c>
      <c r="V34" s="1322" t="s">
        <v>65</v>
      </c>
      <c r="W34" s="1323" t="e">
        <f t="shared" si="12"/>
        <v>#N/A</v>
      </c>
      <c r="X34" s="1316"/>
      <c r="Y34" s="3612"/>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12"/>
      <c r="Q35" s="1321" t="str">
        <f t="shared" ref="Q35:Q40" si="14">B35</f>
        <v>宗地形状</v>
      </c>
      <c r="R35" s="1322" t="s">
        <v>65</v>
      </c>
      <c r="S35" s="1323">
        <f t="shared" si="10"/>
        <v>100</v>
      </c>
      <c r="T35" s="1322" t="s">
        <v>65</v>
      </c>
      <c r="U35" s="1323">
        <f t="shared" si="11"/>
        <v>100</v>
      </c>
      <c r="V35" s="1322" t="s">
        <v>65</v>
      </c>
      <c r="W35" s="1323">
        <f t="shared" si="12"/>
        <v>100</v>
      </c>
      <c r="X35" s="1316"/>
      <c r="Y35" s="3612"/>
      <c r="Z35" s="1324" t="str">
        <f t="shared" si="13"/>
        <v>宗地形状</v>
      </c>
      <c r="AA35" s="1325">
        <f t="shared" si="3"/>
        <v>1</v>
      </c>
      <c r="AB35" s="1325">
        <f t="shared" si="4"/>
        <v>1</v>
      </c>
      <c r="AC35" s="1325">
        <f t="shared" si="5"/>
        <v>1</v>
      </c>
    </row>
    <row r="36" spans="1:29" s="405" customFormat="1" ht="15">
      <c r="A36" s="814"/>
      <c r="B36" s="2608" t="s">
        <v>2503</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12"/>
      <c r="Q36" s="1321" t="str">
        <f t="shared" si="14"/>
        <v>宗地开发程度</v>
      </c>
      <c r="R36" s="1317" t="s">
        <v>65</v>
      </c>
      <c r="S36" s="1318">
        <f t="shared" si="10"/>
        <v>100</v>
      </c>
      <c r="T36" s="1317" t="s">
        <v>65</v>
      </c>
      <c r="U36" s="1318">
        <f t="shared" si="11"/>
        <v>100</v>
      </c>
      <c r="V36" s="1317" t="s">
        <v>65</v>
      </c>
      <c r="W36" s="1318">
        <f t="shared" si="12"/>
        <v>100</v>
      </c>
      <c r="X36" s="1319"/>
      <c r="Y36" s="3612"/>
      <c r="Z36" s="343"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12" t="s">
        <v>518</v>
      </c>
      <c r="Q37" s="1321" t="str">
        <f t="shared" si="14"/>
        <v>工程地质条件</v>
      </c>
      <c r="R37" s="1322" t="s">
        <v>65</v>
      </c>
      <c r="S37" s="1323">
        <f t="shared" si="10"/>
        <v>100</v>
      </c>
      <c r="T37" s="1322" t="s">
        <v>65</v>
      </c>
      <c r="U37" s="1323">
        <f t="shared" si="11"/>
        <v>100</v>
      </c>
      <c r="V37" s="1322" t="s">
        <v>65</v>
      </c>
      <c r="W37" s="1323">
        <f t="shared" si="12"/>
        <v>100</v>
      </c>
      <c r="X37" s="1316"/>
      <c r="Y37" s="3612" t="s">
        <v>518</v>
      </c>
      <c r="Z37" s="1324" t="str">
        <f t="shared" si="13"/>
        <v>工程地质条件</v>
      </c>
      <c r="AA37" s="1325">
        <f t="shared" si="3"/>
        <v>1</v>
      </c>
      <c r="AB37" s="1325">
        <f t="shared" si="4"/>
        <v>1</v>
      </c>
      <c r="AC37" s="1325">
        <f t="shared" si="5"/>
        <v>1</v>
      </c>
    </row>
    <row r="38" spans="1:29" ht="15">
      <c r="A38" s="813"/>
      <c r="B38" s="205">
        <v>111</v>
      </c>
      <c r="C38" s="202"/>
      <c r="D38" s="776">
        <v>100</v>
      </c>
      <c r="E38" s="202"/>
      <c r="F38" s="776">
        <f>SUMIF(116:116,E38,117:117)-SUMIF(116:116,C38,117:117)+100</f>
        <v>100</v>
      </c>
      <c r="G38" s="202"/>
      <c r="H38" s="776">
        <f>SUMIF(116:116,G38,117:117)-SUMIF(116:116,C38,117:117)+100</f>
        <v>100</v>
      </c>
      <c r="I38" s="125"/>
      <c r="J38" s="776">
        <f>SUMIF(116:116,I38,117:117)-SUMIF(116:116,C38,117:117)+100</f>
        <v>100</v>
      </c>
      <c r="K38" s="954"/>
      <c r="L38" s="2357"/>
      <c r="M38" s="2348"/>
      <c r="N38" s="2348"/>
      <c r="O38" s="2356"/>
      <c r="P38" s="3612"/>
      <c r="Q38" s="1321">
        <f t="shared" si="14"/>
        <v>111</v>
      </c>
      <c r="R38" s="1322" t="s">
        <v>65</v>
      </c>
      <c r="S38" s="1323">
        <f t="shared" si="10"/>
        <v>100</v>
      </c>
      <c r="T38" s="1322" t="s">
        <v>65</v>
      </c>
      <c r="U38" s="1323">
        <f t="shared" si="11"/>
        <v>100</v>
      </c>
      <c r="V38" s="1322" t="s">
        <v>65</v>
      </c>
      <c r="W38" s="1323">
        <f t="shared" si="12"/>
        <v>100</v>
      </c>
      <c r="X38" s="1316"/>
      <c r="Y38" s="3612"/>
      <c r="Z38" s="1324">
        <f t="shared" si="13"/>
        <v>111</v>
      </c>
      <c r="AA38" s="1325">
        <f t="shared" si="3"/>
        <v>1</v>
      </c>
      <c r="AB38" s="1325">
        <f t="shared" si="4"/>
        <v>1</v>
      </c>
      <c r="AC38" s="1325">
        <f t="shared" si="5"/>
        <v>1</v>
      </c>
    </row>
    <row r="39" spans="1:29" ht="15">
      <c r="A39" s="813"/>
      <c r="B39" s="205">
        <v>111</v>
      </c>
      <c r="C39" s="202"/>
      <c r="D39" s="776">
        <v>100</v>
      </c>
      <c r="E39" s="202"/>
      <c r="F39" s="776">
        <f>SUMIF(118:118,E39,119:119)-SUMIF(118:118,C39,119:119)+100</f>
        <v>100</v>
      </c>
      <c r="G39" s="202"/>
      <c r="H39" s="776">
        <f>SUMIF(118:118,G39,119:119)-SUMIF(118:118,C39,119:119)+100</f>
        <v>100</v>
      </c>
      <c r="I39" s="125"/>
      <c r="J39" s="776">
        <f>SUMIF(118:118,I39,119:119)-SUMIF(118:118,C39,119:119)+100</f>
        <v>100</v>
      </c>
      <c r="K39" s="954"/>
      <c r="L39" s="2357"/>
      <c r="M39" s="2348"/>
      <c r="N39" s="2348"/>
      <c r="O39" s="2356"/>
      <c r="P39" s="3612"/>
      <c r="Q39" s="1321">
        <f t="shared" si="14"/>
        <v>111</v>
      </c>
      <c r="R39" s="1322" t="s">
        <v>65</v>
      </c>
      <c r="S39" s="1323">
        <f t="shared" si="10"/>
        <v>100</v>
      </c>
      <c r="T39" s="1322" t="s">
        <v>65</v>
      </c>
      <c r="U39" s="1323">
        <f t="shared" si="11"/>
        <v>100</v>
      </c>
      <c r="V39" s="1322" t="s">
        <v>65</v>
      </c>
      <c r="W39" s="1323">
        <f t="shared" si="12"/>
        <v>100</v>
      </c>
      <c r="X39" s="1316"/>
      <c r="Y39" s="3612"/>
      <c r="Z39" s="1324">
        <f t="shared" si="13"/>
        <v>111</v>
      </c>
      <c r="AA39" s="1325">
        <f t="shared" si="3"/>
        <v>1</v>
      </c>
      <c r="AB39" s="1325">
        <f t="shared" si="4"/>
        <v>1</v>
      </c>
      <c r="AC39" s="1325">
        <f t="shared" si="5"/>
        <v>1</v>
      </c>
    </row>
    <row r="40" spans="1:29" s="812" customFormat="1" ht="15.75" thickBot="1">
      <c r="A40" s="809"/>
      <c r="B40" s="205">
        <v>111</v>
      </c>
      <c r="C40" s="1042"/>
      <c r="D40" s="425">
        <v>100</v>
      </c>
      <c r="E40" s="202"/>
      <c r="F40" s="779">
        <f>SUMIF(120:120,E40,121:121)-SUMIF(120:120,C40,121:121)+100</f>
        <v>100</v>
      </c>
      <c r="G40" s="202"/>
      <c r="H40" s="779">
        <f>SUMIF(120:120,G40,121:121)-SUMIF(120:120,C40,121:121)+100</f>
        <v>100</v>
      </c>
      <c r="I40" s="125"/>
      <c r="J40" s="779">
        <f>SUMIF(120:120,I40,121:121)-SUMIF(120:120,C40,121:121)+100</f>
        <v>100</v>
      </c>
      <c r="K40" s="1088"/>
      <c r="L40" s="2355"/>
      <c r="M40" s="2358"/>
      <c r="N40" s="2358"/>
      <c r="O40" s="2359"/>
      <c r="P40" s="3612"/>
      <c r="Q40" s="1321">
        <f t="shared" si="14"/>
        <v>111</v>
      </c>
      <c r="R40" s="1327" t="s">
        <v>65</v>
      </c>
      <c r="S40" s="1328">
        <f t="shared" si="10"/>
        <v>100</v>
      </c>
      <c r="T40" s="1327" t="s">
        <v>65</v>
      </c>
      <c r="U40" s="1328">
        <f t="shared" si="11"/>
        <v>100</v>
      </c>
      <c r="V40" s="1327" t="s">
        <v>65</v>
      </c>
      <c r="W40" s="1328">
        <f t="shared" si="12"/>
        <v>100</v>
      </c>
      <c r="X40" s="1329"/>
      <c r="Y40" s="3612"/>
      <c r="Z40" s="1330">
        <f t="shared" si="13"/>
        <v>111</v>
      </c>
      <c r="AA40" s="1325">
        <f t="shared" si="3"/>
        <v>1</v>
      </c>
      <c r="AB40" s="1325">
        <f t="shared" si="4"/>
        <v>1</v>
      </c>
      <c r="AC40" s="1325">
        <f t="shared" si="5"/>
        <v>1</v>
      </c>
    </row>
    <row r="41" spans="1:29" ht="15">
      <c r="A41" s="820" t="s">
        <v>488</v>
      </c>
      <c r="B41" s="206" t="s">
        <v>3025</v>
      </c>
      <c r="C41" s="1089" t="s">
        <v>23</v>
      </c>
      <c r="D41" s="822"/>
      <c r="E41" s="823"/>
      <c r="F41" s="824"/>
      <c r="G41" s="825"/>
      <c r="H41" s="826"/>
      <c r="I41" s="823"/>
      <c r="J41" s="826"/>
      <c r="K41" s="1398"/>
      <c r="L41" s="2360"/>
      <c r="M41" s="2348"/>
      <c r="N41" s="2348"/>
      <c r="O41" s="2361"/>
      <c r="P41" s="3594" t="str">
        <f>A41</f>
        <v>成交单价</v>
      </c>
      <c r="Q41" s="3594"/>
      <c r="R41" s="3607">
        <f>E41</f>
        <v>0</v>
      </c>
      <c r="S41" s="3607"/>
      <c r="T41" s="3607">
        <f>G41</f>
        <v>0</v>
      </c>
      <c r="U41" s="3607"/>
      <c r="V41" s="3607">
        <f>I41</f>
        <v>0</v>
      </c>
      <c r="W41" s="3607"/>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0"/>
      <c r="M42" s="2348"/>
      <c r="N42" s="2348"/>
      <c r="O42" s="2361"/>
      <c r="P42" s="3594" t="str">
        <f>A42</f>
        <v>比较价值（元/平方米）</v>
      </c>
      <c r="Q42" s="3594"/>
      <c r="R42" s="3613" t="e">
        <f>ROUND(PRODUCT(R41,AA7:AA40),0)</f>
        <v>#DIV/0!</v>
      </c>
      <c r="S42" s="3613"/>
      <c r="T42" s="3613" t="e">
        <f>ROUND(PRODUCT(T41,AB7:AB40),0)</f>
        <v>#DIV/0!</v>
      </c>
      <c r="U42" s="3613"/>
      <c r="V42" s="3613" t="e">
        <f>ROUND(PRODUCT(V41,AC7:AC40),0)</f>
        <v>#DIV/0!</v>
      </c>
      <c r="W42" s="3613"/>
      <c r="X42" s="1305"/>
      <c r="Y42" s="1305"/>
      <c r="Z42" s="1305"/>
      <c r="AA42" s="1305"/>
      <c r="AB42" s="1305"/>
      <c r="AC42" s="1305"/>
    </row>
    <row r="43" spans="1:29" ht="15.75" thickBot="1">
      <c r="A43" s="114" t="s">
        <v>3018</v>
      </c>
      <c r="B43" s="834"/>
      <c r="C43" s="835" t="e">
        <f>R43</f>
        <v>#DIV/0!</v>
      </c>
      <c r="D43" s="835"/>
      <c r="E43" s="835"/>
      <c r="F43" s="835"/>
      <c r="G43" s="835"/>
      <c r="H43" s="835"/>
      <c r="I43" s="835"/>
      <c r="J43" s="835"/>
      <c r="K43" s="1400"/>
      <c r="L43" s="2360"/>
      <c r="M43" s="2348"/>
      <c r="N43" s="2348"/>
      <c r="O43" s="2361"/>
      <c r="P43" s="3614" t="str">
        <f>A43</f>
        <v>估价对象XX用房的比较价值（楼面单价，元/平方米）</v>
      </c>
      <c r="Q43" s="3615"/>
      <c r="R43" s="3616" t="e">
        <f>ROUND(AVERAGE(R42:V42),0)</f>
        <v>#DIV/0!</v>
      </c>
      <c r="S43" s="3616"/>
      <c r="T43" s="3616"/>
      <c r="U43" s="3616"/>
      <c r="V43" s="3616"/>
      <c r="W43" s="3616"/>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489</v>
      </c>
      <c r="B50" s="1092" t="s">
        <v>490</v>
      </c>
      <c r="C50" s="1775" t="s">
        <v>1888</v>
      </c>
      <c r="D50" s="2392" t="s">
        <v>2326</v>
      </c>
      <c r="E50" s="1093" t="s">
        <v>491</v>
      </c>
      <c r="F50" s="1094" t="s">
        <v>492</v>
      </c>
      <c r="G50" s="3617" t="s">
        <v>2319</v>
      </c>
      <c r="H50" s="3618"/>
      <c r="I50" s="2182" t="s">
        <v>1887</v>
      </c>
      <c r="J50" s="1765" t="str">
        <f>项目基本情况!F35</f>
        <v>陕西省西安市</v>
      </c>
      <c r="K50" s="2375" t="s">
        <v>1889</v>
      </c>
      <c r="L50" s="2188"/>
      <c r="M50" s="2361"/>
      <c r="N50" s="2361"/>
      <c r="O50" s="2361"/>
    </row>
    <row r="51" spans="1:17" s="1099" customFormat="1">
      <c r="A51" s="1095" t="s">
        <v>493</v>
      </c>
      <c r="B51" s="1096" t="e">
        <f>C43</f>
        <v>#DIV/0!</v>
      </c>
      <c r="C51" s="1097">
        <v>1</v>
      </c>
      <c r="D51" s="2393">
        <v>1</v>
      </c>
      <c r="E51" s="1097">
        <f>'数据-汇总表'!E8+'数据-汇总表'!E9</f>
        <v>60622.95</v>
      </c>
      <c r="F51" s="1098" t="e">
        <f t="shared" ref="F51:F60" si="15">ROUND(B51*E51/10000,0)</f>
        <v>#DIV/0!</v>
      </c>
      <c r="G51" s="3619"/>
      <c r="H51" s="3620"/>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621" t="s">
        <v>2320</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621"/>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621"/>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621"/>
      <c r="H55" s="2186">
        <f>项目基本情况!B37</f>
        <v>0</v>
      </c>
      <c r="I55" s="1773">
        <f>SUMIF(修正!A45:A56,H55,修正!E45:E56)</f>
        <v>0</v>
      </c>
      <c r="J55" s="1774"/>
      <c r="K55" s="2362"/>
      <c r="L55" s="1772"/>
      <c r="M55" s="1772"/>
      <c r="N55" s="1772"/>
      <c r="O55" s="1772"/>
    </row>
    <row r="56" spans="1:17" s="1099" customFormat="1">
      <c r="A56" s="2514" t="s">
        <v>2402</v>
      </c>
      <c r="B56" s="592" t="e">
        <f t="shared" si="17"/>
        <v>#DIV/0!</v>
      </c>
      <c r="C56" s="530">
        <f t="shared" si="16"/>
        <v>0</v>
      </c>
      <c r="D56" s="2394">
        <v>0.25</v>
      </c>
      <c r="E56" s="591">
        <f>'数据-汇总表'!E11</f>
        <v>0</v>
      </c>
      <c r="F56" s="1098" t="e">
        <f t="shared" si="15"/>
        <v>#DIV/0!</v>
      </c>
      <c r="G56" s="2198" t="s">
        <v>2321</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2322</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2321</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2327</v>
      </c>
      <c r="E61" s="1103">
        <f>IF(B41="楼面地价",SUM(E51:E60),'数据-汇总表'!D3)</f>
        <v>14746.3</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7"/>
      <c r="P64" s="844"/>
      <c r="Q64" s="845"/>
    </row>
    <row r="65" spans="1:17" s="849" customFormat="1" ht="15">
      <c r="A65" s="2704" t="s">
        <v>2793</v>
      </c>
      <c r="B65" s="2705"/>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8"/>
    </row>
    <row r="66" spans="1:17" s="405" customFormat="1" ht="30.75" customHeight="1">
      <c r="A66" s="3030" t="s">
        <v>2792</v>
      </c>
      <c r="B66" s="662" t="str">
        <f>"北京市平均增长率"&amp;TEXT(基准地价修正!P24,"0.00%")</f>
        <v>北京市平均增长率1.37%</v>
      </c>
      <c r="C66" s="944">
        <v>100</v>
      </c>
      <c r="D66" s="936"/>
      <c r="E66" s="936"/>
      <c r="F66" s="936"/>
      <c r="G66" s="936"/>
      <c r="H66" s="936"/>
      <c r="I66" s="936"/>
      <c r="J66" s="936"/>
      <c r="K66" s="936"/>
      <c r="L66" s="936"/>
      <c r="M66" s="3029"/>
      <c r="N66" s="3029"/>
      <c r="O66" s="3031"/>
      <c r="P66" s="845"/>
    </row>
    <row r="67" spans="1:17" s="405" customFormat="1" ht="15.75" thickBot="1">
      <c r="A67" s="856" t="s">
        <v>414</v>
      </c>
      <c r="B67" s="857"/>
      <c r="C67" s="858"/>
      <c r="D67" s="859"/>
      <c r="E67" s="859"/>
      <c r="F67" s="859"/>
      <c r="G67" s="859"/>
      <c r="H67" s="859"/>
      <c r="I67" s="859"/>
      <c r="J67" s="859"/>
      <c r="K67" s="859"/>
      <c r="L67" s="859"/>
      <c r="M67" s="860"/>
      <c r="N67" s="860"/>
      <c r="O67" s="861"/>
      <c r="P67" s="845"/>
      <c r="Q67" s="845"/>
    </row>
    <row r="68" spans="1:17" s="405" customFormat="1" ht="15">
      <c r="A68" s="862" t="s">
        <v>398</v>
      </c>
      <c r="B68" s="851"/>
      <c r="C68" s="863" t="s">
        <v>415</v>
      </c>
      <c r="D68" s="139"/>
      <c r="E68" s="139"/>
      <c r="F68" s="139"/>
      <c r="G68" s="139"/>
      <c r="H68" s="139"/>
      <c r="I68" s="139"/>
      <c r="J68" s="139"/>
      <c r="K68" s="139"/>
      <c r="L68" s="140"/>
      <c r="M68" s="1049"/>
      <c r="N68" s="2368"/>
      <c r="O68" s="2368"/>
      <c r="P68" s="867"/>
      <c r="Q68" s="845"/>
    </row>
    <row r="69" spans="1:17" s="405"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1"/>
      <c r="D70" s="121"/>
      <c r="E70" s="121"/>
      <c r="F70" s="121"/>
      <c r="G70" s="121"/>
      <c r="H70" s="121"/>
      <c r="I70" s="121"/>
      <c r="J70" s="121"/>
      <c r="K70" s="122"/>
      <c r="L70" s="123"/>
      <c r="M70" s="124"/>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402</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8"/>
      <c r="D77" s="138"/>
      <c r="E77" s="138"/>
      <c r="F77" s="138"/>
      <c r="G77" s="138"/>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8"/>
      <c r="D79" s="138"/>
      <c r="E79" s="138"/>
      <c r="F79" s="138"/>
      <c r="G79" s="138"/>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39"/>
      <c r="D81" s="139"/>
      <c r="E81" s="139"/>
      <c r="F81" s="139"/>
      <c r="G81" s="139"/>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5"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3"/>
      <c r="Q87" s="845"/>
    </row>
    <row r="88" spans="1:17" s="405"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5"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3"/>
      <c r="Q89" s="845"/>
    </row>
    <row r="90" spans="1:17" s="405"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2670</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2672</v>
      </c>
      <c r="C93" s="212" t="s">
        <v>2658</v>
      </c>
      <c r="D93" s="212" t="s">
        <v>2659</v>
      </c>
      <c r="E93" s="212" t="s">
        <v>2660</v>
      </c>
      <c r="F93" s="212" t="s">
        <v>2661</v>
      </c>
      <c r="G93" s="212" t="s">
        <v>2662</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8"/>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8"/>
      <c r="D97" s="138"/>
      <c r="E97" s="138"/>
      <c r="F97" s="138"/>
      <c r="G97" s="138"/>
      <c r="H97" s="130"/>
      <c r="I97" s="130"/>
      <c r="J97" s="130"/>
      <c r="K97" s="131"/>
      <c r="L97" s="132"/>
      <c r="M97" s="133"/>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8"/>
      <c r="D101" s="138"/>
      <c r="E101" s="138"/>
      <c r="F101" s="138"/>
      <c r="G101" s="134"/>
      <c r="H101" s="134"/>
      <c r="I101" s="134"/>
      <c r="J101" s="134"/>
      <c r="K101" s="135"/>
      <c r="L101" s="136"/>
      <c r="M101" s="137"/>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8"/>
      <c r="D103" s="138"/>
      <c r="E103" s="138"/>
      <c r="F103" s="138"/>
      <c r="G103" s="130"/>
      <c r="H103" s="130"/>
      <c r="I103" s="130"/>
      <c r="J103" s="130"/>
      <c r="K103" s="131"/>
      <c r="L103" s="132"/>
      <c r="M103" s="133"/>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39"/>
      <c r="D105" s="139"/>
      <c r="E105" s="139"/>
      <c r="F105" s="139"/>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5"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7" t="str">
        <f t="shared" si="25"/>
        <v>(含)-</v>
      </c>
      <c r="L107" s="3297" t="str">
        <f t="shared" si="25"/>
        <v>(含)-</v>
      </c>
      <c r="M107" s="3298"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0"/>
      <c r="D110" s="130"/>
      <c r="E110" s="130"/>
      <c r="F110" s="130"/>
      <c r="G110" s="130"/>
      <c r="H110" s="130"/>
      <c r="I110" s="130"/>
      <c r="J110" s="130"/>
      <c r="K110" s="131"/>
      <c r="L110" s="132"/>
      <c r="M110" s="133"/>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2504</v>
      </c>
      <c r="C112" s="138"/>
      <c r="D112" s="138"/>
      <c r="E112" s="138"/>
      <c r="F112" s="138"/>
      <c r="G112" s="138"/>
      <c r="H112" s="130"/>
      <c r="I112" s="130"/>
      <c r="J112" s="130"/>
      <c r="K112" s="131"/>
      <c r="L112" s="132"/>
      <c r="M112" s="133"/>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8"/>
      <c r="D114" s="138"/>
      <c r="E114" s="130"/>
      <c r="F114" s="130"/>
      <c r="G114" s="130"/>
      <c r="H114" s="130"/>
      <c r="I114" s="130"/>
      <c r="J114" s="130"/>
      <c r="K114" s="131"/>
      <c r="L114" s="132"/>
      <c r="M114" s="133"/>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8"/>
      <c r="D116" s="138"/>
      <c r="E116" s="138"/>
      <c r="F116" s="138"/>
      <c r="G116" s="138"/>
      <c r="H116" s="130"/>
      <c r="I116" s="130"/>
      <c r="J116" s="130"/>
      <c r="K116" s="131"/>
      <c r="L116" s="132"/>
      <c r="M116" s="133"/>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8"/>
      <c r="D118" s="138"/>
      <c r="E118" s="138"/>
      <c r="F118" s="138"/>
      <c r="G118" s="130"/>
      <c r="H118" s="130"/>
      <c r="I118" s="130"/>
      <c r="J118" s="130"/>
      <c r="K118" s="131"/>
      <c r="L118" s="132"/>
      <c r="M118" s="133"/>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39"/>
      <c r="D120" s="139"/>
      <c r="E120" s="139"/>
      <c r="F120" s="139"/>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2505</v>
      </c>
      <c r="D1" s="1737">
        <f>SUM(D29:D30,D33:D39)</f>
        <v>0</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69" t="s">
        <v>2892</v>
      </c>
      <c r="S1" s="3069" t="s">
        <v>2893</v>
      </c>
      <c r="T1" s="3069" t="s">
        <v>2894</v>
      </c>
      <c r="U1" s="3069" t="s">
        <v>2895</v>
      </c>
      <c r="V1" s="3069" t="s">
        <v>2896</v>
      </c>
      <c r="W1" s="3070"/>
      <c r="X1" s="3070"/>
      <c r="Y1" s="3070"/>
      <c r="Z1" s="3070"/>
      <c r="AA1" s="3070"/>
      <c r="AB1" s="3070"/>
      <c r="AC1" s="3071"/>
      <c r="AD1" s="3072"/>
      <c r="AE1" s="3072"/>
      <c r="AF1" s="3072"/>
      <c r="AG1" s="3072"/>
      <c r="AH1" s="3072"/>
      <c r="AI1" s="3072"/>
      <c r="AJ1" s="3073"/>
    </row>
    <row r="2" spans="1:36" ht="15.75">
      <c r="A2" s="86" t="s">
        <v>1795</v>
      </c>
      <c r="B2" s="578" t="e">
        <f>C26</f>
        <v>#DIV/0!</v>
      </c>
      <c r="C2" s="1470" t="s">
        <v>1136</v>
      </c>
      <c r="D2" s="1627" t="s">
        <v>1796</v>
      </c>
      <c r="E2" s="1781"/>
      <c r="F2" s="1627" t="s">
        <v>1797</v>
      </c>
      <c r="G2" s="1604">
        <f>IF(E2="商业",项目基本情况!B37,IF(E2="办公",项目基本情况!C37,IF(E2="住宅",项目基本情况!D37,项目基本情况!E37)))</f>
        <v>0</v>
      </c>
      <c r="H2" s="1627" t="s">
        <v>1798</v>
      </c>
      <c r="I2" s="1604">
        <f>IF(E2="商业",项目基本情况!B38,IF(E2="办公",项目基本情况!C38,IF(E2="住宅",项目基本情况!D38,项目基本情况!E38)))</f>
        <v>0</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1799</v>
      </c>
      <c r="B3" s="578" t="e">
        <f>ROUND(B2*10000/D1,0)</f>
        <v>#DIV/0!</v>
      </c>
      <c r="C3" s="1470" t="s">
        <v>1800</v>
      </c>
      <c r="D3" s="1627" t="s">
        <v>1139</v>
      </c>
      <c r="E3" s="1782"/>
      <c r="F3" s="1783" t="s">
        <v>3026</v>
      </c>
      <c r="G3" s="1629">
        <f>IF(F3="宗地容积率",'数据-汇总表'!I4,IF(F3="估价对象容积率",'数据-汇总表'!I6,'数据-汇总表'!I7))</f>
        <v>4.1100000000000003</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41"/>
      <c r="B4" s="3742"/>
      <c r="C4" s="3742"/>
      <c r="D4" s="3743"/>
      <c r="E4" s="3743"/>
      <c r="F4" s="3743"/>
      <c r="G4" s="3743"/>
      <c r="H4" s="3743"/>
      <c r="I4" s="3743"/>
      <c r="J4" s="3744"/>
      <c r="K4" s="2381"/>
      <c r="L4" s="1884" t="s">
        <v>1137</v>
      </c>
      <c r="M4" s="2137">
        <f>SUMPRODUCT((区片价!B49:B75=I2)*(区片价!C3:F3=E2)*(区片价!C49:F75))</f>
        <v>0</v>
      </c>
      <c r="N4" s="2139">
        <f>SUMPRODUCT((因素修正幅度!B49:B75=I2)*(因素修正幅度!C3:F3=E2)*(因素修正幅度!C49:F75))</f>
        <v>0</v>
      </c>
      <c r="O4" s="2381"/>
      <c r="P4" s="2381"/>
      <c r="Q4" s="2381"/>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7" customFormat="1" ht="15.75" thickBot="1">
      <c r="A5" s="1877" t="s">
        <v>1937</v>
      </c>
      <c r="B5" s="1631" t="s">
        <v>1801</v>
      </c>
      <c r="C5" s="1632" t="e">
        <f>ROUND(IF(E2="商业",IF(F16="增加",C6*C7+C16,C6*C7-C16),IF(E2="住宅",IF(F16="增加",C6*C12+C16,C6*C12-C16),IF(F16="增加",C6+C16,C6-C16))),0)</f>
        <v>#DIV/0!</v>
      </c>
      <c r="D5" s="3344">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1" t="s">
        <v>1944</v>
      </c>
      <c r="B6" s="1638" t="s">
        <v>1801</v>
      </c>
      <c r="C6" s="1639">
        <f>SUMIF(L1:L12,G2,M1:M12)</f>
        <v>0</v>
      </c>
      <c r="D6" s="1640" t="s">
        <v>1802</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25" t="str">
        <f>IF(E2="商业",IF(C8="不临58条商业街","",2),"")</f>
        <v/>
      </c>
      <c r="B7" s="1644" t="s">
        <v>1803</v>
      </c>
      <c r="C7" s="1645" t="e">
        <f>IF(C8="不临58条商业街",1,ROUND(1+(1.6*E8+1.2*E9+0.8*E10+0.4*E11)*C9,4))</f>
        <v>#DIV/0!</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2897</v>
      </c>
      <c r="X7" s="3080">
        <f>G2</f>
        <v>0</v>
      </c>
      <c r="Y7" s="3080" t="s">
        <v>2898</v>
      </c>
      <c r="Z7" s="3081">
        <f>G3</f>
        <v>4.1100000000000003</v>
      </c>
      <c r="AA7" s="3082"/>
      <c r="AB7" s="3082"/>
      <c r="AC7" s="3083"/>
      <c r="AD7" s="3084"/>
      <c r="AE7" s="3084"/>
      <c r="AF7" s="3084"/>
      <c r="AG7" s="3084"/>
      <c r="AH7" s="3084"/>
      <c r="AI7" s="3084"/>
      <c r="AJ7" s="3085"/>
    </row>
    <row r="8" spans="1:36" ht="15">
      <c r="A8" s="3726"/>
      <c r="B8" s="1630" t="s">
        <v>1805</v>
      </c>
      <c r="C8" s="1786"/>
      <c r="D8" s="1650" t="s">
        <v>1142</v>
      </c>
      <c r="E8" s="1651" t="e">
        <f>ROUND(C11/E7,4)</f>
        <v>#DIV/0!</v>
      </c>
      <c r="F8" s="1652" t="s">
        <v>1806</v>
      </c>
      <c r="G8" s="1653"/>
      <c r="H8" s="1653"/>
      <c r="I8" s="1653"/>
      <c r="J8" s="1654"/>
      <c r="K8" s="2381"/>
      <c r="L8" s="1884" t="s">
        <v>1542</v>
      </c>
      <c r="M8" s="2137">
        <f>SUMPRODUCT((区片价!B206:B244=I2)*(区片价!C3:F3=E2)*(区片价!C206:F244))</f>
        <v>0</v>
      </c>
      <c r="N8" s="2139">
        <f>SUMPRODUCT((因素修正幅度!B206:B244=I2)*(因素修正幅度!C3:F3=E2)*(因素修正幅度!C206:F244))</f>
        <v>0</v>
      </c>
      <c r="O8" s="2381"/>
      <c r="P8" s="2381"/>
      <c r="Q8" s="2381"/>
      <c r="R8" s="3074">
        <v>7</v>
      </c>
      <c r="S8" s="3075"/>
      <c r="T8" s="3074" t="e">
        <f t="shared" si="0"/>
        <v>#DIV/0!</v>
      </c>
      <c r="U8" s="3075"/>
      <c r="V8" s="3074" t="e">
        <f t="shared" si="1"/>
        <v>#DIV/0!</v>
      </c>
      <c r="W8" s="3738" t="s">
        <v>2899</v>
      </c>
      <c r="X8" s="3739"/>
      <c r="Y8" s="3086" t="s">
        <v>165</v>
      </c>
      <c r="Z8" s="3086" t="s">
        <v>166</v>
      </c>
      <c r="AA8" s="3086" t="s">
        <v>161</v>
      </c>
      <c r="AB8" s="3086" t="s">
        <v>162</v>
      </c>
      <c r="AC8" s="3086" t="s">
        <v>163</v>
      </c>
      <c r="AD8" s="3086" t="s">
        <v>164</v>
      </c>
      <c r="AE8" s="3086" t="s">
        <v>1177</v>
      </c>
      <c r="AF8" s="3086" t="s">
        <v>1178</v>
      </c>
      <c r="AG8" s="3086" t="s">
        <v>1179</v>
      </c>
      <c r="AH8" s="3086" t="s">
        <v>1180</v>
      </c>
      <c r="AI8" s="3086" t="s">
        <v>1181</v>
      </c>
      <c r="AJ8" s="3086" t="s">
        <v>1182</v>
      </c>
    </row>
    <row r="9" spans="1:36" ht="15">
      <c r="A9" s="3726"/>
      <c r="B9" s="1630" t="s">
        <v>1807</v>
      </c>
      <c r="C9" s="1655">
        <f>SUMIF(修正!C59:C119,C8,修正!E59:E119)</f>
        <v>0</v>
      </c>
      <c r="D9" s="530" t="s">
        <v>1143</v>
      </c>
      <c r="E9" s="530"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4">
        <v>8</v>
      </c>
      <c r="S9" s="3075"/>
      <c r="T9" s="3074" t="e">
        <f t="shared" si="0"/>
        <v>#DIV/0!</v>
      </c>
      <c r="U9" s="3075"/>
      <c r="V9" s="3074" t="e">
        <f t="shared" si="1"/>
        <v>#DIV/0!</v>
      </c>
      <c r="W9" s="3740" t="s">
        <v>2900</v>
      </c>
      <c r="X9" s="3087" t="s">
        <v>1764</v>
      </c>
      <c r="Y9" s="3311"/>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26"/>
      <c r="B10" s="1630" t="s">
        <v>1809</v>
      </c>
      <c r="C10" s="530">
        <f>SUMIF(修正!C59:C119,C8,修正!F59:F119)</f>
        <v>0</v>
      </c>
      <c r="D10" s="530" t="s">
        <v>1144</v>
      </c>
      <c r="E10" s="530"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4">
        <v>9</v>
      </c>
      <c r="S10" s="3075"/>
      <c r="T10" s="3074" t="e">
        <f t="shared" si="0"/>
        <v>#DIV/0!</v>
      </c>
      <c r="U10" s="3075"/>
      <c r="V10" s="3074" t="e">
        <f t="shared" si="1"/>
        <v>#DIV/0!</v>
      </c>
      <c r="W10" s="374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26"/>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4">
        <v>10</v>
      </c>
      <c r="S11" s="3075"/>
      <c r="T11" s="3074" t="e">
        <f t="shared" si="0"/>
        <v>#DIV/0!</v>
      </c>
      <c r="U11" s="3075"/>
      <c r="V11" s="3074" t="e">
        <f t="shared" si="1"/>
        <v>#DIV/0!</v>
      </c>
      <c r="W11" s="3740" t="s">
        <v>2901</v>
      </c>
      <c r="X11" s="3090" t="s">
        <v>2898</v>
      </c>
      <c r="Y11" s="3091">
        <f>$G$3</f>
        <v>4.1100000000000003</v>
      </c>
      <c r="Z11" s="3091">
        <f t="shared" ref="Z11:AJ11" si="3">$G$3</f>
        <v>4.1100000000000003</v>
      </c>
      <c r="AA11" s="3091">
        <f t="shared" si="3"/>
        <v>4.1100000000000003</v>
      </c>
      <c r="AB11" s="3091">
        <f t="shared" si="3"/>
        <v>4.1100000000000003</v>
      </c>
      <c r="AC11" s="3091">
        <f t="shared" si="3"/>
        <v>4.1100000000000003</v>
      </c>
      <c r="AD11" s="3091">
        <f t="shared" si="3"/>
        <v>4.1100000000000003</v>
      </c>
      <c r="AE11" s="3091">
        <f t="shared" si="3"/>
        <v>4.1100000000000003</v>
      </c>
      <c r="AF11" s="3091">
        <f t="shared" si="3"/>
        <v>4.1100000000000003</v>
      </c>
      <c r="AG11" s="3091">
        <f t="shared" si="3"/>
        <v>4.1100000000000003</v>
      </c>
      <c r="AH11" s="3091">
        <f t="shared" si="3"/>
        <v>4.1100000000000003</v>
      </c>
      <c r="AI11" s="3091">
        <f t="shared" si="3"/>
        <v>4.1100000000000003</v>
      </c>
      <c r="AJ11" s="3091">
        <f t="shared" si="3"/>
        <v>4.1100000000000003</v>
      </c>
    </row>
    <row r="12" spans="1:36" ht="26.25" thickBot="1">
      <c r="A12" s="3725"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4">
        <v>11</v>
      </c>
      <c r="S12" s="3075"/>
      <c r="T12" s="3074" t="e">
        <f t="shared" si="0"/>
        <v>#DIV/0!</v>
      </c>
      <c r="U12" s="3075"/>
      <c r="V12" s="3074" t="e">
        <f t="shared" si="1"/>
        <v>#DIV/0!</v>
      </c>
      <c r="W12" s="3740"/>
      <c r="X12" s="3092" t="s">
        <v>1767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5"/>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4">
        <v>12</v>
      </c>
      <c r="S13" s="3075"/>
      <c r="T13" s="3074" t="e">
        <f t="shared" si="0"/>
        <v>#DIV/0!</v>
      </c>
      <c r="U13" s="3075"/>
      <c r="V13" s="3074" t="e">
        <f t="shared" si="1"/>
        <v>#DIV/0!</v>
      </c>
      <c r="W13" s="3740"/>
      <c r="X13" s="3092"/>
      <c r="Y13" s="3089">
        <f>(-0.163*(Y12^2)-0.59*Y12+7617)*(10^(-4))/Y11</f>
        <v>0.18532846715328466</v>
      </c>
      <c r="Z13" s="3089">
        <f t="shared" ref="Z13:AJ13" si="5">(-0.163*(Z12^2)-0.59*Z12+7617)*(10^(-4))/Z11</f>
        <v>0.18532846715328466</v>
      </c>
      <c r="AA13" s="3089">
        <f t="shared" si="5"/>
        <v>0.18532846715328466</v>
      </c>
      <c r="AB13" s="3089">
        <f t="shared" si="5"/>
        <v>0.18532846715328466</v>
      </c>
      <c r="AC13" s="3089">
        <f t="shared" si="5"/>
        <v>0.18532846715328466</v>
      </c>
      <c r="AD13" s="3089">
        <f t="shared" si="5"/>
        <v>0.18532846715328466</v>
      </c>
      <c r="AE13" s="3089">
        <f t="shared" si="5"/>
        <v>0.18532846715328466</v>
      </c>
      <c r="AF13" s="3089">
        <f t="shared" si="5"/>
        <v>0.18532846715328466</v>
      </c>
      <c r="AG13" s="3089">
        <f t="shared" si="5"/>
        <v>0.18532846715328466</v>
      </c>
      <c r="AH13" s="3089">
        <f t="shared" si="5"/>
        <v>0.18532846715328466</v>
      </c>
      <c r="AI13" s="3089">
        <f t="shared" si="5"/>
        <v>0.18532846715328466</v>
      </c>
      <c r="AJ13" s="3089">
        <f t="shared" si="5"/>
        <v>0.18532846715328466</v>
      </c>
    </row>
    <row r="14" spans="1:36" ht="15">
      <c r="A14" s="3745"/>
      <c r="B14" s="1669"/>
      <c r="C14" s="1789"/>
      <c r="D14" s="1486"/>
      <c r="E14" s="1486"/>
      <c r="F14" s="1790"/>
      <c r="G14" s="1670" t="s">
        <v>1846</v>
      </c>
      <c r="H14" s="1671"/>
      <c r="I14" s="1672"/>
      <c r="J14" s="1673"/>
      <c r="K14" s="2381"/>
      <c r="L14" s="2381"/>
      <c r="M14" s="2381"/>
      <c r="N14" s="2381"/>
      <c r="O14" s="2381"/>
      <c r="P14" s="2381"/>
      <c r="Q14" s="2381"/>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46"/>
      <c r="B15" s="1674" t="s">
        <v>1819</v>
      </c>
      <c r="C15" s="559">
        <f>IF(C14="有",1.1,1)</f>
        <v>1</v>
      </c>
      <c r="D15" s="559">
        <f>IF(D14="有",1.1,1)</f>
        <v>1</v>
      </c>
      <c r="E15" s="559">
        <f>IF(E14="有",1.1,1)</f>
        <v>1</v>
      </c>
      <c r="F15" s="559">
        <f>IF(F14="500米范围内",1.2,IF(F14="500-1000米",1.1,1))</f>
        <v>1</v>
      </c>
      <c r="G15" s="1791">
        <v>1</v>
      </c>
      <c r="H15" s="1791">
        <v>1</v>
      </c>
      <c r="I15" s="1791">
        <v>1</v>
      </c>
      <c r="J15" s="1792">
        <v>1</v>
      </c>
      <c r="K15" s="2381"/>
      <c r="L15" s="1705" t="s">
        <v>1835</v>
      </c>
      <c r="M15" s="1706" t="s">
        <v>1836</v>
      </c>
      <c r="N15" s="1706" t="s">
        <v>1837</v>
      </c>
      <c r="O15" s="1706" t="s">
        <v>980</v>
      </c>
      <c r="P15" s="1707" t="s">
        <v>1838</v>
      </c>
      <c r="Q15" s="2381"/>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25" t="s">
        <v>1946</v>
      </c>
      <c r="B16" s="1644" t="s">
        <v>1820</v>
      </c>
      <c r="C16" s="1777" t="e">
        <f>ROUND(SUM(G17:J17)/C17,0)</f>
        <v>#DIV/0!</v>
      </c>
      <c r="D16" s="1675" t="s">
        <v>1821</v>
      </c>
      <c r="E16" s="1793"/>
      <c r="F16" s="1794"/>
      <c r="G16" s="1795"/>
      <c r="H16" s="1795"/>
      <c r="I16" s="1795"/>
      <c r="J16" s="1796"/>
      <c r="K16" s="2381"/>
      <c r="L16" s="1711" t="s">
        <v>1840</v>
      </c>
      <c r="M16" s="1655">
        <v>0.25</v>
      </c>
      <c r="N16" s="1655">
        <v>0.2</v>
      </c>
      <c r="O16" s="1655">
        <v>0.15</v>
      </c>
      <c r="P16" s="2730">
        <v>0.1</v>
      </c>
      <c r="Q16" s="2731"/>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26"/>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7" customFormat="1" ht="15.75" thickBot="1">
      <c r="A18" s="1878" t="s">
        <v>1938</v>
      </c>
      <c r="B18" s="1681" t="s">
        <v>1825</v>
      </c>
      <c r="C18" s="1682">
        <f>SUMIF(修正!C18:C39,E3,修正!E18:E39)</f>
        <v>0</v>
      </c>
      <c r="D18" s="1683"/>
      <c r="E18" s="1684"/>
      <c r="F18" s="1685"/>
      <c r="G18" s="1686"/>
      <c r="H18" s="1686"/>
      <c r="I18" s="1686"/>
      <c r="J18" s="1687"/>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42977</v>
      </c>
      <c r="H19" s="3017" t="s">
        <v>2960</v>
      </c>
      <c r="I19" s="1694" t="str">
        <f>IF(H19="季度增幅（自定义）",SUMIF(N21:N24,E2,O21:O24),"")</f>
        <v/>
      </c>
      <c r="J19" s="1687"/>
      <c r="K19" s="2388"/>
      <c r="L19" s="3242" t="s">
        <v>2958</v>
      </c>
      <c r="M19" s="3244">
        <f>ROUND(SUMIF(地价!B2:F2,E2,地价!B19:F19),0)</f>
        <v>0</v>
      </c>
      <c r="N19" s="3240" t="s">
        <v>1871</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5"/>
      <c r="AI19" s="1636"/>
      <c r="AJ19" s="1636"/>
      <c r="AK19" s="1636"/>
    </row>
    <row r="20" spans="1:37" s="1637" customFormat="1" ht="27.75" thickBot="1">
      <c r="A20" s="1879" t="s">
        <v>1940</v>
      </c>
      <c r="B20" s="1750" t="s">
        <v>1827</v>
      </c>
      <c r="C20" s="1697" t="e">
        <f>ROUND(POWER(1+G20,J20-I20)*(POWER(1+G20,I20)-1)/(POWER(1+G20,J20)-1),4)</f>
        <v>#DIV/0!</v>
      </c>
      <c r="D20" s="1751" t="s">
        <v>1828</v>
      </c>
      <c r="E20" s="3299">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8"/>
      <c r="L20" s="3243" t="s">
        <v>2959</v>
      </c>
      <c r="M20" s="3245">
        <f>ROUND(SUMPRODUCT((地价!A4:A19=YEAR(G19)&amp;"-"&amp;ROUNDUP(MONTH(G19)/3,0))*(地价!B2:F2=E2)*(地价!B4:F19)),0)</f>
        <v>0</v>
      </c>
      <c r="N20" s="3241" t="s">
        <v>2787</v>
      </c>
      <c r="O20" s="3018" t="s">
        <v>2788</v>
      </c>
      <c r="P20" s="3019"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2499</v>
      </c>
      <c r="C21" s="1755">
        <f>IF(B21="容积率修正",IF(G3&lt;=10,D22,J22),C23)</f>
        <v>0</v>
      </c>
      <c r="D21" s="1756"/>
      <c r="E21" s="1756"/>
      <c r="F21" s="1756"/>
      <c r="G21" s="1756"/>
      <c r="H21" s="1756"/>
      <c r="I21" s="1756"/>
      <c r="J21" s="1757"/>
      <c r="K21" s="2388"/>
      <c r="N21" s="3020" t="s">
        <v>2789</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8"/>
      <c r="AF21" s="1688"/>
    </row>
    <row r="22" spans="1:37" s="1637" customFormat="1" ht="14.25">
      <c r="A22" s="189" t="s">
        <v>1944</v>
      </c>
      <c r="B22" s="1699" t="s">
        <v>1831</v>
      </c>
      <c r="C22" s="1778" t="s">
        <v>1844</v>
      </c>
      <c r="D22" s="1778">
        <f>IF(E22=G22,F22,IF(G3&lt;=10,ROUND(F22+(H22-F22)*(G3-E22)/(G22-E22),4),"——"))</f>
        <v>0</v>
      </c>
      <c r="E22" s="1629">
        <f>ROUNDDOWN(G3,1)</f>
        <v>4.0999999999999996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4.1999999999999993</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8"/>
      <c r="N22" s="3020" t="s">
        <v>2790</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8"/>
      <c r="AF22" s="1688"/>
    </row>
    <row r="23" spans="1:37" ht="27.75" thickBot="1">
      <c r="A23" s="189"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5"/>
    </row>
    <row r="24" spans="1:37" s="1637" customFormat="1" ht="15.75" thickBot="1">
      <c r="A24" s="1879" t="s">
        <v>1942</v>
      </c>
      <c r="B24" s="1681" t="s">
        <v>1833</v>
      </c>
      <c r="C24" s="1690">
        <f>SUMIF(A45:A88,E2,B45:B88)</f>
        <v>0</v>
      </c>
      <c r="D24" s="1685"/>
      <c r="E24" s="1875"/>
      <c r="F24" s="1875"/>
      <c r="G24" s="1875"/>
      <c r="H24" s="1875"/>
      <c r="I24" s="1875"/>
      <c r="J24" s="1876"/>
      <c r="K24" s="2388"/>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1"/>
      <c r="N25" s="3027" t="s">
        <v>2791</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1"/>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7"/>
      <c r="B30" s="1728" t="s">
        <v>1860</v>
      </c>
      <c r="C30" s="559" t="e">
        <f>ROUND(IF(E2="工业",C29*M39,C29*M38),0)</f>
        <v>#DIV/0!</v>
      </c>
      <c r="D30" s="1747"/>
      <c r="E30" s="1780" t="e">
        <f>ROUND(C30*D30/10000,0)</f>
        <v>#DIV/0!</v>
      </c>
      <c r="F30" s="1729" t="s">
        <v>1857</v>
      </c>
      <c r="G30" s="1730"/>
      <c r="H30" s="1730"/>
      <c r="I30" s="1730"/>
      <c r="J30" s="1731"/>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79"/>
      <c r="B32" s="1736"/>
      <c r="C32" s="170" t="s">
        <v>1839</v>
      </c>
      <c r="D32" s="167" t="s">
        <v>1855</v>
      </c>
      <c r="E32" s="167" t="s">
        <v>1856</v>
      </c>
      <c r="F32" s="1737" t="s">
        <v>1843</v>
      </c>
      <c r="G32" s="1698" t="s">
        <v>1839</v>
      </c>
      <c r="H32" s="1698" t="s">
        <v>1855</v>
      </c>
      <c r="I32" s="1698" t="s">
        <v>1856</v>
      </c>
      <c r="J32" s="1738"/>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36" customHeight="1">
      <c r="A33" s="3735" t="s">
        <v>3066</v>
      </c>
      <c r="B33" s="1740" t="s">
        <v>1163</v>
      </c>
      <c r="C33" s="536" t="e">
        <f>ROUND(D5*C19*C20*C24*F33,0)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3736"/>
      <c r="B34" s="1667" t="s">
        <v>1164</v>
      </c>
      <c r="C34" s="536" t="e">
        <f>ROUND(D5*C19*C20*C24*F34,0)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3736"/>
      <c r="B35" s="1667" t="s">
        <v>1165</v>
      </c>
      <c r="C35" s="536" t="e">
        <f>ROUND(D5*C19*C20*C24*F35,0)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37"/>
      <c r="B36" s="1667" t="s">
        <v>1166</v>
      </c>
      <c r="C36" s="536" t="e">
        <f>ROUND(D5*C19*C20*C24*F36,0)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3"/>
      <c r="E45" s="293"/>
      <c r="F45" s="291"/>
      <c r="G45" s="1544"/>
      <c r="H45" s="291"/>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1"/>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2" t="s">
        <v>2497</v>
      </c>
      <c r="G47" s="1499" t="s">
        <v>1850</v>
      </c>
      <c r="H47" s="2603" t="s">
        <v>2498</v>
      </c>
      <c r="I47" s="1499" t="s">
        <v>1853</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6" t="s">
        <v>1782</v>
      </c>
      <c r="B48" s="1501" t="str">
        <f>估价对象房地状况!C4</f>
        <v>估价对象位于XX商圈，周边商业氛围成熟，人流量大，商业繁华度好</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1783</v>
      </c>
      <c r="B51" s="3302" t="s">
        <v>3028</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1784</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1785</v>
      </c>
      <c r="B53" s="3301" t="s">
        <v>3027</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1786</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1788</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1162</v>
      </c>
      <c r="B57" s="1491">
        <f>1+E59</f>
        <v>1</v>
      </c>
      <c r="C57" s="1513"/>
      <c r="D57" s="1493"/>
      <c r="E57" s="1494"/>
      <c r="F57" s="2135"/>
      <c r="G57" s="291"/>
      <c r="H57" s="291"/>
      <c r="I57" s="291"/>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2" t="s">
        <v>2294</v>
      </c>
      <c r="G58" s="1499" t="s">
        <v>1850</v>
      </c>
      <c r="H58" s="2603" t="s">
        <v>2498</v>
      </c>
      <c r="I58" s="1499" t="s">
        <v>1853</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6" t="s">
        <v>1093</v>
      </c>
      <c r="B59" s="1501" t="str">
        <f>估价对象房地状况!C17</f>
        <v>估价对象位于XX商圈，周边办公楼项目较多，入驻率高，办公集聚程度较好</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1783</v>
      </c>
      <c r="B62" s="3302" t="s">
        <v>3028</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1784</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1785</v>
      </c>
      <c r="B64" s="3301" t="s">
        <v>3027</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1786</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1787</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1788</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980</v>
      </c>
      <c r="B68" s="1491">
        <f>1+E70</f>
        <v>1</v>
      </c>
      <c r="C68" s="1513"/>
      <c r="D68" s="1493"/>
      <c r="E68" s="1494"/>
      <c r="F68" s="2135"/>
      <c r="G68" s="291"/>
      <c r="H68" s="291"/>
      <c r="I68" s="291"/>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2" t="s">
        <v>2294</v>
      </c>
      <c r="G69" s="1499" t="s">
        <v>1850</v>
      </c>
      <c r="H69" s="2603" t="s">
        <v>2498</v>
      </c>
      <c r="I69" s="1499" t="s">
        <v>1853</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1789</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1786</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1787</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1785</v>
      </c>
      <c r="B76" s="3301" t="s">
        <v>3027</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1788</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1790</v>
      </c>
      <c r="B78" s="3300"/>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1104</v>
      </c>
      <c r="B79" s="1491">
        <f>1+E81</f>
        <v>1</v>
      </c>
      <c r="C79" s="1513"/>
      <c r="D79" s="1493"/>
      <c r="E79" s="1494"/>
      <c r="F79" s="2135"/>
      <c r="G79" s="291"/>
      <c r="H79" s="291"/>
      <c r="I79" s="291"/>
      <c r="J79" s="1489"/>
      <c r="K79" s="1489"/>
      <c r="L79" s="1489"/>
      <c r="M79" s="1489"/>
      <c r="N79" s="1489"/>
      <c r="Z79" s="1626"/>
      <c r="AA79" s="1625"/>
      <c r="AG79" s="1624"/>
      <c r="AK79" s="1625"/>
    </row>
    <row r="80" spans="1:37" ht="24">
      <c r="A80" s="1496" t="s">
        <v>1779</v>
      </c>
      <c r="B80" s="1497"/>
      <c r="C80" s="1498" t="s">
        <v>1781</v>
      </c>
      <c r="D80" s="1499" t="s">
        <v>1852</v>
      </c>
      <c r="E80" s="1500" t="s">
        <v>1854</v>
      </c>
      <c r="F80" s="2602" t="s">
        <v>2294</v>
      </c>
      <c r="G80" s="1499" t="s">
        <v>1850</v>
      </c>
      <c r="H80" s="2603" t="s">
        <v>2498</v>
      </c>
      <c r="I80" s="1499" t="s">
        <v>1853</v>
      </c>
      <c r="J80" s="944" t="s">
        <v>423</v>
      </c>
      <c r="K80" s="944" t="s">
        <v>424</v>
      </c>
      <c r="L80" s="944" t="s">
        <v>425</v>
      </c>
      <c r="M80" s="944" t="s">
        <v>426</v>
      </c>
      <c r="N80" s="944" t="s">
        <v>427</v>
      </c>
      <c r="Z80" s="1626"/>
      <c r="AA80" s="1625"/>
      <c r="AG80" s="1624"/>
      <c r="AK80" s="1625"/>
    </row>
    <row r="81" spans="1:37" ht="36">
      <c r="A81" s="1496" t="s">
        <v>159</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109</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1789</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1786</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1787</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1785</v>
      </c>
      <c r="B87" s="3301" t="s">
        <v>2496</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1791</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27" t="s">
        <v>1760</v>
      </c>
      <c r="B90" s="3727"/>
      <c r="C90" s="3727"/>
      <c r="D90" s="3727"/>
      <c r="E90" s="3727"/>
      <c r="F90" s="3727"/>
      <c r="G90" s="3727"/>
      <c r="H90" s="3727"/>
      <c r="I90" s="3727"/>
      <c r="J90" s="3727"/>
      <c r="K90" s="2606"/>
      <c r="L90" s="2606"/>
      <c r="M90" s="2606"/>
      <c r="N90" s="2606"/>
    </row>
    <row r="91" spans="1:37">
      <c r="A91" s="3729" t="s">
        <v>68</v>
      </c>
      <c r="B91" s="3729" t="s">
        <v>1761</v>
      </c>
      <c r="C91" s="1585" t="s">
        <v>1762</v>
      </c>
      <c r="D91" s="1586"/>
      <c r="E91" s="1586"/>
      <c r="F91" s="1586"/>
      <c r="G91" s="1586"/>
      <c r="H91" s="1586"/>
      <c r="I91" s="1586"/>
      <c r="J91" s="1587"/>
      <c r="K91" s="1575"/>
      <c r="L91" s="1575"/>
      <c r="M91" s="1575"/>
      <c r="N91" s="1575"/>
    </row>
    <row r="92" spans="1:37">
      <c r="A92" s="3729"/>
      <c r="B92" s="3729"/>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30"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1"/>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1"/>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1"/>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1"/>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1"/>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1"/>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2"/>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30" t="s">
        <v>1765</v>
      </c>
      <c r="B101" s="1592" t="s">
        <v>93</v>
      </c>
      <c r="C101" s="1593">
        <f>$G$3</f>
        <v>4.1100000000000003</v>
      </c>
      <c r="D101" s="1593">
        <f t="shared" ref="D101:N101" si="31">$G$3</f>
        <v>4.1100000000000003</v>
      </c>
      <c r="E101" s="1593">
        <f t="shared" si="31"/>
        <v>4.1100000000000003</v>
      </c>
      <c r="F101" s="1593">
        <f t="shared" si="31"/>
        <v>4.1100000000000003</v>
      </c>
      <c r="G101" s="1593">
        <f t="shared" si="31"/>
        <v>4.1100000000000003</v>
      </c>
      <c r="H101" s="1593">
        <f t="shared" si="31"/>
        <v>4.1100000000000003</v>
      </c>
      <c r="I101" s="1593">
        <f t="shared" si="31"/>
        <v>4.1100000000000003</v>
      </c>
      <c r="J101" s="1593">
        <f t="shared" si="31"/>
        <v>4.1100000000000003</v>
      </c>
      <c r="K101" s="1593">
        <f t="shared" si="31"/>
        <v>4.1100000000000003</v>
      </c>
      <c r="L101" s="1593">
        <f t="shared" si="31"/>
        <v>4.1100000000000003</v>
      </c>
      <c r="M101" s="1593">
        <f t="shared" si="31"/>
        <v>4.1100000000000003</v>
      </c>
      <c r="N101" s="1593">
        <f t="shared" si="31"/>
        <v>4.1100000000000003</v>
      </c>
    </row>
    <row r="102" spans="1:14">
      <c r="A102" s="3731"/>
      <c r="B102" s="1588">
        <v>1</v>
      </c>
      <c r="C102" s="1589">
        <f>1.9362/C101</f>
        <v>0.47109489051094883</v>
      </c>
      <c r="D102" s="1589">
        <f>1.9362/D101</f>
        <v>0.47109489051094883</v>
      </c>
      <c r="E102" s="1589">
        <f>1.8629/E101</f>
        <v>0.4532603406326034</v>
      </c>
      <c r="F102" s="1589">
        <f>1.8629/F101</f>
        <v>0.4532603406326034</v>
      </c>
      <c r="G102" s="1589">
        <f>1.8629/G101</f>
        <v>0.4532603406326034</v>
      </c>
      <c r="H102" s="1589">
        <f>1.8629/H101</f>
        <v>0.4532603406326034</v>
      </c>
      <c r="I102" s="1589">
        <f>1.8629/I101</f>
        <v>0.4532603406326034</v>
      </c>
      <c r="J102" s="1589">
        <f>1.942/J101</f>
        <v>0.47250608272506078</v>
      </c>
      <c r="K102" s="1589">
        <f>1.942/K101</f>
        <v>0.47250608272506078</v>
      </c>
      <c r="L102" s="1589">
        <f>1.942/L101</f>
        <v>0.47250608272506078</v>
      </c>
      <c r="M102" s="1589">
        <f>1.942/M101</f>
        <v>0.47250608272506078</v>
      </c>
      <c r="N102" s="1589">
        <f>1.942/N101</f>
        <v>0.47250608272506078</v>
      </c>
    </row>
    <row r="103" spans="1:14">
      <c r="A103" s="3731"/>
      <c r="B103" s="1588">
        <v>2</v>
      </c>
      <c r="C103" s="1589">
        <f>1.4198/C101</f>
        <v>0.34545012165450117</v>
      </c>
      <c r="D103" s="1589">
        <f>1.4198/D101</f>
        <v>0.34545012165450117</v>
      </c>
      <c r="E103" s="1589">
        <f>1.3372/E101</f>
        <v>0.32535279805352796</v>
      </c>
      <c r="F103" s="1589">
        <f>1.3372/F101</f>
        <v>0.32535279805352796</v>
      </c>
      <c r="G103" s="1589">
        <f>1.3372/G101</f>
        <v>0.32535279805352796</v>
      </c>
      <c r="H103" s="1589">
        <f>1.3372/H101</f>
        <v>0.32535279805352796</v>
      </c>
      <c r="I103" s="1589">
        <f>1.3372/I101</f>
        <v>0.32535279805352796</v>
      </c>
      <c r="J103" s="1589">
        <f>1.2799/J101</f>
        <v>0.3114111922141119</v>
      </c>
      <c r="K103" s="1589">
        <f>1.2799/K101</f>
        <v>0.3114111922141119</v>
      </c>
      <c r="L103" s="1589">
        <f>1.2799/L101</f>
        <v>0.3114111922141119</v>
      </c>
      <c r="M103" s="1589">
        <f>1.2799/M101</f>
        <v>0.3114111922141119</v>
      </c>
      <c r="N103" s="1589">
        <f>1.2799/N101</f>
        <v>0.3114111922141119</v>
      </c>
    </row>
    <row r="104" spans="1:14">
      <c r="A104" s="3731"/>
      <c r="B104" s="1588">
        <v>3</v>
      </c>
      <c r="C104" s="1589">
        <f>1.1594/C101</f>
        <v>0.28209245742092454</v>
      </c>
      <c r="D104" s="1589">
        <f>1.1594/D101</f>
        <v>0.28209245742092454</v>
      </c>
      <c r="E104" s="1589">
        <f>1.0788/E101</f>
        <v>0.26248175182481748</v>
      </c>
      <c r="F104" s="1589">
        <f>1.0788/F101</f>
        <v>0.26248175182481748</v>
      </c>
      <c r="G104" s="1589">
        <f>1.0788/G101</f>
        <v>0.26248175182481748</v>
      </c>
      <c r="H104" s="1589">
        <f>1.0788/H101</f>
        <v>0.26248175182481748</v>
      </c>
      <c r="I104" s="1589">
        <f>1.0788/I101</f>
        <v>0.26248175182481748</v>
      </c>
      <c r="J104" s="1589">
        <f>1.0072/J101</f>
        <v>0.24506082725060827</v>
      </c>
      <c r="K104" s="1589">
        <f>1.0072/K101</f>
        <v>0.24506082725060827</v>
      </c>
      <c r="L104" s="1589">
        <f>1.0072/L101</f>
        <v>0.24506082725060827</v>
      </c>
      <c r="M104" s="1589">
        <f>1.0072/M101</f>
        <v>0.24506082725060827</v>
      </c>
      <c r="N104" s="1589">
        <f>1.0072/N101</f>
        <v>0.24506082725060827</v>
      </c>
    </row>
    <row r="105" spans="1:14">
      <c r="A105" s="3731"/>
      <c r="B105" s="1588">
        <v>4</v>
      </c>
      <c r="C105" s="1589">
        <f>0.9622/C101</f>
        <v>0.23411192214111923</v>
      </c>
      <c r="D105" s="1589">
        <f>0.9622/D101</f>
        <v>0.23411192214111923</v>
      </c>
      <c r="E105" s="1589">
        <f>0.8656/E101</f>
        <v>0.21060827250608272</v>
      </c>
      <c r="F105" s="1589">
        <f>0.8656/F101</f>
        <v>0.21060827250608272</v>
      </c>
      <c r="G105" s="1589">
        <f>0.8656/G101</f>
        <v>0.21060827250608272</v>
      </c>
      <c r="H105" s="1589">
        <f>0.8656/H101</f>
        <v>0.21060827250608272</v>
      </c>
      <c r="I105" s="1589">
        <f>0.8656/I101</f>
        <v>0.21060827250608272</v>
      </c>
      <c r="J105" s="1589">
        <f>0.7525/J101</f>
        <v>0.18309002433090021</v>
      </c>
      <c r="K105" s="1589">
        <f>0.7525/K101</f>
        <v>0.18309002433090021</v>
      </c>
      <c r="L105" s="1589">
        <f>0.7525/L101</f>
        <v>0.18309002433090021</v>
      </c>
      <c r="M105" s="1589">
        <f>0.7525/M101</f>
        <v>0.18309002433090021</v>
      </c>
      <c r="N105" s="1589">
        <f>0.7525/N101</f>
        <v>0.18309002433090021</v>
      </c>
    </row>
    <row r="106" spans="1:14">
      <c r="A106" s="3731"/>
      <c r="B106" s="1588">
        <v>5</v>
      </c>
      <c r="C106" s="1589">
        <f>0.8417/C101</f>
        <v>0.20479318734793187</v>
      </c>
      <c r="D106" s="1589">
        <f>0.8417/D101</f>
        <v>0.20479318734793187</v>
      </c>
      <c r="E106" s="1589">
        <f>0.7371/E101</f>
        <v>0.17934306569343064</v>
      </c>
      <c r="F106" s="1589">
        <f>0.7371/F101</f>
        <v>0.17934306569343064</v>
      </c>
      <c r="G106" s="1589">
        <f>0.7371/G101</f>
        <v>0.17934306569343064</v>
      </c>
      <c r="H106" s="1589">
        <f>0.7371/H101</f>
        <v>0.17934306569343064</v>
      </c>
      <c r="I106" s="1589">
        <f>0.7371/I101</f>
        <v>0.17934306569343064</v>
      </c>
      <c r="J106" s="1589">
        <f>0.5659/J101</f>
        <v>0.13768856447688563</v>
      </c>
      <c r="K106" s="1589">
        <f>0.5659/K101</f>
        <v>0.13768856447688563</v>
      </c>
      <c r="L106" s="1589">
        <f>0.5659/L101</f>
        <v>0.13768856447688563</v>
      </c>
      <c r="M106" s="1589">
        <f>0.5659/M101</f>
        <v>0.13768856447688563</v>
      </c>
      <c r="N106" s="1589">
        <f>0.5659/N101</f>
        <v>0.13768856447688563</v>
      </c>
    </row>
    <row r="107" spans="1:14">
      <c r="A107" s="3731"/>
      <c r="B107" s="1588">
        <v>6</v>
      </c>
      <c r="C107" s="1589">
        <f>0.7608/C101</f>
        <v>0.18510948905109489</v>
      </c>
      <c r="D107" s="1589">
        <f>0.7608/D101</f>
        <v>0.18510948905109489</v>
      </c>
      <c r="E107" s="1589">
        <f>0.6482/E101</f>
        <v>0.15771289537712893</v>
      </c>
      <c r="F107" s="1589">
        <f>0.6482/F101</f>
        <v>0.15771289537712893</v>
      </c>
      <c r="G107" s="1589">
        <f>0.6482/G101</f>
        <v>0.15771289537712893</v>
      </c>
      <c r="H107" s="1589">
        <f>0.6482/H101</f>
        <v>0.15771289537712893</v>
      </c>
      <c r="I107" s="1589">
        <f>0.6482/I101</f>
        <v>0.15771289537712893</v>
      </c>
      <c r="J107" s="1589">
        <f>0.4525/J101</f>
        <v>0.11009732360097323</v>
      </c>
      <c r="K107" s="1589">
        <f>0.4525/K101</f>
        <v>0.11009732360097323</v>
      </c>
      <c r="L107" s="1589">
        <f>0.4525/L101</f>
        <v>0.11009732360097323</v>
      </c>
      <c r="M107" s="1589">
        <f>0.4525/M101</f>
        <v>0.11009732360097323</v>
      </c>
      <c r="N107" s="1589">
        <f>0.4525/N101</f>
        <v>0.11009732360097323</v>
      </c>
    </row>
    <row r="108" spans="1:14">
      <c r="A108" s="3731"/>
      <c r="B108" s="3733"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2"/>
      <c r="B109" s="3734"/>
      <c r="C109" s="1591">
        <f>(-0.163*(C108^2)-0.59*C108+7617)*(10^(-4))/C101</f>
        <v>0.18532846715328466</v>
      </c>
      <c r="D109" s="1591">
        <f>(-0.163*(D108^2)-0.59*D108+7617)*(10^(-4))/D101</f>
        <v>0.18532846715328466</v>
      </c>
      <c r="E109" s="1591">
        <f>(-0.161*(E108^2)-7.509*E108+6533)*(10^(-4))/E101</f>
        <v>0.15895377128953769</v>
      </c>
      <c r="F109" s="1591">
        <f>(-0.161*(F108^2)-7.509*F108+6533)*(10^(-4))/F101</f>
        <v>0.15895377128953769</v>
      </c>
      <c r="G109" s="1591">
        <f>(-0.161*(G108^2)-7.509*G108+6533)*(10^(-4))/G101</f>
        <v>0.15895377128953769</v>
      </c>
      <c r="H109" s="1591">
        <f>(-0.161*(H108^2)-7.509*H108+6533)*(10^(-4))/H101</f>
        <v>0.15895377128953769</v>
      </c>
      <c r="I109" s="1591">
        <f>(-0.161*(I108^2)-7.509*I108+6533)*(10^(-4))/I101</f>
        <v>0.15895377128953769</v>
      </c>
      <c r="J109" s="1591">
        <f>(-0.214*(J108^2)-21.991*J108+4665)*(10^(-4))/J101</f>
        <v>0.11350364963503649</v>
      </c>
      <c r="K109" s="1591">
        <f>(-0.214*(K108^2)-21.991*K108+4665)*(10^(-4))/K101</f>
        <v>0.11350364963503649</v>
      </c>
      <c r="L109" s="1591">
        <f>(-0.214*(L108^2)-21.991*L108+4665)*(10^(-4))/L101</f>
        <v>0.11350364963503649</v>
      </c>
      <c r="M109" s="1591">
        <f>(-0.214*(M108^2)-21.991*M108+4665)*(10^(-4))/M101</f>
        <v>0.11350364963503649</v>
      </c>
      <c r="N109" s="1591">
        <f>(-0.214*(N108^2)-21.991*N108+4665)*(10^(-4))/N101</f>
        <v>0.11350364963503649</v>
      </c>
    </row>
    <row r="110" spans="1:14">
      <c r="A110" s="3728" t="s">
        <v>1768</v>
      </c>
      <c r="B110" s="3728"/>
      <c r="C110" s="3728"/>
      <c r="D110" s="3728"/>
      <c r="E110" s="3728"/>
      <c r="F110" s="3728"/>
      <c r="G110" s="3728"/>
      <c r="H110" s="3728"/>
      <c r="I110" s="3728"/>
      <c r="J110" s="3728"/>
      <c r="K110" s="2604"/>
      <c r="L110" s="2604"/>
      <c r="M110" s="2604"/>
      <c r="N110" s="2604"/>
    </row>
    <row r="112" spans="1:14" ht="12.75" thickBot="1"/>
    <row r="113" spans="1:13" ht="25.5" thickBot="1">
      <c r="A113" s="1601" t="s">
        <v>1770</v>
      </c>
      <c r="B113" s="2607">
        <f>G3</f>
        <v>4.1100000000000003</v>
      </c>
      <c r="C113" s="1602" t="s">
        <v>1771</v>
      </c>
      <c r="D113" s="1603">
        <f>SUMPRODUCT((A115:A118=F113)*(B114:M114=H113)*B115:M118)</f>
        <v>0</v>
      </c>
      <c r="E113" s="1604" t="s">
        <v>68</v>
      </c>
      <c r="F113" s="1605">
        <f>E2</f>
        <v>0</v>
      </c>
      <c r="G113" s="1604" t="s">
        <v>1560</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1177</v>
      </c>
      <c r="I114" s="1611" t="s">
        <v>1178</v>
      </c>
      <c r="J114" s="1612" t="s">
        <v>1179</v>
      </c>
      <c r="K114" s="1612" t="s">
        <v>1180</v>
      </c>
      <c r="L114" s="1612" t="s">
        <v>1181</v>
      </c>
      <c r="M114" s="1613" t="s">
        <v>1182</v>
      </c>
    </row>
    <row r="115" spans="1:13" ht="12.75">
      <c r="A115" s="1614" t="s">
        <v>1772</v>
      </c>
      <c r="B115" s="1615">
        <f>ROUND(0.9335-0.0094*B113,4)</f>
        <v>0.89490000000000003</v>
      </c>
      <c r="C115" s="1615">
        <f>B115</f>
        <v>0.89490000000000003</v>
      </c>
      <c r="D115" s="1615">
        <f>ROUND(0.8331-0.0109*B113,4)</f>
        <v>0.7883</v>
      </c>
      <c r="E115" s="1615">
        <f>D115</f>
        <v>0.7883</v>
      </c>
      <c r="F115" s="1615">
        <f>E115</f>
        <v>0.7883</v>
      </c>
      <c r="G115" s="1615">
        <f>F115</f>
        <v>0.7883</v>
      </c>
      <c r="H115" s="1615">
        <f>G115</f>
        <v>0.7883</v>
      </c>
      <c r="I115" s="1615">
        <f>ROUND(0.689-0.0155*B113,4)</f>
        <v>0.62529999999999997</v>
      </c>
      <c r="J115" s="1615">
        <f t="shared" ref="J115:M118" si="33">I115</f>
        <v>0.62529999999999997</v>
      </c>
      <c r="K115" s="1615">
        <f t="shared" si="33"/>
        <v>0.62529999999999997</v>
      </c>
      <c r="L115" s="1615">
        <f t="shared" si="33"/>
        <v>0.62529999999999997</v>
      </c>
      <c r="M115" s="1616">
        <f t="shared" si="33"/>
        <v>0.62529999999999997</v>
      </c>
    </row>
    <row r="116" spans="1:13" ht="12.75">
      <c r="A116" s="1614" t="s">
        <v>1773</v>
      </c>
      <c r="B116" s="1615">
        <f>ROUND(0.949-0.012*B113,4)</f>
        <v>0.89970000000000006</v>
      </c>
      <c r="C116" s="1615">
        <f>B116</f>
        <v>0.89970000000000006</v>
      </c>
      <c r="D116" s="1615">
        <f>ROUND(0.8567-0.013*B113,4)</f>
        <v>0.80330000000000001</v>
      </c>
      <c r="E116" s="1615">
        <f t="shared" ref="E116:H117" si="34">D116</f>
        <v>0.80330000000000001</v>
      </c>
      <c r="F116" s="1615">
        <f t="shared" si="34"/>
        <v>0.80330000000000001</v>
      </c>
      <c r="G116" s="1615">
        <f t="shared" si="34"/>
        <v>0.80330000000000001</v>
      </c>
      <c r="H116" s="1615">
        <f t="shared" si="34"/>
        <v>0.80330000000000001</v>
      </c>
      <c r="I116" s="1615">
        <f>ROUND(0.7694-0.014*B113,4)</f>
        <v>0.71189999999999998</v>
      </c>
      <c r="J116" s="1615">
        <f t="shared" si="33"/>
        <v>0.71189999999999998</v>
      </c>
      <c r="K116" s="1615">
        <f t="shared" si="33"/>
        <v>0.71189999999999998</v>
      </c>
      <c r="L116" s="1615">
        <f t="shared" si="33"/>
        <v>0.71189999999999998</v>
      </c>
      <c r="M116" s="1616">
        <f t="shared" si="33"/>
        <v>0.71189999999999998</v>
      </c>
    </row>
    <row r="117" spans="1:13" ht="12.75">
      <c r="A117" s="1617" t="s">
        <v>980</v>
      </c>
      <c r="B117" s="1615">
        <f>ROUND(0.8808-0.006*B113,4)</f>
        <v>0.85609999999999997</v>
      </c>
      <c r="C117" s="1615">
        <f>B117</f>
        <v>0.85609999999999997</v>
      </c>
      <c r="D117" s="1615">
        <f>ROUND(0.8748-0.008*B113,4)</f>
        <v>0.84189999999999998</v>
      </c>
      <c r="E117" s="1615">
        <f t="shared" si="34"/>
        <v>0.84189999999999998</v>
      </c>
      <c r="F117" s="1615">
        <f t="shared" si="34"/>
        <v>0.84189999999999998</v>
      </c>
      <c r="G117" s="1615">
        <f t="shared" si="34"/>
        <v>0.84189999999999998</v>
      </c>
      <c r="H117" s="1615">
        <f t="shared" si="34"/>
        <v>0.84189999999999998</v>
      </c>
      <c r="I117" s="1615">
        <f>ROUND(0.7412-0.0095*B113,4)</f>
        <v>0.70220000000000005</v>
      </c>
      <c r="J117" s="1615">
        <f t="shared" si="33"/>
        <v>0.70220000000000005</v>
      </c>
      <c r="K117" s="1615">
        <f t="shared" si="33"/>
        <v>0.70220000000000005</v>
      </c>
      <c r="L117" s="1615">
        <f t="shared" si="33"/>
        <v>0.70220000000000005</v>
      </c>
      <c r="M117" s="1616">
        <f t="shared" si="33"/>
        <v>0.70220000000000005</v>
      </c>
    </row>
    <row r="118" spans="1:13" ht="13.5" thickBot="1">
      <c r="A118" s="1121" t="s">
        <v>1774</v>
      </c>
      <c r="B118" s="1618">
        <f>ROUND(0.7275-0.01*B113,4)</f>
        <v>0.68640000000000001</v>
      </c>
      <c r="C118" s="1618">
        <f>B118</f>
        <v>0.68640000000000001</v>
      </c>
      <c r="D118" s="1618">
        <f>ROUND(0.7043-0.012*B113,4)</f>
        <v>0.65500000000000003</v>
      </c>
      <c r="E118" s="1618">
        <f>D118</f>
        <v>0.65500000000000003</v>
      </c>
      <c r="F118" s="1618">
        <f>E118</f>
        <v>0.65500000000000003</v>
      </c>
      <c r="G118" s="1618">
        <f>ROUND(0.6299-0.0122*B113,4)</f>
        <v>0.57979999999999998</v>
      </c>
      <c r="H118" s="1618">
        <f>G118</f>
        <v>0.57979999999999998</v>
      </c>
      <c r="I118" s="1618">
        <f>ROUND(0.5667-0.0136*B113,4)</f>
        <v>0.51080000000000003</v>
      </c>
      <c r="J118" s="1618">
        <f t="shared" si="33"/>
        <v>0.51080000000000003</v>
      </c>
      <c r="K118" s="1618">
        <f t="shared" si="33"/>
        <v>0.51080000000000003</v>
      </c>
      <c r="L118" s="1618">
        <f t="shared" si="33"/>
        <v>0.51080000000000003</v>
      </c>
      <c r="M118" s="1619">
        <f t="shared" si="33"/>
        <v>0.51080000000000003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29" t="s">
        <v>1197</v>
      </c>
      <c r="B18" s="1571" t="s">
        <v>1574</v>
      </c>
      <c r="C18" s="1572" t="s">
        <v>1575</v>
      </c>
      <c r="D18" s="1573"/>
      <c r="E18" s="1571">
        <v>1</v>
      </c>
      <c r="F18" s="1574" t="s">
        <v>1576</v>
      </c>
      <c r="G18" s="1575"/>
      <c r="H18" s="1567"/>
      <c r="I18" s="1567"/>
    </row>
    <row r="19" spans="1:9" s="1576" customFormat="1" ht="19.5" customHeight="1">
      <c r="A19" s="3729"/>
      <c r="B19" s="3729" t="s">
        <v>1577</v>
      </c>
      <c r="C19" s="1572" t="s">
        <v>1578</v>
      </c>
      <c r="D19" s="1573"/>
      <c r="E19" s="1571">
        <v>0.9</v>
      </c>
      <c r="F19" s="1574" t="s">
        <v>1579</v>
      </c>
      <c r="G19" s="1575"/>
      <c r="H19" s="1567"/>
      <c r="I19" s="1567"/>
    </row>
    <row r="20" spans="1:9" s="1576" customFormat="1" ht="19.5" customHeight="1">
      <c r="A20" s="3729"/>
      <c r="B20" s="3729"/>
      <c r="C20" s="1572" t="s">
        <v>1580</v>
      </c>
      <c r="D20" s="1573"/>
      <c r="E20" s="1571">
        <v>1.1000000000000001</v>
      </c>
      <c r="F20" s="1574" t="s">
        <v>1581</v>
      </c>
      <c r="G20" s="1575"/>
      <c r="H20" s="1567"/>
      <c r="I20" s="1567"/>
    </row>
    <row r="21" spans="1:9" s="1576" customFormat="1" ht="19.5" customHeight="1">
      <c r="A21" s="3729"/>
      <c r="B21" s="3729"/>
      <c r="C21" s="1572" t="s">
        <v>1582</v>
      </c>
      <c r="D21" s="1573"/>
      <c r="E21" s="1571">
        <v>0.8</v>
      </c>
      <c r="F21" s="1574" t="s">
        <v>1583</v>
      </c>
      <c r="G21" s="1575"/>
      <c r="H21" s="1567"/>
      <c r="I21" s="1567"/>
    </row>
    <row r="22" spans="1:9" s="1576" customFormat="1" ht="19.5" customHeight="1">
      <c r="A22" s="3729"/>
      <c r="B22" s="3729"/>
      <c r="C22" s="1572" t="s">
        <v>1584</v>
      </c>
      <c r="D22" s="1573"/>
      <c r="E22" s="1571">
        <v>0.5</v>
      </c>
      <c r="F22" s="1574"/>
      <c r="G22" s="1575"/>
      <c r="H22" s="1567"/>
      <c r="I22" s="1567"/>
    </row>
    <row r="23" spans="1:9" s="1576" customFormat="1" ht="19.5" customHeight="1">
      <c r="A23" s="3729" t="s">
        <v>1198</v>
      </c>
      <c r="B23" s="1571" t="s">
        <v>1574</v>
      </c>
      <c r="C23" s="1572" t="s">
        <v>1585</v>
      </c>
      <c r="D23" s="1573"/>
      <c r="E23" s="1571">
        <v>1</v>
      </c>
      <c r="F23" s="1574" t="s">
        <v>1586</v>
      </c>
      <c r="G23" s="1575"/>
      <c r="H23" s="1567"/>
      <c r="I23" s="1567"/>
    </row>
    <row r="24" spans="1:9" s="1576" customFormat="1" ht="19.5" customHeight="1">
      <c r="A24" s="3729"/>
      <c r="B24" s="3729" t="s">
        <v>1577</v>
      </c>
      <c r="C24" s="1572" t="s">
        <v>1587</v>
      </c>
      <c r="D24" s="1573"/>
      <c r="E24" s="1571">
        <v>0.5</v>
      </c>
      <c r="F24" s="1574"/>
      <c r="G24" s="1575"/>
      <c r="H24" s="1567"/>
      <c r="I24" s="1567"/>
    </row>
    <row r="25" spans="1:9" s="1576" customFormat="1" ht="19.5" customHeight="1">
      <c r="A25" s="3729"/>
      <c r="B25" s="3729"/>
      <c r="C25" s="1572" t="s">
        <v>1588</v>
      </c>
      <c r="D25" s="1573"/>
      <c r="E25" s="1571">
        <v>1.1000000000000001</v>
      </c>
      <c r="F25" s="1574"/>
      <c r="G25" s="1575"/>
      <c r="H25" s="1567"/>
      <c r="I25" s="1567"/>
    </row>
    <row r="26" spans="1:9" s="1576" customFormat="1" ht="19.5" customHeight="1">
      <c r="A26" s="3729"/>
      <c r="B26" s="3729"/>
      <c r="C26" s="1572" t="s">
        <v>1589</v>
      </c>
      <c r="D26" s="1573"/>
      <c r="E26" s="1571">
        <v>1.1000000000000001</v>
      </c>
      <c r="F26" s="1574"/>
      <c r="G26" s="1575"/>
      <c r="H26" s="1567"/>
      <c r="I26" s="1567"/>
    </row>
    <row r="27" spans="1:9" s="1576" customFormat="1" ht="19.5" customHeight="1">
      <c r="A27" s="3729"/>
      <c r="B27" s="3729"/>
      <c r="C27" s="1572" t="s">
        <v>1590</v>
      </c>
      <c r="D27" s="1573"/>
      <c r="E27" s="1571">
        <v>0.9</v>
      </c>
      <c r="F27" s="1574" t="s">
        <v>1591</v>
      </c>
      <c r="G27" s="1575"/>
      <c r="H27" s="1567"/>
      <c r="I27" s="1567"/>
    </row>
    <row r="28" spans="1:9" s="1576" customFormat="1" ht="19.5" customHeight="1">
      <c r="A28" s="3729"/>
      <c r="B28" s="3729"/>
      <c r="C28" s="1572" t="s">
        <v>1592</v>
      </c>
      <c r="D28" s="1573"/>
      <c r="E28" s="1571">
        <v>0.9</v>
      </c>
      <c r="F28" s="1574" t="s">
        <v>1593</v>
      </c>
      <c r="G28" s="1575"/>
      <c r="H28" s="1567"/>
      <c r="I28" s="1567"/>
    </row>
    <row r="29" spans="1:9" s="1576" customFormat="1" ht="19.5" customHeight="1">
      <c r="A29" s="3729"/>
      <c r="B29" s="3729"/>
      <c r="C29" s="1572" t="s">
        <v>1594</v>
      </c>
      <c r="D29" s="1573"/>
      <c r="E29" s="1571">
        <v>0.9</v>
      </c>
      <c r="F29" s="1574" t="s">
        <v>1595</v>
      </c>
      <c r="G29" s="1575"/>
      <c r="H29" s="1567"/>
      <c r="I29" s="1567"/>
    </row>
    <row r="30" spans="1:9" s="1576" customFormat="1" ht="19.5" customHeight="1">
      <c r="A30" s="3729"/>
      <c r="B30" s="3729"/>
      <c r="C30" s="1572" t="s">
        <v>1596</v>
      </c>
      <c r="D30" s="1573"/>
      <c r="E30" s="1571">
        <v>0.9</v>
      </c>
      <c r="F30" s="1574" t="s">
        <v>1597</v>
      </c>
      <c r="G30" s="1575"/>
      <c r="H30" s="1567"/>
      <c r="I30" s="1567"/>
    </row>
    <row r="31" spans="1:9" s="1576" customFormat="1" ht="19.5" customHeight="1">
      <c r="A31" s="3729"/>
      <c r="B31" s="3729"/>
      <c r="C31" s="1572" t="s">
        <v>1598</v>
      </c>
      <c r="D31" s="1573"/>
      <c r="E31" s="1571">
        <v>0.8</v>
      </c>
      <c r="F31" s="1574" t="s">
        <v>1599</v>
      </c>
      <c r="G31" s="1575"/>
      <c r="H31" s="1567"/>
      <c r="I31" s="1567"/>
    </row>
    <row r="32" spans="1:9" s="1576" customFormat="1" ht="19.5" customHeight="1">
      <c r="A32" s="3729"/>
      <c r="B32" s="3729"/>
      <c r="C32" s="1572" t="s">
        <v>1600</v>
      </c>
      <c r="D32" s="1573"/>
      <c r="E32" s="1571">
        <v>0.8</v>
      </c>
      <c r="F32" s="1574" t="s">
        <v>1601</v>
      </c>
      <c r="G32" s="1575"/>
      <c r="H32" s="1567"/>
      <c r="I32" s="1567"/>
    </row>
    <row r="33" spans="1:9" s="1576" customFormat="1" ht="19.5" customHeight="1">
      <c r="A33" s="3729" t="s">
        <v>1199</v>
      </c>
      <c r="B33" s="1571" t="s">
        <v>1574</v>
      </c>
      <c r="C33" s="1572" t="s">
        <v>1602</v>
      </c>
      <c r="D33" s="1573"/>
      <c r="E33" s="1571">
        <v>1</v>
      </c>
      <c r="F33" s="1574" t="s">
        <v>1603</v>
      </c>
      <c r="G33" s="1575"/>
      <c r="H33" s="1567"/>
      <c r="I33" s="1567"/>
    </row>
    <row r="34" spans="1:9" s="1576" customFormat="1" ht="19.5" customHeight="1">
      <c r="A34" s="3729"/>
      <c r="B34" s="1571" t="s">
        <v>1577</v>
      </c>
      <c r="C34" s="1572" t="s">
        <v>1604</v>
      </c>
      <c r="D34" s="1573"/>
      <c r="E34" s="1571">
        <v>1.5</v>
      </c>
      <c r="F34" s="1574" t="s">
        <v>1605</v>
      </c>
      <c r="G34" s="1575"/>
      <c r="H34" s="1567"/>
      <c r="I34" s="1567"/>
    </row>
    <row r="35" spans="1:9" s="1576" customFormat="1" ht="19.5" customHeight="1">
      <c r="A35" s="3729" t="s">
        <v>1200</v>
      </c>
      <c r="B35" s="1571" t="s">
        <v>1574</v>
      </c>
      <c r="C35" s="1572" t="s">
        <v>1606</v>
      </c>
      <c r="D35" s="1573"/>
      <c r="E35" s="1571">
        <v>1</v>
      </c>
      <c r="F35" s="1574" t="s">
        <v>1607</v>
      </c>
      <c r="G35" s="1575"/>
      <c r="H35" s="1567"/>
      <c r="I35" s="1567"/>
    </row>
    <row r="36" spans="1:9" s="1576" customFormat="1" ht="19.5" customHeight="1">
      <c r="A36" s="3729"/>
      <c r="B36" s="3729" t="s">
        <v>1577</v>
      </c>
      <c r="C36" s="1572" t="s">
        <v>1608</v>
      </c>
      <c r="D36" s="1573"/>
      <c r="E36" s="1571">
        <v>1</v>
      </c>
      <c r="F36" s="1574" t="s">
        <v>1609</v>
      </c>
      <c r="G36" s="1575"/>
      <c r="H36" s="1567"/>
      <c r="I36" s="1567"/>
    </row>
    <row r="37" spans="1:9" s="1576" customFormat="1" ht="19.5" customHeight="1">
      <c r="A37" s="3729"/>
      <c r="B37" s="3729"/>
      <c r="C37" s="1572" t="s">
        <v>1610</v>
      </c>
      <c r="D37" s="1573"/>
      <c r="E37" s="1571">
        <v>1.5</v>
      </c>
      <c r="F37" s="1574" t="s">
        <v>1611</v>
      </c>
      <c r="G37" s="1575"/>
      <c r="H37" s="1567"/>
      <c r="I37" s="1567"/>
    </row>
    <row r="38" spans="1:9" s="1576" customFormat="1" ht="19.5" customHeight="1">
      <c r="A38" s="3729"/>
      <c r="B38" s="3729"/>
      <c r="C38" s="1572" t="s">
        <v>1612</v>
      </c>
      <c r="D38" s="1573"/>
      <c r="E38" s="1571">
        <v>1</v>
      </c>
      <c r="F38" s="1574" t="s">
        <v>1613</v>
      </c>
      <c r="G38" s="1575"/>
      <c r="H38" s="1567"/>
      <c r="I38" s="1567"/>
    </row>
    <row r="39" spans="1:9" s="1576" customFormat="1" ht="19.5" customHeight="1">
      <c r="A39" s="3729"/>
      <c r="B39" s="3729"/>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29" t="s">
        <v>1628</v>
      </c>
      <c r="C61" s="1497" t="s">
        <v>1629</v>
      </c>
      <c r="D61" s="1497" t="s">
        <v>1630</v>
      </c>
      <c r="E61" s="1584">
        <v>0.5</v>
      </c>
      <c r="F61" s="1571">
        <v>80</v>
      </c>
    </row>
    <row r="62" spans="1:8" s="1567" customFormat="1" ht="24">
      <c r="A62" s="1571">
        <v>2</v>
      </c>
      <c r="B62" s="3729"/>
      <c r="C62" s="1497" t="s">
        <v>1631</v>
      </c>
      <c r="D62" s="1497" t="s">
        <v>1632</v>
      </c>
      <c r="E62" s="1584">
        <v>0.5</v>
      </c>
      <c r="F62" s="1571">
        <v>80</v>
      </c>
    </row>
    <row r="63" spans="1:8" s="1567" customFormat="1" ht="36">
      <c r="A63" s="1571">
        <v>3</v>
      </c>
      <c r="B63" s="3729"/>
      <c r="C63" s="1497" t="s">
        <v>1633</v>
      </c>
      <c r="D63" s="1497" t="s">
        <v>1634</v>
      </c>
      <c r="E63" s="1584">
        <v>0.5</v>
      </c>
      <c r="F63" s="1571">
        <v>80</v>
      </c>
    </row>
    <row r="64" spans="1:8" s="1567" customFormat="1" ht="36">
      <c r="A64" s="1571">
        <v>4</v>
      </c>
      <c r="B64" s="3729"/>
      <c r="C64" s="1497" t="s">
        <v>1635</v>
      </c>
      <c r="D64" s="1497" t="s">
        <v>1636</v>
      </c>
      <c r="E64" s="1584">
        <v>0.4</v>
      </c>
      <c r="F64" s="1571">
        <v>60</v>
      </c>
    </row>
    <row r="65" spans="1:6" s="1567" customFormat="1" ht="36">
      <c r="A65" s="1571">
        <v>5</v>
      </c>
      <c r="B65" s="3729"/>
      <c r="C65" s="1497" t="s">
        <v>1637</v>
      </c>
      <c r="D65" s="1497" t="s">
        <v>1638</v>
      </c>
      <c r="E65" s="1584">
        <v>0.2</v>
      </c>
      <c r="F65" s="1571">
        <v>30</v>
      </c>
    </row>
    <row r="66" spans="1:6" s="1567" customFormat="1" ht="36">
      <c r="A66" s="1571">
        <v>6</v>
      </c>
      <c r="B66" s="3729"/>
      <c r="C66" s="1497" t="s">
        <v>1639</v>
      </c>
      <c r="D66" s="1497" t="s">
        <v>1640</v>
      </c>
      <c r="E66" s="1584">
        <v>0.3</v>
      </c>
      <c r="F66" s="1571">
        <v>50</v>
      </c>
    </row>
    <row r="67" spans="1:6" s="1567" customFormat="1" ht="36">
      <c r="A67" s="1571">
        <v>7</v>
      </c>
      <c r="B67" s="3729"/>
      <c r="C67" s="1497" t="s">
        <v>1641</v>
      </c>
      <c r="D67" s="1497" t="s">
        <v>1642</v>
      </c>
      <c r="E67" s="1584">
        <v>0.2</v>
      </c>
      <c r="F67" s="1571">
        <v>30</v>
      </c>
    </row>
    <row r="68" spans="1:6" s="1567" customFormat="1" ht="36">
      <c r="A68" s="1571">
        <v>8</v>
      </c>
      <c r="B68" s="3729"/>
      <c r="C68" s="1497" t="s">
        <v>1643</v>
      </c>
      <c r="D68" s="1497" t="s">
        <v>1644</v>
      </c>
      <c r="E68" s="1584">
        <v>0.2</v>
      </c>
      <c r="F68" s="1571">
        <v>30</v>
      </c>
    </row>
    <row r="69" spans="1:6" s="1567" customFormat="1" ht="36">
      <c r="A69" s="1571">
        <v>9</v>
      </c>
      <c r="B69" s="3729"/>
      <c r="C69" s="1497" t="s">
        <v>1645</v>
      </c>
      <c r="D69" s="1497" t="s">
        <v>1646</v>
      </c>
      <c r="E69" s="1584">
        <v>0.2</v>
      </c>
      <c r="F69" s="1571">
        <v>30</v>
      </c>
    </row>
    <row r="70" spans="1:6" s="1567" customFormat="1" ht="48">
      <c r="A70" s="1571">
        <v>10</v>
      </c>
      <c r="B70" s="3729"/>
      <c r="C70" s="1497" t="s">
        <v>1647</v>
      </c>
      <c r="D70" s="1497" t="s">
        <v>1648</v>
      </c>
      <c r="E70" s="1584">
        <v>0.2</v>
      </c>
      <c r="F70" s="1571">
        <v>30</v>
      </c>
    </row>
    <row r="71" spans="1:6" s="1567" customFormat="1" ht="48">
      <c r="A71" s="1571">
        <v>11</v>
      </c>
      <c r="B71" s="3729"/>
      <c r="C71" s="1497" t="s">
        <v>1649</v>
      </c>
      <c r="D71" s="1497" t="s">
        <v>1650</v>
      </c>
      <c r="E71" s="1584">
        <v>0.2</v>
      </c>
      <c r="F71" s="1571">
        <v>30</v>
      </c>
    </row>
    <row r="72" spans="1:6" s="1567" customFormat="1" ht="36">
      <c r="A72" s="1571">
        <v>12</v>
      </c>
      <c r="B72" s="3729"/>
      <c r="C72" s="1497" t="s">
        <v>1651</v>
      </c>
      <c r="D72" s="1497" t="s">
        <v>1652</v>
      </c>
      <c r="E72" s="1584">
        <v>0.5</v>
      </c>
      <c r="F72" s="1571">
        <v>80</v>
      </c>
    </row>
    <row r="73" spans="1:6" s="1567" customFormat="1" ht="24">
      <c r="A73" s="1571">
        <v>13</v>
      </c>
      <c r="B73" s="3729"/>
      <c r="C73" s="1497" t="s">
        <v>1653</v>
      </c>
      <c r="D73" s="1497" t="s">
        <v>1654</v>
      </c>
      <c r="E73" s="1584">
        <v>0.4</v>
      </c>
      <c r="F73" s="1571">
        <v>60</v>
      </c>
    </row>
    <row r="74" spans="1:6" s="1567" customFormat="1" ht="24">
      <c r="A74" s="1571">
        <v>14</v>
      </c>
      <c r="B74" s="3729"/>
      <c r="C74" s="1497" t="s">
        <v>1655</v>
      </c>
      <c r="D74" s="1497" t="s">
        <v>1656</v>
      </c>
      <c r="E74" s="1584">
        <v>0.2</v>
      </c>
      <c r="F74" s="1571">
        <v>30</v>
      </c>
    </row>
    <row r="75" spans="1:6" s="1567" customFormat="1" ht="24">
      <c r="A75" s="1571">
        <v>15</v>
      </c>
      <c r="B75" s="3729"/>
      <c r="C75" s="1497" t="s">
        <v>1657</v>
      </c>
      <c r="D75" s="1497" t="s">
        <v>1658</v>
      </c>
      <c r="E75" s="1584">
        <v>0.2</v>
      </c>
      <c r="F75" s="1571">
        <v>30</v>
      </c>
    </row>
    <row r="76" spans="1:6" s="1567" customFormat="1" ht="24">
      <c r="A76" s="1571">
        <v>16</v>
      </c>
      <c r="B76" s="3729" t="s">
        <v>1659</v>
      </c>
      <c r="C76" s="1497" t="s">
        <v>1660</v>
      </c>
      <c r="D76" s="1497" t="s">
        <v>1661</v>
      </c>
      <c r="E76" s="1584">
        <v>0.5</v>
      </c>
      <c r="F76" s="1571">
        <v>80</v>
      </c>
    </row>
    <row r="77" spans="1:6" s="1567" customFormat="1" ht="24">
      <c r="A77" s="1571">
        <v>17</v>
      </c>
      <c r="B77" s="3729"/>
      <c r="C77" s="1497" t="s">
        <v>1662</v>
      </c>
      <c r="D77" s="1497" t="s">
        <v>1663</v>
      </c>
      <c r="E77" s="1584">
        <v>0.5</v>
      </c>
      <c r="F77" s="1571">
        <v>80</v>
      </c>
    </row>
    <row r="78" spans="1:6" s="1567" customFormat="1" ht="24">
      <c r="A78" s="1571">
        <v>18</v>
      </c>
      <c r="B78" s="3729"/>
      <c r="C78" s="1497" t="s">
        <v>1664</v>
      </c>
      <c r="D78" s="1497" t="s">
        <v>1665</v>
      </c>
      <c r="E78" s="1584">
        <v>0.2</v>
      </c>
      <c r="F78" s="1571">
        <v>30</v>
      </c>
    </row>
    <row r="79" spans="1:6" s="1567" customFormat="1" ht="24">
      <c r="A79" s="1571">
        <v>19</v>
      </c>
      <c r="B79" s="3729"/>
      <c r="C79" s="1497" t="s">
        <v>1666</v>
      </c>
      <c r="D79" s="1497" t="s">
        <v>1667</v>
      </c>
      <c r="E79" s="1584">
        <v>0.5</v>
      </c>
      <c r="F79" s="1571">
        <v>80</v>
      </c>
    </row>
    <row r="80" spans="1:6" s="1567" customFormat="1" ht="36">
      <c r="A80" s="1571">
        <v>20</v>
      </c>
      <c r="B80" s="3729"/>
      <c r="C80" s="1497" t="s">
        <v>1668</v>
      </c>
      <c r="D80" s="1497" t="s">
        <v>1669</v>
      </c>
      <c r="E80" s="1584">
        <v>0.2</v>
      </c>
      <c r="F80" s="1571">
        <v>30</v>
      </c>
    </row>
    <row r="81" spans="1:6" s="1567" customFormat="1" ht="36">
      <c r="A81" s="1571">
        <v>21</v>
      </c>
      <c r="B81" s="3729"/>
      <c r="C81" s="1497" t="s">
        <v>1670</v>
      </c>
      <c r="D81" s="1497" t="s">
        <v>1671</v>
      </c>
      <c r="E81" s="1584">
        <v>0.2</v>
      </c>
      <c r="F81" s="1571">
        <v>30</v>
      </c>
    </row>
    <row r="82" spans="1:6" s="1567" customFormat="1" ht="48">
      <c r="A82" s="1571">
        <v>22</v>
      </c>
      <c r="B82" s="3729"/>
      <c r="C82" s="1497" t="s">
        <v>1672</v>
      </c>
      <c r="D82" s="1497" t="s">
        <v>1673</v>
      </c>
      <c r="E82" s="1584">
        <v>0.2</v>
      </c>
      <c r="F82" s="1571">
        <v>30</v>
      </c>
    </row>
    <row r="83" spans="1:6" s="1567" customFormat="1" ht="48">
      <c r="A83" s="1571">
        <v>23</v>
      </c>
      <c r="B83" s="3729"/>
      <c r="C83" s="1497" t="s">
        <v>1674</v>
      </c>
      <c r="D83" s="1497" t="s">
        <v>1675</v>
      </c>
      <c r="E83" s="1584">
        <v>0.2</v>
      </c>
      <c r="F83" s="1571">
        <v>30</v>
      </c>
    </row>
    <row r="84" spans="1:6" s="1567" customFormat="1" ht="36">
      <c r="A84" s="1571">
        <v>24</v>
      </c>
      <c r="B84" s="3729"/>
      <c r="C84" s="1497" t="s">
        <v>1676</v>
      </c>
      <c r="D84" s="1497" t="s">
        <v>1677</v>
      </c>
      <c r="E84" s="1584">
        <v>0.2</v>
      </c>
      <c r="F84" s="1571">
        <v>30</v>
      </c>
    </row>
    <row r="85" spans="1:6" s="1567" customFormat="1" ht="36">
      <c r="A85" s="1571">
        <v>25</v>
      </c>
      <c r="B85" s="3729"/>
      <c r="C85" s="1497" t="s">
        <v>1678</v>
      </c>
      <c r="D85" s="1497" t="s">
        <v>1679</v>
      </c>
      <c r="E85" s="1584">
        <v>0.5</v>
      </c>
      <c r="F85" s="1571">
        <v>80</v>
      </c>
    </row>
    <row r="86" spans="1:6" s="1567" customFormat="1" ht="36">
      <c r="A86" s="1571">
        <v>26</v>
      </c>
      <c r="B86" s="3729"/>
      <c r="C86" s="1497" t="s">
        <v>1680</v>
      </c>
      <c r="D86" s="1497" t="s">
        <v>1681</v>
      </c>
      <c r="E86" s="1584">
        <v>0.2</v>
      </c>
      <c r="F86" s="1571">
        <v>30</v>
      </c>
    </row>
    <row r="87" spans="1:6" s="1567" customFormat="1" ht="36">
      <c r="A87" s="1571">
        <v>27</v>
      </c>
      <c r="B87" s="3729"/>
      <c r="C87" s="1497" t="s">
        <v>1682</v>
      </c>
      <c r="D87" s="1497" t="s">
        <v>1683</v>
      </c>
      <c r="E87" s="1584">
        <v>0.2</v>
      </c>
      <c r="F87" s="1571">
        <v>30</v>
      </c>
    </row>
    <row r="88" spans="1:6" s="1567" customFormat="1" ht="36">
      <c r="A88" s="1571">
        <v>28</v>
      </c>
      <c r="B88" s="3729"/>
      <c r="C88" s="1497" t="s">
        <v>1684</v>
      </c>
      <c r="D88" s="1497" t="s">
        <v>1685</v>
      </c>
      <c r="E88" s="1584">
        <v>0.2</v>
      </c>
      <c r="F88" s="1571">
        <v>30</v>
      </c>
    </row>
    <row r="89" spans="1:6" s="1567" customFormat="1" ht="24">
      <c r="A89" s="1571">
        <v>29</v>
      </c>
      <c r="B89" s="3729"/>
      <c r="C89" s="1497" t="s">
        <v>1686</v>
      </c>
      <c r="D89" s="1497" t="s">
        <v>1687</v>
      </c>
      <c r="E89" s="1584">
        <v>0.2</v>
      </c>
      <c r="F89" s="1571">
        <v>30</v>
      </c>
    </row>
    <row r="90" spans="1:6" s="1567" customFormat="1" ht="24">
      <c r="A90" s="1571">
        <v>30</v>
      </c>
      <c r="B90" s="3729"/>
      <c r="C90" s="1497" t="s">
        <v>1688</v>
      </c>
      <c r="D90" s="1497" t="s">
        <v>1689</v>
      </c>
      <c r="E90" s="1584">
        <v>0.2</v>
      </c>
      <c r="F90" s="1571">
        <v>30</v>
      </c>
    </row>
    <row r="91" spans="1:6" s="1567" customFormat="1" ht="36">
      <c r="A91" s="1571">
        <v>31</v>
      </c>
      <c r="B91" s="3729"/>
      <c r="C91" s="1497" t="s">
        <v>1690</v>
      </c>
      <c r="D91" s="1497" t="s">
        <v>1691</v>
      </c>
      <c r="E91" s="1584">
        <v>0.2</v>
      </c>
      <c r="F91" s="1571">
        <v>30</v>
      </c>
    </row>
    <row r="92" spans="1:6" s="1567" customFormat="1" ht="24">
      <c r="A92" s="1571">
        <v>32</v>
      </c>
      <c r="B92" s="3729" t="s">
        <v>1692</v>
      </c>
      <c r="C92" s="1571" t="s">
        <v>1693</v>
      </c>
      <c r="D92" s="1497" t="s">
        <v>1694</v>
      </c>
      <c r="E92" s="1584">
        <v>0.2</v>
      </c>
      <c r="F92" s="1571">
        <v>30</v>
      </c>
    </row>
    <row r="93" spans="1:6" s="1567" customFormat="1" ht="36">
      <c r="A93" s="1571">
        <v>33</v>
      </c>
      <c r="B93" s="3729"/>
      <c r="C93" s="1571" t="s">
        <v>1695</v>
      </c>
      <c r="D93" s="1497" t="s">
        <v>1696</v>
      </c>
      <c r="E93" s="1584">
        <v>0.2</v>
      </c>
      <c r="F93" s="1571">
        <v>30</v>
      </c>
    </row>
    <row r="94" spans="1:6" s="1567" customFormat="1" ht="48">
      <c r="A94" s="1571">
        <v>34</v>
      </c>
      <c r="B94" s="3729"/>
      <c r="C94" s="1571" t="s">
        <v>1697</v>
      </c>
      <c r="D94" s="1497" t="s">
        <v>1698</v>
      </c>
      <c r="E94" s="1584">
        <v>0.2</v>
      </c>
      <c r="F94" s="1571">
        <v>30</v>
      </c>
    </row>
    <row r="95" spans="1:6" s="1567" customFormat="1" ht="36">
      <c r="A95" s="1571">
        <v>35</v>
      </c>
      <c r="B95" s="3729"/>
      <c r="C95" s="1571" t="s">
        <v>1699</v>
      </c>
      <c r="D95" s="1497" t="s">
        <v>1700</v>
      </c>
      <c r="E95" s="1584">
        <v>0.2</v>
      </c>
      <c r="F95" s="1571">
        <v>30</v>
      </c>
    </row>
    <row r="96" spans="1:6" s="1567" customFormat="1" ht="48">
      <c r="A96" s="1571">
        <v>36</v>
      </c>
      <c r="B96" s="3729"/>
      <c r="C96" s="1497" t="s">
        <v>1701</v>
      </c>
      <c r="D96" s="1497" t="s">
        <v>1702</v>
      </c>
      <c r="E96" s="1584">
        <v>0.2</v>
      </c>
      <c r="F96" s="1571">
        <v>30</v>
      </c>
    </row>
    <row r="97" spans="1:6" s="1567" customFormat="1" ht="36">
      <c r="A97" s="1571">
        <v>37</v>
      </c>
      <c r="B97" s="3729"/>
      <c r="C97" s="1571" t="s">
        <v>1703</v>
      </c>
      <c r="D97" s="1497" t="s">
        <v>1704</v>
      </c>
      <c r="E97" s="1584">
        <v>0.2</v>
      </c>
      <c r="F97" s="1571">
        <v>30</v>
      </c>
    </row>
    <row r="98" spans="1:6" s="1567" customFormat="1" ht="36">
      <c r="A98" s="1571">
        <v>38</v>
      </c>
      <c r="B98" s="3729"/>
      <c r="C98" s="1571" t="s">
        <v>1705</v>
      </c>
      <c r="D98" s="1497" t="s">
        <v>1706</v>
      </c>
      <c r="E98" s="1584">
        <v>0.2</v>
      </c>
      <c r="F98" s="1571">
        <v>30</v>
      </c>
    </row>
    <row r="99" spans="1:6" s="1567" customFormat="1" ht="36">
      <c r="A99" s="1571">
        <v>39</v>
      </c>
      <c r="B99" s="3729" t="s">
        <v>1707</v>
      </c>
      <c r="C99" s="1571" t="s">
        <v>1708</v>
      </c>
      <c r="D99" s="1497" t="s">
        <v>1709</v>
      </c>
      <c r="E99" s="1584">
        <v>0.3</v>
      </c>
      <c r="F99" s="1571">
        <v>50</v>
      </c>
    </row>
    <row r="100" spans="1:6" s="1567" customFormat="1" ht="24">
      <c r="A100" s="1571">
        <v>40</v>
      </c>
      <c r="B100" s="3729"/>
      <c r="C100" s="1571" t="s">
        <v>1710</v>
      </c>
      <c r="D100" s="1497" t="s">
        <v>1711</v>
      </c>
      <c r="E100" s="1584">
        <v>0.2</v>
      </c>
      <c r="F100" s="1571">
        <v>30</v>
      </c>
    </row>
    <row r="101" spans="1:6" s="1567" customFormat="1" ht="36">
      <c r="A101" s="1571">
        <v>41</v>
      </c>
      <c r="B101" s="3729"/>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29" t="s">
        <v>1722</v>
      </c>
      <c r="C105" s="1571" t="s">
        <v>1723</v>
      </c>
      <c r="D105" s="1497" t="s">
        <v>1724</v>
      </c>
      <c r="E105" s="1584">
        <v>0.2</v>
      </c>
      <c r="F105" s="1571">
        <v>30</v>
      </c>
    </row>
    <row r="106" spans="1:6" s="1567" customFormat="1" ht="36">
      <c r="A106" s="1571">
        <v>46</v>
      </c>
      <c r="B106" s="3729"/>
      <c r="C106" s="1571" t="s">
        <v>1725</v>
      </c>
      <c r="D106" s="1497" t="s">
        <v>1726</v>
      </c>
      <c r="E106" s="1584">
        <v>0.2</v>
      </c>
      <c r="F106" s="1571">
        <v>30</v>
      </c>
    </row>
    <row r="107" spans="1:6" s="1567" customFormat="1" ht="36">
      <c r="A107" s="1571">
        <v>47</v>
      </c>
      <c r="B107" s="3729" t="s">
        <v>1727</v>
      </c>
      <c r="C107" s="1571" t="s">
        <v>1728</v>
      </c>
      <c r="D107" s="1497" t="s">
        <v>1729</v>
      </c>
      <c r="E107" s="1584">
        <v>0.3</v>
      </c>
      <c r="F107" s="1571">
        <v>50</v>
      </c>
    </row>
    <row r="108" spans="1:6" s="1567" customFormat="1" ht="36">
      <c r="A108" s="1571">
        <v>48</v>
      </c>
      <c r="B108" s="3729"/>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29" t="s">
        <v>1738</v>
      </c>
      <c r="C111" s="1571" t="s">
        <v>1739</v>
      </c>
      <c r="D111" s="1497" t="s">
        <v>1740</v>
      </c>
      <c r="E111" s="1584">
        <v>0.2</v>
      </c>
      <c r="F111" s="1571">
        <v>30</v>
      </c>
    </row>
    <row r="112" spans="1:6" s="1567" customFormat="1" ht="24">
      <c r="A112" s="1571">
        <v>52</v>
      </c>
      <c r="B112" s="3729"/>
      <c r="C112" s="1571" t="s">
        <v>1741</v>
      </c>
      <c r="D112" s="1497" t="s">
        <v>1742</v>
      </c>
      <c r="E112" s="1584">
        <v>0.2</v>
      </c>
      <c r="F112" s="1571">
        <v>30</v>
      </c>
    </row>
    <row r="113" spans="1:6" s="1567" customFormat="1" ht="24">
      <c r="A113" s="1571">
        <v>53</v>
      </c>
      <c r="B113" s="3729"/>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29" t="s">
        <v>1751</v>
      </c>
      <c r="C116" s="1571" t="s">
        <v>1752</v>
      </c>
      <c r="D116" s="1497" t="s">
        <v>1753</v>
      </c>
      <c r="E116" s="1584">
        <v>0.2</v>
      </c>
      <c r="F116" s="1571">
        <v>30</v>
      </c>
    </row>
    <row r="117" spans="1:6" ht="36">
      <c r="A117" s="1571">
        <v>57</v>
      </c>
      <c r="B117" s="3729"/>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3063</v>
      </c>
    </row>
    <row r="2" spans="1:5" ht="14.25">
      <c r="A2" s="3340" t="s">
        <v>208</v>
      </c>
      <c r="B2" s="3337" t="e">
        <f ca="1">SUMIF(B6:B13,"&lt;&gt;#ref!",B6:B13)</f>
        <v>#DIV/0!</v>
      </c>
      <c r="C2" s="3340" t="s">
        <v>2673</v>
      </c>
      <c r="D2" s="3340" t="s">
        <v>3058</v>
      </c>
      <c r="E2" s="3337" t="e">
        <f ca="1">SUM(E6:E13)</f>
        <v>#REF!</v>
      </c>
    </row>
    <row r="3" spans="1:5" ht="14.25">
      <c r="A3" s="3340" t="s">
        <v>8</v>
      </c>
      <c r="B3" s="3337" t="e">
        <f ca="1">ROUND(B2*10000/E2,0)</f>
        <v>#DIV/0!</v>
      </c>
      <c r="C3" s="3340" t="s">
        <v>2674</v>
      </c>
      <c r="D3" s="3338"/>
      <c r="E3" s="3338"/>
    </row>
    <row r="4" spans="1:5" ht="14.25">
      <c r="A4" s="3341"/>
      <c r="B4" s="3338"/>
      <c r="C4" s="3338"/>
      <c r="D4" s="3338"/>
      <c r="E4" s="3338"/>
    </row>
    <row r="5" spans="1:5" ht="28.5">
      <c r="A5" s="3342" t="s">
        <v>3061</v>
      </c>
      <c r="B5" s="3340" t="s">
        <v>3059</v>
      </c>
      <c r="C5" s="3337"/>
      <c r="D5" s="3338"/>
      <c r="E5" s="3340" t="s">
        <v>3060</v>
      </c>
    </row>
    <row r="6" spans="1:5" ht="14.25">
      <c r="A6" s="3343" t="s">
        <v>3062</v>
      </c>
      <c r="B6" s="3339" t="e">
        <f ca="1">SUMIF(INDIRECT("'"&amp;A6&amp;"'"&amp;"!A:A"),"总价",INDIRECT("'"&amp;A6&amp;"'"&amp;"!B:B"))</f>
        <v>#DIV/0!</v>
      </c>
      <c r="C6" s="3340" t="s">
        <v>2673</v>
      </c>
      <c r="D6" s="3338"/>
      <c r="E6" s="2787">
        <f ca="1">SUMIF(INDIRECT("'"&amp;A6&amp;"'"&amp;"!C:C"),"建筑面积",INDIRECT("'"&amp;A6&amp;"'"&amp;"!D:D"))</f>
        <v>0</v>
      </c>
    </row>
    <row r="7" spans="1:5" ht="14.25">
      <c r="A7" s="3343"/>
      <c r="B7" s="3339" t="e">
        <f ca="1">SUMIF(INDIRECT("'"&amp;A7&amp;"'"&amp;"!A:A"),"总价",INDIRECT("'"&amp;A7&amp;"'"&amp;"!B:B"))</f>
        <v>#REF!</v>
      </c>
      <c r="C7" s="3340" t="s">
        <v>2673</v>
      </c>
      <c r="D7" s="3338"/>
      <c r="E7" s="2787" t="e">
        <f t="shared" ref="E7:E13" ca="1" si="0">SUMIF(INDIRECT("'"&amp;A7&amp;"'"&amp;"!C:C"),"建筑面积",INDIRECT("'"&amp;A7&amp;"'"&amp;"!D:D"))</f>
        <v>#REF!</v>
      </c>
    </row>
    <row r="8" spans="1:5" ht="14.25">
      <c r="A8" s="3343"/>
      <c r="B8" s="3339" t="e">
        <f t="shared" ref="B8:B13" ca="1" si="1">SUMIF(INDIRECT("'"&amp;A8&amp;"'"&amp;"!A:A"),"总价",INDIRECT("'"&amp;A8&amp;"'"&amp;"!B:B"))</f>
        <v>#REF!</v>
      </c>
      <c r="C8" s="3340" t="s">
        <v>2673</v>
      </c>
      <c r="D8" s="3338"/>
      <c r="E8" s="2787" t="e">
        <f t="shared" ca="1" si="0"/>
        <v>#REF!</v>
      </c>
    </row>
    <row r="9" spans="1:5" ht="14.25">
      <c r="A9" s="3343"/>
      <c r="B9" s="3339" t="e">
        <f t="shared" ca="1" si="1"/>
        <v>#REF!</v>
      </c>
      <c r="C9" s="3340" t="s">
        <v>2673</v>
      </c>
      <c r="D9" s="3338"/>
      <c r="E9" s="2787" t="e">
        <f t="shared" ca="1" si="0"/>
        <v>#REF!</v>
      </c>
    </row>
    <row r="10" spans="1:5" ht="14.25">
      <c r="A10" s="3343"/>
      <c r="B10" s="3339" t="e">
        <f t="shared" ca="1" si="1"/>
        <v>#REF!</v>
      </c>
      <c r="C10" s="3340" t="s">
        <v>2673</v>
      </c>
      <c r="D10" s="3338"/>
      <c r="E10" s="2787" t="e">
        <f t="shared" ca="1" si="0"/>
        <v>#REF!</v>
      </c>
    </row>
    <row r="11" spans="1:5" ht="14.25">
      <c r="A11" s="3343"/>
      <c r="B11" s="3339" t="e">
        <f t="shared" ca="1" si="1"/>
        <v>#REF!</v>
      </c>
      <c r="C11" s="3340" t="s">
        <v>2673</v>
      </c>
      <c r="D11" s="3338"/>
      <c r="E11" s="2787" t="e">
        <f t="shared" ca="1" si="0"/>
        <v>#REF!</v>
      </c>
    </row>
    <row r="12" spans="1:5" ht="14.25">
      <c r="A12" s="3343"/>
      <c r="B12" s="3339" t="e">
        <f t="shared" ca="1" si="1"/>
        <v>#REF!</v>
      </c>
      <c r="C12" s="3340" t="s">
        <v>2673</v>
      </c>
      <c r="D12" s="3338"/>
      <c r="E12" s="2787" t="e">
        <f t="shared" ca="1" si="0"/>
        <v>#REF!</v>
      </c>
    </row>
    <row r="13" spans="1:5" ht="14.25">
      <c r="A13" s="3343"/>
      <c r="B13" s="3339" t="e">
        <f t="shared" ca="1" si="1"/>
        <v>#REF!</v>
      </c>
      <c r="C13" s="3340" t="s">
        <v>2673</v>
      </c>
      <c r="D13" s="3338"/>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2031</v>
      </c>
      <c r="B1" s="1962"/>
      <c r="C1" s="1962"/>
      <c r="D1" s="1962"/>
      <c r="E1" s="1962"/>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5"/>
      <c r="C2" s="3385"/>
      <c r="D2" s="3385"/>
      <c r="E2" s="3385"/>
    </row>
    <row r="3" spans="1:5" ht="18.75">
      <c r="A3" s="3386" t="str">
        <f>IF(项目基本情况!B9="房地产市场价值","估价结果一览表（市场价值不需“结果表-1”）","估价结果一览表")</f>
        <v>估价结果一览表</v>
      </c>
      <c r="B3" s="3386"/>
      <c r="C3" s="3386"/>
      <c r="D3" s="3386"/>
      <c r="E3" s="3386"/>
    </row>
    <row r="4" spans="1:5" ht="19.5" thickBot="1">
      <c r="A4" s="1974"/>
      <c r="B4" s="3384" t="s">
        <v>2036</v>
      </c>
      <c r="C4" s="3384"/>
      <c r="D4" s="3384"/>
      <c r="E4" s="1974"/>
    </row>
    <row r="5" spans="1:5" ht="16.5" thickTop="1">
      <c r="A5" s="1962"/>
      <c r="B5" s="3382" t="s">
        <v>2032</v>
      </c>
      <c r="C5" s="1964" t="s">
        <v>2037</v>
      </c>
      <c r="D5" s="1965">
        <f ca="1">结果表!H101</f>
        <v>32896</v>
      </c>
      <c r="E5" s="1962"/>
    </row>
    <row r="6" spans="1:5" ht="15.75">
      <c r="A6" s="1962"/>
      <c r="B6" s="3382"/>
      <c r="C6" s="1964" t="s">
        <v>2876</v>
      </c>
      <c r="D6" s="1965" t="str">
        <f ca="1">NUMBERSTRING(INT(D5*10000),2)&amp;"元整"</f>
        <v>叁亿贰仟捌佰玖拾陆万元整</v>
      </c>
      <c r="E6" s="1962"/>
    </row>
    <row r="7" spans="1:5" ht="15.75">
      <c r="A7" s="1962"/>
      <c r="B7" s="3387"/>
      <c r="C7" s="1966" t="s">
        <v>2038</v>
      </c>
      <c r="D7" s="1967">
        <f ca="1">结果表!H102</f>
        <v>5267</v>
      </c>
      <c r="E7" s="1962"/>
    </row>
    <row r="8" spans="1:5" ht="15.75">
      <c r="A8" s="1962"/>
      <c r="B8" s="3388" t="str">
        <f>结果表!E103</f>
        <v>2.估价师知悉的法定优先受偿款</v>
      </c>
      <c r="C8" s="1968" t="s">
        <v>2039</v>
      </c>
      <c r="D8" s="1967">
        <f>结果表!H103</f>
        <v>0</v>
      </c>
      <c r="E8" s="1962"/>
    </row>
    <row r="9" spans="1:5" ht="15.75">
      <c r="A9" s="1962"/>
      <c r="B9" s="3390"/>
      <c r="C9" s="1964" t="s">
        <v>2876</v>
      </c>
      <c r="D9" s="1965" t="str">
        <f>NUMBERSTRING(INT(D8*10000),2)&amp;"元整"</f>
        <v>零元整</v>
      </c>
      <c r="E9" s="1962"/>
    </row>
    <row r="10" spans="1:5" ht="15">
      <c r="A10" s="1962"/>
      <c r="B10" s="1969" t="s">
        <v>2033</v>
      </c>
      <c r="C10" s="1970" t="s">
        <v>2039</v>
      </c>
      <c r="D10" s="1971">
        <f>结果表!H104</f>
        <v>0</v>
      </c>
      <c r="E10" s="1962"/>
    </row>
    <row r="11" spans="1:5" ht="15">
      <c r="A11" s="1962"/>
      <c r="B11" s="1969" t="s">
        <v>2034</v>
      </c>
      <c r="C11" s="1970" t="s">
        <v>2039</v>
      </c>
      <c r="D11" s="1971">
        <f>结果表!H105</f>
        <v>0</v>
      </c>
      <c r="E11" s="1962"/>
    </row>
    <row r="12" spans="1:5" ht="15">
      <c r="A12" s="1962"/>
      <c r="B12" s="1969" t="s">
        <v>2035</v>
      </c>
      <c r="C12" s="1970" t="s">
        <v>2039</v>
      </c>
      <c r="D12" s="1971">
        <f>结果表!H106</f>
        <v>0</v>
      </c>
      <c r="E12" s="1962"/>
    </row>
    <row r="13" spans="1:5" ht="15.75">
      <c r="A13" s="1962"/>
      <c r="B13" s="3381" t="str">
        <f>结果表!E107</f>
        <v>3.房地产抵押价值</v>
      </c>
      <c r="C13" s="1972" t="s">
        <v>2037</v>
      </c>
      <c r="D13" s="1975">
        <f ca="1">结果表!H107</f>
        <v>32896</v>
      </c>
      <c r="E13" s="1962"/>
    </row>
    <row r="14" spans="1:5" ht="15.75">
      <c r="A14" s="1962"/>
      <c r="B14" s="3382"/>
      <c r="C14" s="1964" t="s">
        <v>2876</v>
      </c>
      <c r="D14" s="1965" t="str">
        <f ca="1">NUMBERSTRING(INT(D13*10000),2)&amp;"元整"</f>
        <v>叁亿贰仟捌佰玖拾陆万元整</v>
      </c>
      <c r="E14" s="1962"/>
    </row>
    <row r="15" spans="1:5" ht="15">
      <c r="A15" s="1962"/>
      <c r="B15" s="3387"/>
      <c r="C15" s="1966" t="s">
        <v>2038</v>
      </c>
      <c r="D15" s="2077">
        <f ca="1">结果表!H108</f>
        <v>5267</v>
      </c>
      <c r="E15" s="1962"/>
    </row>
    <row r="16" spans="1:5" ht="14.25">
      <c r="A16" s="1962"/>
      <c r="B16" s="3388" t="str">
        <f>结果表!E109</f>
        <v>——</v>
      </c>
      <c r="C16" s="1972" t="s">
        <v>2037</v>
      </c>
      <c r="D16" s="2078" t="str">
        <f>结果表!H109</f>
        <v>——</v>
      </c>
      <c r="E16" s="1962"/>
    </row>
    <row r="17" spans="1:5" ht="15.75">
      <c r="A17" s="1962"/>
      <c r="B17" s="3389"/>
      <c r="C17" s="1964" t="s">
        <v>2876</v>
      </c>
      <c r="D17" s="1965" t="e">
        <f>NUMBERSTRING(INT(D16*10000),2)&amp;"元整"</f>
        <v>#VALUE!</v>
      </c>
      <c r="E17" s="1962"/>
    </row>
    <row r="18" spans="1:5" ht="15">
      <c r="A18" s="1962"/>
      <c r="B18" s="3390"/>
      <c r="C18" s="1966" t="s">
        <v>2038</v>
      </c>
      <c r="D18" s="2077" t="str">
        <f>结果表!H110</f>
        <v>——</v>
      </c>
      <c r="E18" s="1962"/>
    </row>
    <row r="19" spans="1:5" ht="15.75">
      <c r="A19" s="1962"/>
      <c r="B19" s="3381" t="str">
        <f>结果表!E111</f>
        <v>——</v>
      </c>
      <c r="C19" s="1972" t="s">
        <v>2037</v>
      </c>
      <c r="D19" s="1967" t="str">
        <f>结果表!H111</f>
        <v>——</v>
      </c>
      <c r="E19" s="1962"/>
    </row>
    <row r="20" spans="1:5" ht="15.75">
      <c r="A20" s="1962"/>
      <c r="B20" s="3382"/>
      <c r="C20" s="1964" t="s">
        <v>2876</v>
      </c>
      <c r="D20" s="1965" t="e">
        <f>NUMBERSTRING(INT(D19*10000),2)&amp;"元整"</f>
        <v>#VALUE!</v>
      </c>
      <c r="E20" s="1962"/>
    </row>
    <row r="21" spans="1:5" ht="15.75" thickBot="1">
      <c r="A21" s="1962"/>
      <c r="B21" s="3383"/>
      <c r="C21" s="2079" t="s">
        <v>2038</v>
      </c>
      <c r="D21" s="2080" t="str">
        <f>结果表!H112</f>
        <v>——</v>
      </c>
      <c r="E21" s="1962"/>
    </row>
    <row r="22" spans="1:5" ht="14.25" thickTop="1">
      <c r="A22" s="1962"/>
      <c r="B22" s="1973" t="s">
        <v>2064</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2" t="s">
        <v>2715</v>
      </c>
      <c r="C1" s="3752"/>
      <c r="D1" s="3752"/>
      <c r="E1" s="3752"/>
      <c r="F1" s="3752"/>
      <c r="G1" s="3748" t="s">
        <v>2716</v>
      </c>
      <c r="H1" s="3748"/>
      <c r="I1" s="3748"/>
      <c r="J1" s="3748"/>
      <c r="K1" s="3748"/>
      <c r="L1" s="3748"/>
      <c r="N1" s="3748" t="s">
        <v>2717</v>
      </c>
      <c r="O1" s="3748"/>
      <c r="P1" s="3748"/>
      <c r="Q1" s="3748"/>
      <c r="R1" s="2898"/>
      <c r="S1" s="3748" t="s">
        <v>2718</v>
      </c>
      <c r="T1" s="3748"/>
      <c r="U1" s="3748"/>
      <c r="V1" s="3748"/>
      <c r="X1" s="3747" t="s">
        <v>2719</v>
      </c>
      <c r="Y1" s="3748"/>
      <c r="Z1" s="3748"/>
      <c r="AA1" s="3748"/>
      <c r="AB1" s="3748"/>
      <c r="AD1" s="3747" t="s">
        <v>2720</v>
      </c>
      <c r="AE1" s="3748"/>
      <c r="AF1" s="3748"/>
      <c r="AG1" s="3748"/>
      <c r="AH1" s="3748"/>
    </row>
    <row r="2" spans="1:34" s="2899" customFormat="1" ht="14.25" thickBot="1">
      <c r="B2" s="2900" t="s">
        <v>2721</v>
      </c>
      <c r="C2" s="2900" t="s">
        <v>2722</v>
      </c>
      <c r="D2" s="2901" t="s">
        <v>2723</v>
      </c>
      <c r="E2" s="2901" t="s">
        <v>2724</v>
      </c>
      <c r="F2" s="2900" t="s">
        <v>2725</v>
      </c>
      <c r="G2" s="2902"/>
      <c r="H2" s="2903"/>
      <c r="I2" s="2900" t="s">
        <v>2721</v>
      </c>
      <c r="J2" s="2901" t="s">
        <v>3064</v>
      </c>
      <c r="K2" s="2901" t="s">
        <v>1845</v>
      </c>
      <c r="L2" s="2900" t="s">
        <v>2725</v>
      </c>
      <c r="N2" s="2900" t="s">
        <v>2721</v>
      </c>
      <c r="O2" s="2901" t="s">
        <v>3064</v>
      </c>
      <c r="P2" s="2901" t="s">
        <v>1845</v>
      </c>
      <c r="Q2" s="2900" t="s">
        <v>2725</v>
      </c>
      <c r="R2" s="2904"/>
      <c r="S2" s="2900" t="s">
        <v>2721</v>
      </c>
      <c r="T2" s="2901" t="s">
        <v>3064</v>
      </c>
      <c r="U2" s="2901" t="s">
        <v>1845</v>
      </c>
      <c r="V2" s="2900" t="s">
        <v>2725</v>
      </c>
      <c r="X2" s="2900" t="s">
        <v>2721</v>
      </c>
      <c r="Y2" s="2900" t="s">
        <v>2722</v>
      </c>
      <c r="Z2" s="2901" t="s">
        <v>2723</v>
      </c>
      <c r="AA2" s="2901" t="s">
        <v>2724</v>
      </c>
      <c r="AB2" s="2900" t="s">
        <v>2725</v>
      </c>
      <c r="AD2" s="2900" t="s">
        <v>2721</v>
      </c>
      <c r="AE2" s="2900" t="s">
        <v>2722</v>
      </c>
      <c r="AF2" s="2901" t="s">
        <v>2723</v>
      </c>
      <c r="AG2" s="2901" t="s">
        <v>2724</v>
      </c>
      <c r="AH2" s="2900" t="s">
        <v>2725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2726</v>
      </c>
      <c r="B4" s="2914"/>
      <c r="C4" s="2914"/>
      <c r="D4" s="2914"/>
      <c r="E4" s="2914"/>
      <c r="F4" s="2914"/>
      <c r="G4" s="3753">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2727</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50"/>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2729</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3065</v>
      </c>
      <c r="B6" s="2933">
        <f t="shared" si="2"/>
        <v>419.31181600000002</v>
      </c>
      <c r="C6" s="2933">
        <f t="shared" si="3"/>
        <v>313.95436800000004</v>
      </c>
      <c r="D6" s="2933">
        <f t="shared" si="4"/>
        <v>313.95436800000004</v>
      </c>
      <c r="E6" s="2933">
        <f t="shared" si="5"/>
        <v>596.63028431999999</v>
      </c>
      <c r="F6" s="2933">
        <f t="shared" si="6"/>
        <v>274.74220703999998</v>
      </c>
      <c r="G6" s="3750"/>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2728</v>
      </c>
      <c r="B7" s="2933">
        <f>B8*(1+N7)</f>
        <v>405.524</v>
      </c>
      <c r="C7" s="2933">
        <f>C8*(1+O7)</f>
        <v>307.79840000000002</v>
      </c>
      <c r="D7" s="2933">
        <f>C7</f>
        <v>307.79840000000002</v>
      </c>
      <c r="E7" s="2933">
        <f>E8*(1+P7)</f>
        <v>574.67759999999998</v>
      </c>
      <c r="F7" s="2933">
        <f>F8*(1+Q7)</f>
        <v>270.20280000000002</v>
      </c>
      <c r="G7" s="3751"/>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1160</v>
      </c>
      <c r="B8" s="2925">
        <v>392</v>
      </c>
      <c r="C8" s="2925">
        <v>302</v>
      </c>
      <c r="D8" s="2925">
        <f>C8</f>
        <v>302</v>
      </c>
      <c r="E8" s="2925">
        <v>553</v>
      </c>
      <c r="F8" s="2926">
        <v>266</v>
      </c>
      <c r="G8" s="3753">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0"/>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50"/>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51"/>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49">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0"/>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50"/>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51"/>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49">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0"/>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50"/>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51"/>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2730</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2731</v>
      </c>
      <c r="B20" s="2925">
        <v>299</v>
      </c>
      <c r="C20" s="2925">
        <v>252</v>
      </c>
      <c r="D20" s="2925">
        <f t="shared" si="16"/>
        <v>252</v>
      </c>
      <c r="E20" s="2925">
        <v>409</v>
      </c>
      <c r="F20" s="2926">
        <v>227</v>
      </c>
      <c r="G20" s="3754">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5"/>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2733</v>
      </c>
      <c r="B22" s="2933">
        <f t="shared" si="25"/>
        <v>288.2649053828776</v>
      </c>
      <c r="C22" s="2933">
        <f t="shared" si="25"/>
        <v>243.64564425013293</v>
      </c>
      <c r="D22" s="2933">
        <f t="shared" si="16"/>
        <v>243.64564425013293</v>
      </c>
      <c r="E22" s="2933">
        <f t="shared" si="26"/>
        <v>393.31080825986544</v>
      </c>
      <c r="F22" s="2933">
        <f t="shared" si="26"/>
        <v>223.07903790551154</v>
      </c>
      <c r="G22" s="3755"/>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2734</v>
      </c>
      <c r="B23" s="2933">
        <f t="shared" si="25"/>
        <v>282.50186729015837</v>
      </c>
      <c r="C23" s="2933">
        <f t="shared" si="25"/>
        <v>238.09796174155468</v>
      </c>
      <c r="D23" s="2933">
        <f t="shared" si="16"/>
        <v>238.09796174155468</v>
      </c>
      <c r="E23" s="2933">
        <f t="shared" si="26"/>
        <v>385.33438646014054</v>
      </c>
      <c r="F23" s="2933">
        <f t="shared" si="26"/>
        <v>221.55034055567739</v>
      </c>
      <c r="G23" s="3756"/>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2735</v>
      </c>
      <c r="B24" s="2967">
        <v>278</v>
      </c>
      <c r="C24" s="2967">
        <v>234</v>
      </c>
      <c r="D24" s="2967">
        <f t="shared" si="16"/>
        <v>234</v>
      </c>
      <c r="E24" s="2967">
        <v>379</v>
      </c>
      <c r="F24" s="2968">
        <v>220</v>
      </c>
      <c r="G24" s="3749">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2736</v>
      </c>
      <c r="B25" s="2933">
        <f>B24/(1+N24)</f>
        <v>275.49301357645425</v>
      </c>
      <c r="C25" s="2933">
        <f>C24/(1+O24)</f>
        <v>232.41954707985698</v>
      </c>
      <c r="D25" s="2933">
        <f t="shared" si="16"/>
        <v>232.41954707985698</v>
      </c>
      <c r="E25" s="2933">
        <f t="shared" ref="E25:F27" si="27">E24/(1+P24)</f>
        <v>375.32184591008121</v>
      </c>
      <c r="F25" s="2933">
        <f t="shared" si="27"/>
        <v>218.03766105054513</v>
      </c>
      <c r="G25" s="3750"/>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2737</v>
      </c>
      <c r="B26" s="2933">
        <f>B25/(1+N25)</f>
        <v>275.24529281292263</v>
      </c>
      <c r="C26" s="2933">
        <f>C25/(1+O25)</f>
        <v>231.74747938962707</v>
      </c>
      <c r="D26" s="2933">
        <f t="shared" si="16"/>
        <v>231.74747938962707</v>
      </c>
      <c r="E26" s="2933">
        <f t="shared" si="27"/>
        <v>375.35938184826603</v>
      </c>
      <c r="F26" s="2933">
        <f t="shared" si="27"/>
        <v>216.78033510692495</v>
      </c>
      <c r="G26" s="3750"/>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2738</v>
      </c>
      <c r="B27" s="2933">
        <f>B26/(1+N26)</f>
        <v>275.19025476197027</v>
      </c>
      <c r="C27" s="2969">
        <v>232</v>
      </c>
      <c r="D27" s="2969">
        <f t="shared" si="16"/>
        <v>232</v>
      </c>
      <c r="E27" s="2933">
        <f t="shared" si="27"/>
        <v>375.65990977608692</v>
      </c>
      <c r="F27" s="2933">
        <f t="shared" si="27"/>
        <v>214.12518283971252</v>
      </c>
      <c r="G27" s="3751"/>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2739</v>
      </c>
      <c r="B28" s="2925">
        <v>275</v>
      </c>
      <c r="C28" s="2925">
        <v>232</v>
      </c>
      <c r="D28" s="2925">
        <f t="shared" si="16"/>
        <v>232</v>
      </c>
      <c r="E28" s="2925">
        <v>376</v>
      </c>
      <c r="F28" s="2926">
        <v>213</v>
      </c>
      <c r="G28" s="3749">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0">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2741</v>
      </c>
      <c r="B30" s="2933">
        <f t="shared" si="28"/>
        <v>275.19335084830601</v>
      </c>
      <c r="C30" s="2933">
        <f t="shared" si="28"/>
        <v>230.18088050139744</v>
      </c>
      <c r="D30" s="2933">
        <f t="shared" si="16"/>
        <v>230.18088050139744</v>
      </c>
      <c r="E30" s="2933">
        <f t="shared" si="29"/>
        <v>377.58482925212331</v>
      </c>
      <c r="F30" s="2933">
        <f t="shared" si="29"/>
        <v>210.90687997847917</v>
      </c>
      <c r="G30" s="3750">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2742</v>
      </c>
      <c r="B31" s="2933">
        <f t="shared" si="28"/>
        <v>276.29854502841971</v>
      </c>
      <c r="C31" s="2933">
        <f t="shared" si="28"/>
        <v>229.79023709833027</v>
      </c>
      <c r="D31" s="2933">
        <f t="shared" si="16"/>
        <v>229.79023709833027</v>
      </c>
      <c r="E31" s="2933">
        <f t="shared" si="29"/>
        <v>379.78759731655936</v>
      </c>
      <c r="F31" s="2933">
        <f t="shared" si="29"/>
        <v>211.32953905659235</v>
      </c>
      <c r="G31" s="3751">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2743</v>
      </c>
      <c r="B32" s="2925">
        <v>269</v>
      </c>
      <c r="C32" s="2925">
        <v>221</v>
      </c>
      <c r="D32" s="2925">
        <f t="shared" si="16"/>
        <v>221</v>
      </c>
      <c r="E32" s="2925">
        <v>373</v>
      </c>
      <c r="F32" s="2926">
        <v>196</v>
      </c>
      <c r="G32" s="3749">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2744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0">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2745</v>
      </c>
      <c r="B34" s="2933">
        <f t="shared" si="30"/>
        <v>242.95398227588385</v>
      </c>
      <c r="C34" s="2933">
        <f t="shared" si="30"/>
        <v>199.59137053614126</v>
      </c>
      <c r="D34" s="2933">
        <f t="shared" si="16"/>
        <v>199.59137053614126</v>
      </c>
      <c r="E34" s="2933">
        <f t="shared" si="31"/>
        <v>335.92189522342125</v>
      </c>
      <c r="F34" s="2933">
        <f t="shared" si="31"/>
        <v>183.10139991109489</v>
      </c>
      <c r="G34" s="3750">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2746</v>
      </c>
      <c r="B35" s="2933">
        <f t="shared" si="30"/>
        <v>232.06990378821649</v>
      </c>
      <c r="C35" s="2933">
        <f t="shared" si="30"/>
        <v>192.74878854286936</v>
      </c>
      <c r="D35" s="2933">
        <f t="shared" si="16"/>
        <v>192.74878854286936</v>
      </c>
      <c r="E35" s="2933">
        <f t="shared" si="31"/>
        <v>319.71247284992984</v>
      </c>
      <c r="F35" s="2933">
        <f t="shared" si="31"/>
        <v>175.67053622862409</v>
      </c>
      <c r="G35" s="3751">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2747</v>
      </c>
      <c r="B36" s="2925">
        <v>220</v>
      </c>
      <c r="C36" s="2925">
        <v>187</v>
      </c>
      <c r="D36" s="2925">
        <f t="shared" si="16"/>
        <v>187</v>
      </c>
      <c r="E36" s="2925">
        <v>301</v>
      </c>
      <c r="F36" s="2926">
        <v>168</v>
      </c>
      <c r="G36" s="3749">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0">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2749</v>
      </c>
      <c r="B38" s="2933">
        <f t="shared" si="32"/>
        <v>210.630522469011</v>
      </c>
      <c r="C38" s="2933">
        <f t="shared" si="32"/>
        <v>181.69567812247232</v>
      </c>
      <c r="D38" s="2933">
        <f t="shared" si="16"/>
        <v>181.69567812247232</v>
      </c>
      <c r="E38" s="2933">
        <f t="shared" si="33"/>
        <v>286.13517466736738</v>
      </c>
      <c r="F38" s="2933">
        <f t="shared" si="33"/>
        <v>165.47535084591149</v>
      </c>
      <c r="G38" s="3750">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2750</v>
      </c>
      <c r="B39" s="2933">
        <f t="shared" si="32"/>
        <v>208.83454537875372</v>
      </c>
      <c r="C39" s="2933">
        <f t="shared" si="32"/>
        <v>183.77230517090351</v>
      </c>
      <c r="D39" s="2933">
        <f t="shared" si="16"/>
        <v>183.77230517090351</v>
      </c>
      <c r="E39" s="2933">
        <f t="shared" si="33"/>
        <v>281.10342338870947</v>
      </c>
      <c r="F39" s="2933">
        <f t="shared" si="33"/>
        <v>168.97309388942256</v>
      </c>
      <c r="G39" s="3751">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2751</v>
      </c>
      <c r="B40" s="2967">
        <v>214</v>
      </c>
      <c r="C40" s="2967">
        <v>188</v>
      </c>
      <c r="D40" s="2967">
        <f t="shared" si="16"/>
        <v>188</v>
      </c>
      <c r="E40" s="2967">
        <v>289</v>
      </c>
      <c r="F40" s="2968">
        <v>166</v>
      </c>
      <c r="G40" s="3749">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0">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2753</v>
      </c>
      <c r="B42" s="2933">
        <f t="shared" si="34"/>
        <v>206.31694671589116</v>
      </c>
      <c r="C42" s="2933">
        <f t="shared" si="34"/>
        <v>183.61041121036101</v>
      </c>
      <c r="D42" s="2933">
        <f t="shared" si="16"/>
        <v>183.61041121036101</v>
      </c>
      <c r="E42" s="2933">
        <f t="shared" si="35"/>
        <v>276.66850301795557</v>
      </c>
      <c r="F42" s="2933">
        <f t="shared" si="35"/>
        <v>165.1360938278614</v>
      </c>
      <c r="G42" s="3750">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2754</v>
      </c>
      <c r="B43" s="2970">
        <f t="shared" si="34"/>
        <v>196.62341248059772</v>
      </c>
      <c r="C43" s="2970">
        <f t="shared" si="34"/>
        <v>170.99125648199012</v>
      </c>
      <c r="D43" s="2970">
        <f t="shared" si="16"/>
        <v>170.99125648199012</v>
      </c>
      <c r="E43" s="2970">
        <f t="shared" si="35"/>
        <v>266.07857570490052</v>
      </c>
      <c r="F43" s="2970">
        <f t="shared" si="35"/>
        <v>154.53499328828505</v>
      </c>
      <c r="G43" s="3751">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2755</v>
      </c>
      <c r="B44" s="2925">
        <v>188</v>
      </c>
      <c r="C44" s="2925">
        <v>165</v>
      </c>
      <c r="D44" s="2925">
        <f t="shared" si="16"/>
        <v>165</v>
      </c>
      <c r="E44" s="2925">
        <v>254</v>
      </c>
      <c r="F44" s="2926">
        <v>148</v>
      </c>
      <c r="G44" s="3749">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0">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2757</v>
      </c>
      <c r="B46" s="2933">
        <f t="shared" si="38"/>
        <v>168.82017748715555</v>
      </c>
      <c r="C46" s="2933">
        <f t="shared" si="38"/>
        <v>148.06267029972753</v>
      </c>
      <c r="D46" s="2933">
        <f t="shared" si="16"/>
        <v>148.06267029972753</v>
      </c>
      <c r="E46" s="2933">
        <f t="shared" si="39"/>
        <v>216.46288379323747</v>
      </c>
      <c r="F46" s="2933">
        <f t="shared" si="39"/>
        <v>134.23529411764704</v>
      </c>
      <c r="G46" s="3750">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2758</v>
      </c>
      <c r="B47" s="2933">
        <f t="shared" si="38"/>
        <v>163.84913591779542</v>
      </c>
      <c r="C47" s="2933">
        <f t="shared" si="38"/>
        <v>145.0283378746594</v>
      </c>
      <c r="D47" s="2933">
        <f t="shared" si="16"/>
        <v>145.0283378746594</v>
      </c>
      <c r="E47" s="2933">
        <f t="shared" si="39"/>
        <v>204.95180722891567</v>
      </c>
      <c r="F47" s="2933">
        <f t="shared" si="39"/>
        <v>125.95920303605313</v>
      </c>
      <c r="G47" s="3751">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2759</v>
      </c>
      <c r="B48" s="2946">
        <v>159</v>
      </c>
      <c r="C48" s="2946">
        <v>141</v>
      </c>
      <c r="D48" s="2946">
        <f t="shared" si="16"/>
        <v>141</v>
      </c>
      <c r="E48" s="2946">
        <v>195</v>
      </c>
      <c r="F48" s="2947">
        <v>122</v>
      </c>
      <c r="G48" s="3749">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0">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2761</v>
      </c>
      <c r="B50" s="2933">
        <f t="shared" si="42"/>
        <v>146.57412060301507</v>
      </c>
      <c r="C50" s="2933">
        <f t="shared" si="42"/>
        <v>136.46831955922866</v>
      </c>
      <c r="D50" s="2933">
        <f t="shared" si="16"/>
        <v>136.46831955922866</v>
      </c>
      <c r="E50" s="2933">
        <f t="shared" si="43"/>
        <v>166.73864894795128</v>
      </c>
      <c r="F50" s="2933">
        <f t="shared" si="43"/>
        <v>115.05882352941177</v>
      </c>
      <c r="G50" s="3750">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2762</v>
      </c>
      <c r="B51" s="2933">
        <f t="shared" si="42"/>
        <v>144.04145728643215</v>
      </c>
      <c r="C51" s="2933">
        <f t="shared" si="42"/>
        <v>136.12396694214877</v>
      </c>
      <c r="D51" s="2933">
        <f t="shared" si="16"/>
        <v>136.12396694214877</v>
      </c>
      <c r="E51" s="2933">
        <f t="shared" si="43"/>
        <v>158.32225913621264</v>
      </c>
      <c r="F51" s="2933">
        <f t="shared" si="43"/>
        <v>114.04278074866311</v>
      </c>
      <c r="G51" s="3751">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2763</v>
      </c>
      <c r="B52" s="2946">
        <v>138</v>
      </c>
      <c r="C52" s="2946">
        <v>131</v>
      </c>
      <c r="D52" s="2946">
        <f t="shared" si="16"/>
        <v>131</v>
      </c>
      <c r="E52" s="2946">
        <v>155</v>
      </c>
      <c r="F52" s="2947">
        <v>114</v>
      </c>
      <c r="G52" s="3749">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2764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0">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2765</v>
      </c>
      <c r="B54" s="2933">
        <f t="shared" si="46"/>
        <v>124.29032258064517</v>
      </c>
      <c r="C54" s="2933">
        <f t="shared" si="46"/>
        <v>123.8968609865471</v>
      </c>
      <c r="D54" s="2933">
        <f t="shared" si="16"/>
        <v>123.8968609865471</v>
      </c>
      <c r="E54" s="2933">
        <f t="shared" si="47"/>
        <v>138.00507614213197</v>
      </c>
      <c r="F54" s="2933">
        <f t="shared" si="47"/>
        <v>107.96106557377048</v>
      </c>
      <c r="G54" s="3750">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2766</v>
      </c>
      <c r="B55" s="2933">
        <f t="shared" si="46"/>
        <v>122.57204301075269</v>
      </c>
      <c r="C55" s="2933">
        <f t="shared" si="46"/>
        <v>123.4932735426009</v>
      </c>
      <c r="D55" s="2933">
        <f t="shared" si="16"/>
        <v>123.4932735426009</v>
      </c>
      <c r="E55" s="2933">
        <f t="shared" si="47"/>
        <v>129.82233502538071</v>
      </c>
      <c r="F55" s="2933">
        <f t="shared" si="47"/>
        <v>107.39446721311475</v>
      </c>
      <c r="G55" s="3751">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2767</v>
      </c>
      <c r="B56" s="2967">
        <v>121</v>
      </c>
      <c r="C56" s="2967">
        <v>122</v>
      </c>
      <c r="D56" s="2967">
        <f t="shared" si="16"/>
        <v>122</v>
      </c>
      <c r="E56" s="2967">
        <v>124</v>
      </c>
      <c r="F56" s="2968">
        <v>107</v>
      </c>
      <c r="G56" s="3749">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0">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2769</v>
      </c>
      <c r="B58" s="2933">
        <f t="shared" si="50"/>
        <v>116.99099099099099</v>
      </c>
      <c r="C58" s="2933">
        <f t="shared" si="50"/>
        <v>118.84848484848486</v>
      </c>
      <c r="D58" s="2933">
        <f t="shared" si="16"/>
        <v>118.84848484848486</v>
      </c>
      <c r="E58" s="2933">
        <f t="shared" si="51"/>
        <v>117.60960960960961</v>
      </c>
      <c r="F58" s="2933">
        <f t="shared" si="51"/>
        <v>104</v>
      </c>
      <c r="G58" s="3750">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2770</v>
      </c>
      <c r="B59" s="2970">
        <f t="shared" si="50"/>
        <v>112.48648648648648</v>
      </c>
      <c r="C59" s="2970">
        <f t="shared" si="50"/>
        <v>115.21212121212122</v>
      </c>
      <c r="D59" s="2970">
        <f t="shared" si="16"/>
        <v>115.21212121212122</v>
      </c>
      <c r="E59" s="2970">
        <f t="shared" si="51"/>
        <v>110.4024024024024</v>
      </c>
      <c r="F59" s="2970">
        <f t="shared" si="51"/>
        <v>104</v>
      </c>
      <c r="G59" s="3751">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2771</v>
      </c>
      <c r="B60" s="2988">
        <v>111</v>
      </c>
      <c r="C60" s="2988">
        <v>114</v>
      </c>
      <c r="D60" s="2988">
        <f t="shared" si="16"/>
        <v>114</v>
      </c>
      <c r="E60" s="2988">
        <v>108</v>
      </c>
      <c r="F60" s="2989">
        <v>104</v>
      </c>
      <c r="G60" s="3749">
        <v>2003</v>
      </c>
      <c r="H60" s="2978">
        <v>4</v>
      </c>
      <c r="I60" s="2990"/>
      <c r="J60" s="2990"/>
      <c r="K60" s="2990"/>
      <c r="L60" s="2990"/>
      <c r="N60" s="2991"/>
      <c r="O60" s="2990"/>
      <c r="P60" s="2990"/>
      <c r="Q60" s="2990"/>
      <c r="S60" s="2991"/>
      <c r="T60" s="2990"/>
      <c r="U60" s="2990"/>
      <c r="V60" s="2990"/>
      <c r="X60" s="2982"/>
      <c r="Y60" s="2982"/>
      <c r="Z60" s="2982"/>
    </row>
    <row r="61" spans="1:26">
      <c r="A61" s="2913" t="s">
        <v>2772</v>
      </c>
      <c r="B61" s="2992">
        <f t="shared" ref="B61:C63" si="52">B62+(B$60-B$64)/4</f>
        <v>109.75</v>
      </c>
      <c r="C61" s="2992">
        <f t="shared" si="52"/>
        <v>112.25</v>
      </c>
      <c r="D61" s="2992">
        <f t="shared" si="16"/>
        <v>112.25</v>
      </c>
      <c r="E61" s="2992">
        <f t="shared" ref="E61:F63" si="53">E62+(E$60-E$64)/4</f>
        <v>107.25</v>
      </c>
      <c r="F61" s="2992">
        <f t="shared" si="53"/>
        <v>103.5</v>
      </c>
      <c r="G61" s="3750">
        <v>2003</v>
      </c>
      <c r="H61" s="2943">
        <v>3</v>
      </c>
      <c r="I61" s="2990"/>
      <c r="J61" s="2990"/>
      <c r="K61" s="2990"/>
      <c r="L61" s="2990"/>
      <c r="X61" s="2982"/>
      <c r="Y61" s="2982"/>
      <c r="Z61" s="2982"/>
    </row>
    <row r="62" spans="1:26">
      <c r="A62" s="2913" t="s">
        <v>2773</v>
      </c>
      <c r="B62" s="2992">
        <f t="shared" si="52"/>
        <v>108.5</v>
      </c>
      <c r="C62" s="2992">
        <f t="shared" si="52"/>
        <v>110.5</v>
      </c>
      <c r="D62" s="2992">
        <f t="shared" si="16"/>
        <v>110.5</v>
      </c>
      <c r="E62" s="2992">
        <f t="shared" si="53"/>
        <v>106.5</v>
      </c>
      <c r="F62" s="2992">
        <f t="shared" si="53"/>
        <v>103</v>
      </c>
      <c r="G62" s="3750">
        <v>2003</v>
      </c>
      <c r="H62" s="2919">
        <v>2</v>
      </c>
      <c r="I62" s="2990"/>
      <c r="J62" s="2990"/>
      <c r="K62" s="2990"/>
      <c r="L62" s="2990"/>
      <c r="X62" s="2982"/>
      <c r="Y62" s="2982"/>
      <c r="Z62" s="2982"/>
    </row>
    <row r="63" spans="1:26" ht="13.5" thickBot="1">
      <c r="A63" s="2913" t="s">
        <v>2774</v>
      </c>
      <c r="B63" s="2992">
        <f t="shared" si="52"/>
        <v>107.25</v>
      </c>
      <c r="C63" s="2992">
        <f t="shared" si="52"/>
        <v>108.75</v>
      </c>
      <c r="D63" s="2992">
        <f t="shared" si="16"/>
        <v>108.75</v>
      </c>
      <c r="E63" s="2992">
        <f t="shared" si="53"/>
        <v>105.75</v>
      </c>
      <c r="F63" s="2992">
        <f t="shared" si="53"/>
        <v>102.5</v>
      </c>
      <c r="G63" s="3751">
        <v>2003</v>
      </c>
      <c r="H63" s="2993">
        <v>1</v>
      </c>
      <c r="I63" s="2990"/>
      <c r="J63" s="2990"/>
      <c r="K63" s="2990"/>
      <c r="L63" s="2990"/>
      <c r="S63" s="2928"/>
      <c r="T63" s="2929"/>
      <c r="U63" s="2929"/>
      <c r="X63" s="2982"/>
      <c r="Y63" s="2982"/>
      <c r="Z63" s="2982"/>
    </row>
    <row r="64" spans="1:26" ht="13.5" thickBot="1">
      <c r="A64" s="2913" t="s">
        <v>2775</v>
      </c>
      <c r="B64" s="2994">
        <v>106</v>
      </c>
      <c r="C64" s="2994">
        <v>107</v>
      </c>
      <c r="D64" s="2994">
        <f t="shared" si="16"/>
        <v>107</v>
      </c>
      <c r="E64" s="2994">
        <v>105</v>
      </c>
      <c r="F64" s="2995">
        <v>102</v>
      </c>
      <c r="G64" s="3749">
        <v>2002</v>
      </c>
      <c r="H64" s="2938">
        <v>4</v>
      </c>
      <c r="I64" s="2990"/>
      <c r="J64" s="2990"/>
      <c r="K64" s="2990"/>
      <c r="L64" s="2990"/>
      <c r="N64" s="2991"/>
      <c r="O64" s="2990"/>
      <c r="P64" s="2990"/>
      <c r="Q64" s="2990"/>
      <c r="S64" s="2991"/>
      <c r="T64" s="2990"/>
      <c r="U64" s="2990"/>
      <c r="V64" s="2990"/>
      <c r="X64" s="2982"/>
      <c r="Y64" s="2982"/>
      <c r="Z64" s="2982"/>
    </row>
    <row r="65" spans="1:26">
      <c r="A65" s="2913" t="s">
        <v>2776</v>
      </c>
      <c r="B65" s="2992">
        <f t="shared" ref="B65:C67" si="54">B66+(B$64-B$68)/4</f>
        <v>105</v>
      </c>
      <c r="C65" s="2992">
        <f t="shared" si="54"/>
        <v>106</v>
      </c>
      <c r="D65" s="2992">
        <f t="shared" si="16"/>
        <v>106</v>
      </c>
      <c r="E65" s="2992">
        <f t="shared" ref="E65:F67" si="55">E66+(E$64-E$68)/4</f>
        <v>104.5</v>
      </c>
      <c r="F65" s="2992">
        <f t="shared" si="55"/>
        <v>101.5</v>
      </c>
      <c r="G65" s="3750">
        <v>2002</v>
      </c>
      <c r="H65" s="2943">
        <v>3</v>
      </c>
      <c r="I65" s="2990"/>
      <c r="J65" s="2990"/>
      <c r="K65" s="2990"/>
      <c r="L65" s="2990"/>
      <c r="X65" s="2982"/>
      <c r="Y65" s="2982"/>
      <c r="Z65" s="2982"/>
    </row>
    <row r="66" spans="1:26">
      <c r="A66" s="2913" t="s">
        <v>2777</v>
      </c>
      <c r="B66" s="2992">
        <f t="shared" si="54"/>
        <v>104</v>
      </c>
      <c r="C66" s="2992">
        <f t="shared" si="54"/>
        <v>105</v>
      </c>
      <c r="D66" s="2992">
        <f t="shared" si="16"/>
        <v>105</v>
      </c>
      <c r="E66" s="2992">
        <f t="shared" si="55"/>
        <v>104</v>
      </c>
      <c r="F66" s="2992">
        <f t="shared" si="55"/>
        <v>101</v>
      </c>
      <c r="G66" s="3750">
        <v>2002</v>
      </c>
      <c r="H66" s="2919">
        <v>2</v>
      </c>
      <c r="I66" s="2990"/>
      <c r="J66" s="2990"/>
      <c r="K66" s="2990"/>
      <c r="L66" s="2990"/>
      <c r="X66" s="2982"/>
      <c r="Y66" s="2982"/>
      <c r="Z66" s="2982"/>
    </row>
    <row r="67" spans="1:26" s="2954" customFormat="1" ht="13.5" thickBot="1">
      <c r="A67" s="2950" t="s">
        <v>2778</v>
      </c>
      <c r="B67" s="2996">
        <f t="shared" si="54"/>
        <v>103</v>
      </c>
      <c r="C67" s="2996">
        <f t="shared" si="54"/>
        <v>104</v>
      </c>
      <c r="D67" s="2996">
        <f t="shared" si="16"/>
        <v>104</v>
      </c>
      <c r="E67" s="2996">
        <f t="shared" si="55"/>
        <v>103.5</v>
      </c>
      <c r="F67" s="2996">
        <f t="shared" si="55"/>
        <v>100.5</v>
      </c>
      <c r="G67" s="3751">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2779</v>
      </c>
      <c r="G70" s="3006"/>
      <c r="N70" s="3006"/>
      <c r="S70" s="3006"/>
    </row>
    <row r="71" spans="1:26" s="3005" customFormat="1">
      <c r="A71" s="3005" t="s">
        <v>2780</v>
      </c>
      <c r="G71" s="3006"/>
      <c r="N71" s="3006"/>
      <c r="S71" s="3006"/>
    </row>
    <row r="72" spans="1:26" s="3005" customFormat="1">
      <c r="A72" s="3005" t="s">
        <v>2781</v>
      </c>
      <c r="G72" s="3006"/>
      <c r="I72" s="3007"/>
      <c r="J72" s="3007"/>
      <c r="K72" s="3007"/>
      <c r="L72" s="3007"/>
      <c r="N72" s="3008"/>
      <c r="O72" s="3007"/>
      <c r="P72" s="3007"/>
      <c r="Q72" s="3007"/>
      <c r="S72" s="3008"/>
      <c r="T72" s="3007"/>
      <c r="U72" s="3007"/>
      <c r="V72" s="3007"/>
    </row>
    <row r="73" spans="1:26" s="3005" customFormat="1">
      <c r="A73" s="3005" t="s">
        <v>2782</v>
      </c>
      <c r="G73" s="3006"/>
      <c r="N73" s="3006"/>
      <c r="S73" s="3006"/>
    </row>
    <row r="80" spans="1:26" ht="13.5" thickBot="1"/>
    <row r="81" spans="14:22" s="2927" customFormat="1">
      <c r="N81" s="2942"/>
      <c r="S81" s="3009" t="s">
        <v>2783</v>
      </c>
      <c r="T81" s="3010" t="s">
        <v>2784</v>
      </c>
      <c r="U81" s="3010" t="s">
        <v>2785</v>
      </c>
      <c r="V81" s="3010" t="s">
        <v>2786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8"/>
    <col min="20" max="45" width="9" style="1461"/>
    <col min="46" max="16384" width="9" style="468"/>
  </cols>
  <sheetData>
    <row r="1" spans="1:45" ht="14.25" customHeight="1" thickBot="1">
      <c r="A1" s="485"/>
      <c r="B1" s="2440" t="s">
        <v>2385</v>
      </c>
      <c r="C1" s="3760" t="s">
        <v>2386</v>
      </c>
      <c r="D1" s="3761"/>
      <c r="E1" s="3761"/>
      <c r="F1" s="3761"/>
      <c r="G1" s="3761"/>
      <c r="H1" s="3761"/>
      <c r="I1" s="3761"/>
      <c r="J1" s="3761"/>
      <c r="K1" s="3761"/>
      <c r="L1" s="3761"/>
      <c r="M1" s="3761"/>
      <c r="N1" s="3761"/>
      <c r="O1" s="3761"/>
      <c r="P1" s="3761"/>
      <c r="Q1" s="3761"/>
      <c r="R1" s="3761"/>
      <c r="S1" s="3762"/>
      <c r="T1" s="2440" t="s">
        <v>2387</v>
      </c>
    </row>
    <row r="2" spans="1:45" s="1114" customFormat="1">
      <c r="A2" s="2441"/>
      <c r="B2" s="1110" t="s">
        <v>2388</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5"/>
      <c r="G3" s="3205"/>
      <c r="H3" s="3205"/>
      <c r="I3" s="3205"/>
      <c r="J3" s="3205"/>
      <c r="K3" s="3205"/>
      <c r="L3" s="3206"/>
      <c r="M3" s="3207"/>
      <c r="N3" s="3207"/>
      <c r="O3" s="3205"/>
      <c r="P3" s="3205"/>
      <c r="Q3" s="3205"/>
      <c r="R3" s="3205"/>
      <c r="S3" s="3208"/>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09"/>
      <c r="G4" s="3209"/>
      <c r="H4" s="3209"/>
      <c r="I4" s="3209"/>
      <c r="J4" s="3209"/>
      <c r="K4" s="3209"/>
      <c r="L4" s="3209"/>
      <c r="M4" s="3210"/>
      <c r="N4" s="3210"/>
      <c r="O4" s="3209"/>
      <c r="P4" s="3209"/>
      <c r="Q4" s="3209"/>
      <c r="R4" s="3209"/>
      <c r="S4" s="3211"/>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6" customFormat="1">
      <c r="A5" s="2451"/>
      <c r="B5" s="3303" t="s">
        <v>3034</v>
      </c>
      <c r="C5" s="2452"/>
      <c r="D5" s="2453"/>
      <c r="E5" s="2453"/>
      <c r="F5" s="3212"/>
      <c r="G5" s="3212"/>
      <c r="H5" s="3212"/>
      <c r="I5" s="3212"/>
      <c r="J5" s="3212"/>
      <c r="K5" s="3212"/>
      <c r="L5" s="3213"/>
      <c r="M5" s="3214"/>
      <c r="N5" s="3214"/>
      <c r="O5" s="3212"/>
      <c r="P5" s="3212"/>
      <c r="Q5" s="3212"/>
      <c r="R5" s="3212"/>
      <c r="S5" s="3215"/>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6" customFormat="1" ht="13.5" thickBot="1">
      <c r="A6" s="2451"/>
      <c r="B6" s="2202"/>
      <c r="C6" s="2208">
        <v>100</v>
      </c>
      <c r="D6" s="2205">
        <f>C6-$T5</f>
        <v>100</v>
      </c>
      <c r="E6" s="2205">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6" customFormat="1">
      <c r="A7" s="2451"/>
      <c r="B7" s="3304" t="s">
        <v>3033</v>
      </c>
      <c r="C7" s="2207"/>
      <c r="D7" s="2201"/>
      <c r="E7" s="2201"/>
      <c r="F7" s="3217"/>
      <c r="G7" s="3217"/>
      <c r="H7" s="3217"/>
      <c r="I7" s="3217"/>
      <c r="J7" s="3217"/>
      <c r="K7" s="3217"/>
      <c r="L7" s="3217"/>
      <c r="M7" s="3218"/>
      <c r="N7" s="3219"/>
      <c r="O7" s="3220"/>
      <c r="P7" s="3221"/>
      <c r="Q7" s="3222"/>
      <c r="R7" s="3223"/>
      <c r="S7" s="3224"/>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6" customFormat="1" ht="13.5" thickBot="1">
      <c r="A8" s="2451"/>
      <c r="B8" s="2202"/>
      <c r="C8" s="2208">
        <v>100</v>
      </c>
      <c r="D8" s="2205">
        <f>C8-$T7</f>
        <v>100</v>
      </c>
      <c r="E8" s="2205">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6" customFormat="1">
      <c r="A9" s="2451"/>
      <c r="B9" s="3304" t="s">
        <v>3032</v>
      </c>
      <c r="C9" s="2207"/>
      <c r="D9" s="2201"/>
      <c r="E9" s="2201"/>
      <c r="F9" s="3217"/>
      <c r="G9" s="3217"/>
      <c r="H9" s="3217"/>
      <c r="I9" s="3217"/>
      <c r="J9" s="3217"/>
      <c r="K9" s="3217"/>
      <c r="L9" s="3225"/>
      <c r="M9" s="3218"/>
      <c r="N9" s="3219"/>
      <c r="O9" s="3220"/>
      <c r="P9" s="3221"/>
      <c r="Q9" s="3222"/>
      <c r="R9" s="3223"/>
      <c r="S9" s="3224"/>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6" customFormat="1" ht="13.5" thickBot="1">
      <c r="A10" s="2451"/>
      <c r="B10" s="2445"/>
      <c r="C10" s="2456">
        <v>100</v>
      </c>
      <c r="D10" s="2457">
        <f>C10-$T9</f>
        <v>100</v>
      </c>
      <c r="E10" s="2457">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6" customFormat="1">
      <c r="A11" s="2451"/>
      <c r="B11" s="3303" t="s">
        <v>3031</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6"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6" customFormat="1">
      <c r="A13" s="2451"/>
      <c r="B13" s="3303" t="s">
        <v>3030</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6"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6" customFormat="1">
      <c r="A15" s="2451"/>
      <c r="B15" s="3303" t="s">
        <v>3029</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6"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2389</v>
      </c>
      <c r="B17" s="2484" t="s">
        <v>2390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7"/>
      <c r="B19" s="498"/>
      <c r="C19" s="498"/>
      <c r="D19" s="3354" t="s">
        <v>3067</v>
      </c>
      <c r="E19" s="3349"/>
      <c r="F19" s="3349"/>
      <c r="G19" s="3349"/>
      <c r="H19" s="2536"/>
      <c r="I19" s="498"/>
      <c r="J19" s="498"/>
      <c r="K19" s="498"/>
      <c r="L19" s="498"/>
      <c r="M19" s="498"/>
      <c r="N19" s="498"/>
      <c r="O19" s="498"/>
      <c r="P19" s="498"/>
      <c r="Q19" s="498"/>
      <c r="R19" s="1414"/>
      <c r="S19" s="467"/>
    </row>
    <row r="20" spans="1:45" ht="16.5" thickBot="1">
      <c r="A20" s="1122" t="s">
        <v>519</v>
      </c>
      <c r="B20" s="671" t="e">
        <f ca="1">IF(D20="——",S22,S22-F20)</f>
        <v>#REF!</v>
      </c>
      <c r="C20" s="498"/>
      <c r="D20" s="3350" t="s">
        <v>3068</v>
      </c>
      <c r="E20" s="3351"/>
      <c r="F20" s="2440" t="e">
        <f ca="1">SUMIF(INDIRECT("'"&amp;H20&amp;"'"&amp;"!A:A"),"承租人权益价值",INDIRECT("'"&amp;H20&amp;"'"&amp;"!c:c"))</f>
        <v>#REF!</v>
      </c>
      <c r="G20" s="3352" t="s">
        <v>3055</v>
      </c>
      <c r="H20" s="3353"/>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2">
        <f>SUM(B24:B10000)</f>
        <v>100</v>
      </c>
      <c r="C22" s="3757" t="s">
        <v>169</v>
      </c>
      <c r="D22" s="3758"/>
      <c r="E22" s="3758"/>
      <c r="F22" s="3758"/>
      <c r="G22" s="3758"/>
      <c r="H22" s="3758"/>
      <c r="I22" s="3758"/>
      <c r="J22" s="3758"/>
      <c r="K22" s="3758"/>
      <c r="L22" s="3758"/>
      <c r="M22" s="3758"/>
      <c r="N22" s="3758"/>
      <c r="O22" s="3758"/>
      <c r="P22" s="3758"/>
      <c r="Q22" s="3759"/>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6">
        <f t="shared" si="11"/>
        <v>0</v>
      </c>
    </row>
    <row r="26" spans="1:45">
      <c r="A26" s="489"/>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6">
        <f t="shared" si="11"/>
        <v>0</v>
      </c>
    </row>
    <row r="27" spans="1:45">
      <c r="A27" s="489"/>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6">
        <f t="shared" si="11"/>
        <v>0</v>
      </c>
    </row>
    <row r="28" spans="1:45">
      <c r="A28" s="489"/>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6">
        <f t="shared" si="11"/>
        <v>0</v>
      </c>
    </row>
    <row r="29" spans="1:45">
      <c r="A29" s="489"/>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6">
        <f t="shared" si="11"/>
        <v>0</v>
      </c>
    </row>
    <row r="30" spans="1:45">
      <c r="A30" s="489"/>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6">
        <f t="shared" si="11"/>
        <v>0</v>
      </c>
    </row>
    <row r="31" spans="1:45">
      <c r="A31" s="489"/>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6">
        <f t="shared" si="11"/>
        <v>0</v>
      </c>
    </row>
    <row r="32" spans="1:45">
      <c r="A32" s="489"/>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6">
        <f t="shared" si="11"/>
        <v>0</v>
      </c>
    </row>
    <row r="33" spans="1:19">
      <c r="A33" s="489"/>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6">
        <f t="shared" si="11"/>
        <v>0</v>
      </c>
    </row>
    <row r="34" spans="1:19">
      <c r="A34" s="489"/>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6">
        <f t="shared" si="11"/>
        <v>0</v>
      </c>
    </row>
    <row r="35" spans="1:19">
      <c r="A35" s="489"/>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6">
        <f t="shared" si="11"/>
        <v>0</v>
      </c>
    </row>
    <row r="36" spans="1:19">
      <c r="A36" s="489"/>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6">
        <f t="shared" si="11"/>
        <v>0</v>
      </c>
    </row>
    <row r="37" spans="1:19">
      <c r="A37" s="489"/>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6">
        <f t="shared" si="11"/>
        <v>0</v>
      </c>
    </row>
    <row r="38" spans="1:19">
      <c r="A38" s="489"/>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6">
        <f t="shared" si="11"/>
        <v>0</v>
      </c>
    </row>
    <row r="39" spans="1:19">
      <c r="A39" s="489"/>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6">
        <f t="shared" si="11"/>
        <v>0</v>
      </c>
    </row>
    <row r="40" spans="1:19">
      <c r="A40" s="489"/>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6">
        <f t="shared" si="11"/>
        <v>0</v>
      </c>
    </row>
    <row r="41" spans="1:19">
      <c r="A41" s="489"/>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6">
        <f t="shared" si="11"/>
        <v>0</v>
      </c>
    </row>
    <row r="42" spans="1:19">
      <c r="A42" s="489"/>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6">
        <f t="shared" si="11"/>
        <v>0</v>
      </c>
    </row>
    <row r="43" spans="1:19">
      <c r="A43" s="489"/>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6">
        <f t="shared" si="11"/>
        <v>0</v>
      </c>
    </row>
    <row r="44" spans="1:19">
      <c r="A44" s="489"/>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6">
        <f t="shared" si="11"/>
        <v>0</v>
      </c>
    </row>
    <row r="45" spans="1:19">
      <c r="A45" s="489"/>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6">
        <f t="shared" si="11"/>
        <v>0</v>
      </c>
    </row>
    <row r="46" spans="1:19">
      <c r="A46" s="489"/>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6">
        <f t="shared" si="11"/>
        <v>0</v>
      </c>
    </row>
    <row r="47" spans="1:19">
      <c r="A47" s="489"/>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6">
        <f t="shared" si="11"/>
        <v>0</v>
      </c>
    </row>
    <row r="48" spans="1:19">
      <c r="A48" s="489"/>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6">
        <f t="shared" si="11"/>
        <v>0</v>
      </c>
    </row>
    <row r="49" spans="1:19">
      <c r="A49" s="489"/>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6">
        <f t="shared" si="11"/>
        <v>0</v>
      </c>
    </row>
    <row r="50" spans="1:19">
      <c r="A50" s="489"/>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6">
        <f t="shared" si="11"/>
        <v>0</v>
      </c>
    </row>
    <row r="51" spans="1:19">
      <c r="A51" s="489"/>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6">
        <f t="shared" si="11"/>
        <v>0</v>
      </c>
    </row>
    <row r="52" spans="1:19">
      <c r="A52" s="489"/>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6">
        <f t="shared" si="11"/>
        <v>0</v>
      </c>
    </row>
    <row r="53" spans="1:19">
      <c r="A53" s="489"/>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6">
        <f t="shared" si="11"/>
        <v>0</v>
      </c>
    </row>
    <row r="54" spans="1:19">
      <c r="A54" s="489"/>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6">
        <f t="shared" si="11"/>
        <v>0</v>
      </c>
    </row>
    <row r="55" spans="1:19">
      <c r="A55" s="489"/>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6">
        <f t="shared" ref="S55:S77" si="21">ROUND(R55*B55/10000,0)</f>
        <v>0</v>
      </c>
    </row>
    <row r="56" spans="1:19">
      <c r="A56" s="489"/>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6">
        <f t="shared" si="21"/>
        <v>0</v>
      </c>
    </row>
    <row r="57" spans="1:19">
      <c r="A57" s="489"/>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6">
        <f t="shared" si="21"/>
        <v>0</v>
      </c>
    </row>
    <row r="58" spans="1:19">
      <c r="A58" s="489"/>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6">
        <f t="shared" si="21"/>
        <v>0</v>
      </c>
    </row>
    <row r="59" spans="1:19">
      <c r="A59" s="489"/>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6">
        <f t="shared" si="21"/>
        <v>0</v>
      </c>
    </row>
    <row r="60" spans="1:19">
      <c r="A60" s="489"/>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6">
        <f t="shared" si="21"/>
        <v>0</v>
      </c>
    </row>
    <row r="61" spans="1:19">
      <c r="A61" s="489"/>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6">
        <f t="shared" si="21"/>
        <v>0</v>
      </c>
    </row>
    <row r="62" spans="1:19">
      <c r="A62" s="489"/>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6">
        <f t="shared" si="21"/>
        <v>0</v>
      </c>
    </row>
    <row r="63" spans="1:19">
      <c r="A63" s="489"/>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6">
        <f t="shared" si="21"/>
        <v>0</v>
      </c>
    </row>
    <row r="64" spans="1:19">
      <c r="A64" s="489"/>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6">
        <f t="shared" si="21"/>
        <v>0</v>
      </c>
    </row>
    <row r="65" spans="1:19">
      <c r="A65" s="489"/>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6">
        <f t="shared" si="21"/>
        <v>0</v>
      </c>
    </row>
    <row r="66" spans="1:19">
      <c r="A66" s="489"/>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6">
        <f t="shared" si="21"/>
        <v>0</v>
      </c>
    </row>
    <row r="67" spans="1:19">
      <c r="A67" s="489"/>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6">
        <f t="shared" si="21"/>
        <v>0</v>
      </c>
    </row>
    <row r="68" spans="1:19">
      <c r="A68" s="489"/>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6">
        <f t="shared" si="21"/>
        <v>0</v>
      </c>
    </row>
    <row r="69" spans="1:19">
      <c r="A69" s="489"/>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6">
        <f t="shared" si="21"/>
        <v>0</v>
      </c>
    </row>
    <row r="70" spans="1:19">
      <c r="A70" s="489"/>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6">
        <f t="shared" si="21"/>
        <v>0</v>
      </c>
    </row>
    <row r="71" spans="1:19">
      <c r="A71" s="489"/>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6">
        <f t="shared" si="21"/>
        <v>0</v>
      </c>
    </row>
    <row r="72" spans="1:19">
      <c r="A72" s="489"/>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6">
        <f t="shared" si="21"/>
        <v>0</v>
      </c>
    </row>
    <row r="73" spans="1:19">
      <c r="A73" s="489"/>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6">
        <f t="shared" si="21"/>
        <v>0</v>
      </c>
    </row>
    <row r="74" spans="1:19">
      <c r="A74" s="489"/>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6">
        <f t="shared" si="21"/>
        <v>0</v>
      </c>
    </row>
    <row r="75" spans="1:19">
      <c r="A75" s="489"/>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6">
        <f t="shared" si="21"/>
        <v>0</v>
      </c>
    </row>
    <row r="76" spans="1:19">
      <c r="A76" s="489"/>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6">
        <f t="shared" si="21"/>
        <v>0</v>
      </c>
    </row>
    <row r="77" spans="1:19">
      <c r="A77" s="489"/>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6">
        <f t="shared" si="21"/>
        <v>0</v>
      </c>
    </row>
    <row r="78" spans="1:19">
      <c r="A78" s="489"/>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6">
        <f t="shared" ref="S78:S122" si="22">ROUND(R78*B78/10000,0)</f>
        <v>0</v>
      </c>
    </row>
    <row r="79" spans="1:19">
      <c r="A79" s="489"/>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6">
        <f t="shared" si="22"/>
        <v>0</v>
      </c>
    </row>
    <row r="80" spans="1:19">
      <c r="A80" s="489"/>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6">
        <f t="shared" si="22"/>
        <v>0</v>
      </c>
    </row>
    <row r="81" spans="1:19">
      <c r="A81" s="489"/>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6">
        <f t="shared" si="22"/>
        <v>0</v>
      </c>
    </row>
    <row r="82" spans="1:19">
      <c r="A82" s="489"/>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6">
        <f t="shared" si="22"/>
        <v>0</v>
      </c>
    </row>
    <row r="83" spans="1:19">
      <c r="A83" s="489"/>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6">
        <f t="shared" si="22"/>
        <v>0</v>
      </c>
    </row>
    <row r="84" spans="1:19">
      <c r="A84" s="489"/>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6">
        <f t="shared" si="22"/>
        <v>0</v>
      </c>
    </row>
    <row r="85" spans="1:19">
      <c r="A85" s="489"/>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6">
        <f t="shared" si="22"/>
        <v>0</v>
      </c>
    </row>
    <row r="86" spans="1:19">
      <c r="A86" s="489"/>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6">
        <f t="shared" si="22"/>
        <v>0</v>
      </c>
    </row>
    <row r="87" spans="1:19">
      <c r="A87" s="489"/>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6">
        <f t="shared" si="22"/>
        <v>0</v>
      </c>
    </row>
    <row r="88" spans="1:19">
      <c r="A88" s="489"/>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6">
        <f t="shared" si="22"/>
        <v>0</v>
      </c>
    </row>
    <row r="89" spans="1:19">
      <c r="A89" s="489"/>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6">
        <f t="shared" si="22"/>
        <v>0</v>
      </c>
    </row>
    <row r="90" spans="1:19">
      <c r="A90" s="489"/>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6">
        <f t="shared" si="22"/>
        <v>0</v>
      </c>
    </row>
    <row r="91" spans="1:19">
      <c r="A91" s="489"/>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6">
        <f t="shared" si="22"/>
        <v>0</v>
      </c>
    </row>
    <row r="92" spans="1:19">
      <c r="A92" s="489"/>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6">
        <f t="shared" si="22"/>
        <v>0</v>
      </c>
    </row>
    <row r="93" spans="1:19">
      <c r="A93" s="489"/>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6">
        <f t="shared" si="22"/>
        <v>0</v>
      </c>
    </row>
    <row r="94" spans="1:19">
      <c r="A94" s="489"/>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6">
        <f t="shared" si="22"/>
        <v>0</v>
      </c>
    </row>
    <row r="95" spans="1:19">
      <c r="A95" s="489"/>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6">
        <f t="shared" si="22"/>
        <v>0</v>
      </c>
    </row>
    <row r="96" spans="1:19">
      <c r="A96" s="489"/>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6">
        <f t="shared" si="22"/>
        <v>0</v>
      </c>
    </row>
    <row r="97" spans="1:19">
      <c r="A97" s="489"/>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6">
        <f t="shared" si="22"/>
        <v>0</v>
      </c>
    </row>
    <row r="98" spans="1:19">
      <c r="A98" s="489"/>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6">
        <f t="shared" si="22"/>
        <v>0</v>
      </c>
    </row>
    <row r="99" spans="1:19">
      <c r="A99" s="489"/>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6">
        <f t="shared" si="22"/>
        <v>0</v>
      </c>
    </row>
    <row r="100" spans="1:19">
      <c r="A100" s="489"/>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6">
        <f t="shared" si="22"/>
        <v>0</v>
      </c>
    </row>
    <row r="101" spans="1:19">
      <c r="A101" s="489"/>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6">
        <f t="shared" si="22"/>
        <v>0</v>
      </c>
    </row>
    <row r="102" spans="1:19">
      <c r="A102" s="489"/>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6">
        <f t="shared" si="22"/>
        <v>0</v>
      </c>
    </row>
    <row r="103" spans="1:19">
      <c r="A103" s="489"/>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6">
        <f t="shared" si="22"/>
        <v>0</v>
      </c>
    </row>
    <row r="104" spans="1:19">
      <c r="A104" s="489"/>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6">
        <f t="shared" si="22"/>
        <v>0</v>
      </c>
    </row>
    <row r="105" spans="1:19">
      <c r="A105" s="489"/>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6">
        <f t="shared" si="22"/>
        <v>0</v>
      </c>
    </row>
    <row r="106" spans="1:19">
      <c r="A106" s="489"/>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6">
        <f t="shared" si="22"/>
        <v>0</v>
      </c>
    </row>
    <row r="107" spans="1:19">
      <c r="A107" s="489"/>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6">
        <f t="shared" si="22"/>
        <v>0</v>
      </c>
    </row>
    <row r="108" spans="1:19">
      <c r="A108" s="489"/>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6">
        <f t="shared" si="22"/>
        <v>0</v>
      </c>
    </row>
    <row r="109" spans="1:19">
      <c r="A109" s="489"/>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6">
        <f t="shared" si="22"/>
        <v>0</v>
      </c>
    </row>
    <row r="110" spans="1:19">
      <c r="A110" s="489"/>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6">
        <f t="shared" si="22"/>
        <v>0</v>
      </c>
    </row>
    <row r="111" spans="1:19">
      <c r="A111" s="489"/>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6">
        <f t="shared" si="22"/>
        <v>0</v>
      </c>
    </row>
    <row r="112" spans="1:19">
      <c r="A112" s="489"/>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6">
        <f t="shared" si="22"/>
        <v>0</v>
      </c>
    </row>
    <row r="113" spans="1:19">
      <c r="A113" s="489"/>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6">
        <f t="shared" si="22"/>
        <v>0</v>
      </c>
    </row>
    <row r="114" spans="1:19">
      <c r="A114" s="489"/>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6">
        <f t="shared" si="22"/>
        <v>0</v>
      </c>
    </row>
    <row r="115" spans="1:19">
      <c r="A115" s="489"/>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6">
        <f t="shared" si="22"/>
        <v>0</v>
      </c>
    </row>
    <row r="116" spans="1:19">
      <c r="A116" s="489"/>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6">
        <f t="shared" si="22"/>
        <v>0</v>
      </c>
    </row>
    <row r="117" spans="1:19">
      <c r="A117" s="489"/>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6">
        <f t="shared" si="22"/>
        <v>0</v>
      </c>
    </row>
    <row r="118" spans="1:19">
      <c r="A118" s="489"/>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6">
        <f t="shared" si="22"/>
        <v>0</v>
      </c>
    </row>
    <row r="119" spans="1:19">
      <c r="A119" s="489"/>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6">
        <f t="shared" si="22"/>
        <v>0</v>
      </c>
    </row>
    <row r="120" spans="1:19">
      <c r="A120" s="489"/>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6">
        <f t="shared" si="22"/>
        <v>0</v>
      </c>
    </row>
    <row r="121" spans="1:19">
      <c r="A121" s="489"/>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6">
        <f t="shared" si="22"/>
        <v>0</v>
      </c>
    </row>
    <row r="122" spans="1:19">
      <c r="A122" s="489"/>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6">
        <f t="shared" si="22"/>
        <v>0</v>
      </c>
    </row>
    <row r="123" spans="1:19">
      <c r="A123" s="489"/>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6">
        <f t="shared" ref="S123:S186" si="32">ROUND(R123*B123/10000,0)</f>
        <v>0</v>
      </c>
    </row>
    <row r="124" spans="1:19">
      <c r="A124" s="489"/>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6">
        <f t="shared" si="32"/>
        <v>0</v>
      </c>
    </row>
    <row r="125" spans="1:19">
      <c r="A125" s="489"/>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6">
        <f t="shared" si="32"/>
        <v>0</v>
      </c>
    </row>
    <row r="126" spans="1:19">
      <c r="A126" s="489"/>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6">
        <f t="shared" si="32"/>
        <v>0</v>
      </c>
    </row>
    <row r="127" spans="1:19">
      <c r="A127" s="489"/>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6">
        <f t="shared" si="32"/>
        <v>0</v>
      </c>
    </row>
    <row r="128" spans="1:19">
      <c r="A128" s="489"/>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6">
        <f t="shared" si="32"/>
        <v>0</v>
      </c>
    </row>
    <row r="129" spans="1:19">
      <c r="A129" s="489"/>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6">
        <f t="shared" si="32"/>
        <v>0</v>
      </c>
    </row>
    <row r="130" spans="1:19">
      <c r="A130" s="489"/>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6">
        <f t="shared" si="32"/>
        <v>0</v>
      </c>
    </row>
    <row r="131" spans="1:19">
      <c r="A131" s="489"/>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6">
        <f t="shared" si="32"/>
        <v>0</v>
      </c>
    </row>
    <row r="132" spans="1:19">
      <c r="A132" s="489"/>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6">
        <f t="shared" si="32"/>
        <v>0</v>
      </c>
    </row>
    <row r="133" spans="1:19">
      <c r="A133" s="489"/>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6">
        <f t="shared" si="32"/>
        <v>0</v>
      </c>
    </row>
    <row r="134" spans="1:19">
      <c r="A134" s="489"/>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6">
        <f t="shared" si="32"/>
        <v>0</v>
      </c>
    </row>
    <row r="135" spans="1:19">
      <c r="A135" s="489"/>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6">
        <f t="shared" si="32"/>
        <v>0</v>
      </c>
    </row>
    <row r="136" spans="1:19">
      <c r="A136" s="489"/>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6">
        <f t="shared" si="32"/>
        <v>0</v>
      </c>
    </row>
    <row r="137" spans="1:19">
      <c r="A137" s="489"/>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6">
        <f t="shared" si="32"/>
        <v>0</v>
      </c>
    </row>
    <row r="138" spans="1:19">
      <c r="A138" s="489"/>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6">
        <f t="shared" si="32"/>
        <v>0</v>
      </c>
    </row>
    <row r="139" spans="1:19">
      <c r="A139" s="489"/>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6">
        <f t="shared" si="32"/>
        <v>0</v>
      </c>
    </row>
    <row r="140" spans="1:19">
      <c r="A140" s="489"/>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6">
        <f t="shared" si="32"/>
        <v>0</v>
      </c>
    </row>
    <row r="141" spans="1:19">
      <c r="A141" s="489"/>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6">
        <f t="shared" si="32"/>
        <v>0</v>
      </c>
    </row>
    <row r="142" spans="1:19">
      <c r="A142" s="489"/>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6">
        <f t="shared" si="32"/>
        <v>0</v>
      </c>
    </row>
    <row r="143" spans="1:19">
      <c r="A143" s="489"/>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6">
        <f t="shared" si="32"/>
        <v>0</v>
      </c>
    </row>
    <row r="144" spans="1:19">
      <c r="A144" s="489"/>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6">
        <f t="shared" si="32"/>
        <v>0</v>
      </c>
    </row>
    <row r="145" spans="1:19">
      <c r="A145" s="489"/>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6">
        <f t="shared" si="32"/>
        <v>0</v>
      </c>
    </row>
    <row r="146" spans="1:19">
      <c r="A146" s="489"/>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6">
        <f t="shared" si="32"/>
        <v>0</v>
      </c>
    </row>
    <row r="147" spans="1:19">
      <c r="A147" s="489"/>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6">
        <f t="shared" si="32"/>
        <v>0</v>
      </c>
    </row>
    <row r="148" spans="1:19">
      <c r="A148" s="489"/>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6">
        <f t="shared" si="32"/>
        <v>0</v>
      </c>
    </row>
    <row r="149" spans="1:19">
      <c r="A149" s="489"/>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6">
        <f t="shared" si="32"/>
        <v>0</v>
      </c>
    </row>
    <row r="150" spans="1:19">
      <c r="A150" s="489"/>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6">
        <f t="shared" si="32"/>
        <v>0</v>
      </c>
    </row>
    <row r="151" spans="1:19">
      <c r="A151" s="489"/>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6">
        <f t="shared" si="32"/>
        <v>0</v>
      </c>
    </row>
    <row r="152" spans="1:19">
      <c r="A152" s="489"/>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6">
        <f t="shared" si="32"/>
        <v>0</v>
      </c>
    </row>
    <row r="153" spans="1:19">
      <c r="A153" s="489"/>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6">
        <f t="shared" si="32"/>
        <v>0</v>
      </c>
    </row>
    <row r="154" spans="1:19">
      <c r="A154" s="489"/>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6">
        <f t="shared" si="32"/>
        <v>0</v>
      </c>
    </row>
    <row r="155" spans="1:19">
      <c r="A155" s="489"/>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6">
        <f t="shared" si="32"/>
        <v>0</v>
      </c>
    </row>
    <row r="156" spans="1:19">
      <c r="A156" s="489"/>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6">
        <f t="shared" si="32"/>
        <v>0</v>
      </c>
    </row>
    <row r="157" spans="1:19">
      <c r="A157" s="489"/>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6">
        <f t="shared" si="32"/>
        <v>0</v>
      </c>
    </row>
    <row r="158" spans="1:19">
      <c r="A158" s="489"/>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6">
        <f t="shared" si="32"/>
        <v>0</v>
      </c>
    </row>
    <row r="159" spans="1:19">
      <c r="A159" s="489"/>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6">
        <f t="shared" si="32"/>
        <v>0</v>
      </c>
    </row>
    <row r="160" spans="1:19">
      <c r="A160" s="489"/>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6">
        <f t="shared" si="32"/>
        <v>0</v>
      </c>
    </row>
    <row r="161" spans="1:19">
      <c r="A161" s="489"/>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6">
        <f t="shared" si="32"/>
        <v>0</v>
      </c>
    </row>
    <row r="162" spans="1:19">
      <c r="A162" s="489"/>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6">
        <f t="shared" si="32"/>
        <v>0</v>
      </c>
    </row>
    <row r="163" spans="1:19">
      <c r="A163" s="489"/>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6">
        <f t="shared" si="32"/>
        <v>0</v>
      </c>
    </row>
    <row r="164" spans="1:19">
      <c r="A164" s="489"/>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6">
        <f t="shared" si="32"/>
        <v>0</v>
      </c>
    </row>
    <row r="165" spans="1:19">
      <c r="A165" s="489"/>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6">
        <f t="shared" si="32"/>
        <v>0</v>
      </c>
    </row>
    <row r="166" spans="1:19">
      <c r="A166" s="489"/>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6">
        <f t="shared" si="32"/>
        <v>0</v>
      </c>
    </row>
    <row r="167" spans="1:19">
      <c r="A167" s="489"/>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6">
        <f t="shared" si="32"/>
        <v>0</v>
      </c>
    </row>
    <row r="168" spans="1:19">
      <c r="A168" s="489"/>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6">
        <f t="shared" si="32"/>
        <v>0</v>
      </c>
    </row>
    <row r="169" spans="1:19">
      <c r="A169" s="489"/>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6">
        <f t="shared" si="32"/>
        <v>0</v>
      </c>
    </row>
    <row r="170" spans="1:19">
      <c r="A170" s="489"/>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6">
        <f t="shared" si="32"/>
        <v>0</v>
      </c>
    </row>
    <row r="171" spans="1:19">
      <c r="A171" s="489"/>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6">
        <f t="shared" si="32"/>
        <v>0</v>
      </c>
    </row>
    <row r="172" spans="1:19">
      <c r="A172" s="489"/>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6">
        <f t="shared" si="32"/>
        <v>0</v>
      </c>
    </row>
    <row r="173" spans="1:19">
      <c r="A173" s="489"/>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6">
        <f t="shared" si="32"/>
        <v>0</v>
      </c>
    </row>
    <row r="174" spans="1:19">
      <c r="A174" s="489"/>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6">
        <f t="shared" si="32"/>
        <v>0</v>
      </c>
    </row>
    <row r="175" spans="1:19">
      <c r="A175" s="489"/>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6">
        <f t="shared" si="32"/>
        <v>0</v>
      </c>
    </row>
    <row r="176" spans="1:19">
      <c r="A176" s="489"/>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6">
        <f t="shared" si="32"/>
        <v>0</v>
      </c>
    </row>
    <row r="177" spans="1:19">
      <c r="A177" s="489"/>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6">
        <f t="shared" si="32"/>
        <v>0</v>
      </c>
    </row>
    <row r="178" spans="1:19">
      <c r="A178" s="489"/>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6">
        <f t="shared" si="32"/>
        <v>0</v>
      </c>
    </row>
    <row r="179" spans="1:19">
      <c r="A179" s="489"/>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6">
        <f t="shared" si="32"/>
        <v>0</v>
      </c>
    </row>
    <row r="180" spans="1:19">
      <c r="A180" s="489"/>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6">
        <f t="shared" si="32"/>
        <v>0</v>
      </c>
    </row>
    <row r="181" spans="1:19">
      <c r="A181" s="489"/>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6">
        <f t="shared" si="32"/>
        <v>0</v>
      </c>
    </row>
    <row r="182" spans="1:19">
      <c r="A182" s="489"/>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6">
        <f t="shared" si="32"/>
        <v>0</v>
      </c>
    </row>
    <row r="183" spans="1:19">
      <c r="A183" s="489"/>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6">
        <f t="shared" si="32"/>
        <v>0</v>
      </c>
    </row>
    <row r="184" spans="1:19">
      <c r="A184" s="489"/>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6">
        <f t="shared" si="32"/>
        <v>0</v>
      </c>
    </row>
    <row r="185" spans="1:19">
      <c r="A185" s="489"/>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6">
        <f t="shared" si="32"/>
        <v>0</v>
      </c>
    </row>
    <row r="186" spans="1:19">
      <c r="A186" s="489"/>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6">
        <f t="shared" si="32"/>
        <v>0</v>
      </c>
    </row>
    <row r="187" spans="1:19">
      <c r="A187" s="489"/>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6">
        <f t="shared" ref="S187:S222" si="42">ROUND(R187*B187/10000,0)</f>
        <v>0</v>
      </c>
    </row>
    <row r="188" spans="1:19">
      <c r="A188" s="489"/>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6">
        <f t="shared" si="42"/>
        <v>0</v>
      </c>
    </row>
    <row r="189" spans="1:19">
      <c r="A189" s="489"/>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6">
        <f t="shared" si="42"/>
        <v>0</v>
      </c>
    </row>
    <row r="190" spans="1:19">
      <c r="A190" s="489"/>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6">
        <f t="shared" si="42"/>
        <v>0</v>
      </c>
    </row>
    <row r="191" spans="1:19">
      <c r="A191" s="489"/>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6">
        <f t="shared" si="42"/>
        <v>0</v>
      </c>
    </row>
    <row r="192" spans="1:19">
      <c r="A192" s="489"/>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6">
        <f t="shared" si="42"/>
        <v>0</v>
      </c>
    </row>
    <row r="193" spans="1:19">
      <c r="A193" s="489"/>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6">
        <f t="shared" si="42"/>
        <v>0</v>
      </c>
    </row>
    <row r="194" spans="1:19">
      <c r="A194" s="489"/>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6">
        <f t="shared" si="42"/>
        <v>0</v>
      </c>
    </row>
    <row r="195" spans="1:19">
      <c r="A195" s="489"/>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6">
        <f t="shared" si="42"/>
        <v>0</v>
      </c>
    </row>
    <row r="196" spans="1:19">
      <c r="A196" s="489"/>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6">
        <f t="shared" si="42"/>
        <v>0</v>
      </c>
    </row>
    <row r="197" spans="1:19">
      <c r="A197" s="489"/>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6">
        <f t="shared" si="42"/>
        <v>0</v>
      </c>
    </row>
    <row r="198" spans="1:19">
      <c r="A198" s="489"/>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6">
        <f t="shared" si="42"/>
        <v>0</v>
      </c>
    </row>
    <row r="199" spans="1:19">
      <c r="A199" s="489"/>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6">
        <f t="shared" si="42"/>
        <v>0</v>
      </c>
    </row>
    <row r="200" spans="1:19">
      <c r="A200" s="489"/>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6">
        <f t="shared" si="42"/>
        <v>0</v>
      </c>
    </row>
    <row r="201" spans="1:19">
      <c r="A201" s="489"/>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6">
        <f t="shared" si="42"/>
        <v>0</v>
      </c>
    </row>
    <row r="202" spans="1:19">
      <c r="A202" s="489"/>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6">
        <f t="shared" si="42"/>
        <v>0</v>
      </c>
    </row>
    <row r="203" spans="1:19">
      <c r="A203" s="489"/>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6">
        <f t="shared" si="42"/>
        <v>0</v>
      </c>
    </row>
    <row r="204" spans="1:19">
      <c r="A204" s="489"/>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6">
        <f t="shared" si="42"/>
        <v>0</v>
      </c>
    </row>
    <row r="205" spans="1:19">
      <c r="A205" s="489"/>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6">
        <f t="shared" si="42"/>
        <v>0</v>
      </c>
    </row>
    <row r="206" spans="1:19">
      <c r="A206" s="489"/>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6">
        <f t="shared" si="42"/>
        <v>0</v>
      </c>
    </row>
    <row r="207" spans="1:19">
      <c r="A207" s="489"/>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6">
        <f t="shared" si="42"/>
        <v>0</v>
      </c>
    </row>
    <row r="208" spans="1:19">
      <c r="A208" s="489"/>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6">
        <f t="shared" si="42"/>
        <v>0</v>
      </c>
    </row>
    <row r="209" spans="1:19">
      <c r="A209" s="489"/>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6">
        <f t="shared" si="42"/>
        <v>0</v>
      </c>
    </row>
    <row r="210" spans="1:19">
      <c r="A210" s="489"/>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6">
        <f t="shared" si="42"/>
        <v>0</v>
      </c>
    </row>
    <row r="211" spans="1:19">
      <c r="A211" s="489"/>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6">
        <f t="shared" si="42"/>
        <v>0</v>
      </c>
    </row>
    <row r="212" spans="1:19">
      <c r="A212" s="489"/>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6">
        <f t="shared" si="42"/>
        <v>0</v>
      </c>
    </row>
    <row r="213" spans="1:19">
      <c r="A213" s="489"/>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6">
        <f t="shared" si="42"/>
        <v>0</v>
      </c>
    </row>
    <row r="214" spans="1:19">
      <c r="A214" s="489"/>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6">
        <f t="shared" si="42"/>
        <v>0</v>
      </c>
    </row>
    <row r="215" spans="1:19">
      <c r="A215" s="489"/>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6">
        <f t="shared" si="42"/>
        <v>0</v>
      </c>
    </row>
    <row r="216" spans="1:19">
      <c r="A216" s="489"/>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6">
        <f t="shared" si="42"/>
        <v>0</v>
      </c>
    </row>
    <row r="217" spans="1:19">
      <c r="A217" s="489"/>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6">
        <f t="shared" si="42"/>
        <v>0</v>
      </c>
    </row>
    <row r="218" spans="1:19">
      <c r="A218" s="489"/>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6">
        <f t="shared" si="42"/>
        <v>0</v>
      </c>
    </row>
    <row r="219" spans="1:19">
      <c r="A219" s="489"/>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6">
        <f t="shared" si="42"/>
        <v>0</v>
      </c>
    </row>
    <row r="220" spans="1:19">
      <c r="A220" s="489"/>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6">
        <f t="shared" si="42"/>
        <v>0</v>
      </c>
    </row>
    <row r="221" spans="1:19">
      <c r="A221" s="489"/>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6">
        <f t="shared" si="42"/>
        <v>0</v>
      </c>
    </row>
    <row r="222" spans="1:19">
      <c r="A222" s="489"/>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6">
        <f t="shared" si="42"/>
        <v>0</v>
      </c>
    </row>
    <row r="223" spans="1:19">
      <c r="A223" s="489"/>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6">
        <f t="shared" ref="S223:S286" si="52">ROUND(R223*B223/10000,0)</f>
        <v>0</v>
      </c>
    </row>
    <row r="224" spans="1:19">
      <c r="A224" s="489"/>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6">
        <f t="shared" si="52"/>
        <v>0</v>
      </c>
    </row>
    <row r="225" spans="1:19">
      <c r="A225" s="489"/>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6">
        <f t="shared" si="52"/>
        <v>0</v>
      </c>
    </row>
    <row r="226" spans="1:19">
      <c r="A226" s="489"/>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6">
        <f t="shared" si="52"/>
        <v>0</v>
      </c>
    </row>
    <row r="227" spans="1:19">
      <c r="A227" s="489"/>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6">
        <f t="shared" si="52"/>
        <v>0</v>
      </c>
    </row>
    <row r="228" spans="1:19">
      <c r="A228" s="489"/>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6">
        <f t="shared" si="52"/>
        <v>0</v>
      </c>
    </row>
    <row r="229" spans="1:19">
      <c r="A229" s="489"/>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6">
        <f t="shared" si="52"/>
        <v>0</v>
      </c>
    </row>
    <row r="230" spans="1:19">
      <c r="A230" s="489"/>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6">
        <f t="shared" si="52"/>
        <v>0</v>
      </c>
    </row>
    <row r="231" spans="1:19">
      <c r="A231" s="489"/>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6">
        <f t="shared" si="52"/>
        <v>0</v>
      </c>
    </row>
    <row r="232" spans="1:19">
      <c r="A232" s="489"/>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6">
        <f t="shared" si="52"/>
        <v>0</v>
      </c>
    </row>
    <row r="233" spans="1:19">
      <c r="A233" s="489"/>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6">
        <f t="shared" si="52"/>
        <v>0</v>
      </c>
    </row>
    <row r="234" spans="1:19">
      <c r="A234" s="489"/>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6">
        <f t="shared" si="52"/>
        <v>0</v>
      </c>
    </row>
    <row r="235" spans="1:19">
      <c r="A235" s="489"/>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6">
        <f t="shared" si="52"/>
        <v>0</v>
      </c>
    </row>
    <row r="236" spans="1:19">
      <c r="A236" s="489"/>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6">
        <f t="shared" si="52"/>
        <v>0</v>
      </c>
    </row>
    <row r="237" spans="1:19">
      <c r="A237" s="489"/>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6">
        <f t="shared" si="52"/>
        <v>0</v>
      </c>
    </row>
    <row r="238" spans="1:19">
      <c r="A238" s="489"/>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6">
        <f t="shared" si="52"/>
        <v>0</v>
      </c>
    </row>
    <row r="239" spans="1:19">
      <c r="A239" s="489"/>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6">
        <f t="shared" si="52"/>
        <v>0</v>
      </c>
    </row>
    <row r="240" spans="1:19">
      <c r="A240" s="489"/>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6">
        <f t="shared" si="52"/>
        <v>0</v>
      </c>
    </row>
    <row r="241" spans="1:19">
      <c r="A241" s="489"/>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6">
        <f t="shared" si="52"/>
        <v>0</v>
      </c>
    </row>
    <row r="242" spans="1:19">
      <c r="A242" s="489"/>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6">
        <f t="shared" si="52"/>
        <v>0</v>
      </c>
    </row>
    <row r="243" spans="1:19">
      <c r="A243" s="489"/>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6">
        <f t="shared" si="52"/>
        <v>0</v>
      </c>
    </row>
    <row r="244" spans="1:19">
      <c r="A244" s="489"/>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6">
        <f t="shared" si="52"/>
        <v>0</v>
      </c>
    </row>
    <row r="245" spans="1:19">
      <c r="A245" s="489"/>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6">
        <f t="shared" si="52"/>
        <v>0</v>
      </c>
    </row>
    <row r="246" spans="1:19">
      <c r="A246" s="489"/>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6">
        <f t="shared" si="52"/>
        <v>0</v>
      </c>
    </row>
    <row r="247" spans="1:19">
      <c r="A247" s="489"/>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6">
        <f t="shared" si="52"/>
        <v>0</v>
      </c>
    </row>
    <row r="248" spans="1:19">
      <c r="A248" s="489"/>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6">
        <f t="shared" si="52"/>
        <v>0</v>
      </c>
    </row>
    <row r="249" spans="1:19">
      <c r="A249" s="489"/>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6">
        <f t="shared" si="52"/>
        <v>0</v>
      </c>
    </row>
    <row r="250" spans="1:19">
      <c r="A250" s="489"/>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6">
        <f t="shared" si="52"/>
        <v>0</v>
      </c>
    </row>
    <row r="251" spans="1:19">
      <c r="A251" s="489"/>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6">
        <f t="shared" si="52"/>
        <v>0</v>
      </c>
    </row>
    <row r="252" spans="1:19">
      <c r="A252" s="489"/>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6">
        <f t="shared" si="52"/>
        <v>0</v>
      </c>
    </row>
    <row r="253" spans="1:19">
      <c r="A253" s="489"/>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6">
        <f t="shared" si="52"/>
        <v>0</v>
      </c>
    </row>
    <row r="254" spans="1:19">
      <c r="A254" s="489"/>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6">
        <f t="shared" si="52"/>
        <v>0</v>
      </c>
    </row>
    <row r="255" spans="1:19">
      <c r="A255" s="489"/>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6">
        <f t="shared" si="52"/>
        <v>0</v>
      </c>
    </row>
    <row r="256" spans="1:19">
      <c r="A256" s="489"/>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6">
        <f t="shared" si="52"/>
        <v>0</v>
      </c>
    </row>
    <row r="257" spans="1:19">
      <c r="A257" s="489"/>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6">
        <f t="shared" si="52"/>
        <v>0</v>
      </c>
    </row>
    <row r="258" spans="1:19">
      <c r="A258" s="489"/>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6">
        <f t="shared" si="52"/>
        <v>0</v>
      </c>
    </row>
    <row r="259" spans="1:19">
      <c r="A259" s="489"/>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6">
        <f t="shared" si="52"/>
        <v>0</v>
      </c>
    </row>
    <row r="260" spans="1:19">
      <c r="A260" s="489"/>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6">
        <f t="shared" si="52"/>
        <v>0</v>
      </c>
    </row>
    <row r="261" spans="1:19">
      <c r="A261" s="489"/>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6">
        <f t="shared" si="52"/>
        <v>0</v>
      </c>
    </row>
    <row r="262" spans="1:19">
      <c r="A262" s="489"/>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6">
        <f t="shared" si="52"/>
        <v>0</v>
      </c>
    </row>
    <row r="263" spans="1:19">
      <c r="A263" s="489"/>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6">
        <f t="shared" si="52"/>
        <v>0</v>
      </c>
    </row>
    <row r="264" spans="1:19">
      <c r="A264" s="489"/>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6">
        <f t="shared" si="52"/>
        <v>0</v>
      </c>
    </row>
    <row r="265" spans="1:19">
      <c r="A265" s="489"/>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6">
        <f t="shared" si="52"/>
        <v>0</v>
      </c>
    </row>
    <row r="266" spans="1:19">
      <c r="A266" s="489"/>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6">
        <f t="shared" si="52"/>
        <v>0</v>
      </c>
    </row>
    <row r="267" spans="1:19">
      <c r="A267" s="489"/>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6">
        <f t="shared" si="52"/>
        <v>0</v>
      </c>
    </row>
    <row r="268" spans="1:19">
      <c r="A268" s="489"/>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6">
        <f t="shared" si="52"/>
        <v>0</v>
      </c>
    </row>
    <row r="269" spans="1:19">
      <c r="A269" s="489"/>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6">
        <f t="shared" si="52"/>
        <v>0</v>
      </c>
    </row>
    <row r="270" spans="1:19">
      <c r="A270" s="489"/>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6">
        <f t="shared" si="52"/>
        <v>0</v>
      </c>
    </row>
    <row r="271" spans="1:19">
      <c r="A271" s="489"/>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6">
        <f t="shared" si="52"/>
        <v>0</v>
      </c>
    </row>
    <row r="272" spans="1:19">
      <c r="A272" s="489"/>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6">
        <f t="shared" si="52"/>
        <v>0</v>
      </c>
    </row>
    <row r="273" spans="1:19">
      <c r="A273" s="489"/>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6">
        <f t="shared" si="52"/>
        <v>0</v>
      </c>
    </row>
    <row r="274" spans="1:19">
      <c r="A274" s="489"/>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6">
        <f t="shared" si="52"/>
        <v>0</v>
      </c>
    </row>
    <row r="275" spans="1:19">
      <c r="A275" s="489"/>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6">
        <f t="shared" si="52"/>
        <v>0</v>
      </c>
    </row>
    <row r="276" spans="1:19">
      <c r="A276" s="489"/>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6">
        <f t="shared" si="52"/>
        <v>0</v>
      </c>
    </row>
    <row r="277" spans="1:19">
      <c r="A277" s="489"/>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6">
        <f t="shared" si="52"/>
        <v>0</v>
      </c>
    </row>
    <row r="278" spans="1:19">
      <c r="A278" s="489"/>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6">
        <f t="shared" si="52"/>
        <v>0</v>
      </c>
    </row>
    <row r="279" spans="1:19">
      <c r="A279" s="489"/>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6">
        <f t="shared" si="52"/>
        <v>0</v>
      </c>
    </row>
    <row r="280" spans="1:19">
      <c r="A280" s="489"/>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6">
        <f t="shared" si="52"/>
        <v>0</v>
      </c>
    </row>
    <row r="281" spans="1:19">
      <c r="A281" s="489"/>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6">
        <f t="shared" si="52"/>
        <v>0</v>
      </c>
    </row>
    <row r="282" spans="1:19">
      <c r="A282" s="489"/>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6">
        <f t="shared" si="52"/>
        <v>0</v>
      </c>
    </row>
    <row r="283" spans="1:19">
      <c r="A283" s="489"/>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6">
        <f t="shared" si="52"/>
        <v>0</v>
      </c>
    </row>
    <row r="284" spans="1:19">
      <c r="A284" s="489"/>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6">
        <f t="shared" si="52"/>
        <v>0</v>
      </c>
    </row>
    <row r="285" spans="1:19">
      <c r="A285" s="489"/>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6">
        <f t="shared" si="52"/>
        <v>0</v>
      </c>
    </row>
    <row r="286" spans="1:19">
      <c r="A286" s="489"/>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6">
        <f t="shared" si="52"/>
        <v>0</v>
      </c>
    </row>
    <row r="287" spans="1:19">
      <c r="A287" s="489"/>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6">
        <f t="shared" ref="S287:S320" si="62">ROUND(R287*B287/10000,0)</f>
        <v>0</v>
      </c>
    </row>
    <row r="288" spans="1:19">
      <c r="A288" s="489"/>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6">
        <f t="shared" si="62"/>
        <v>0</v>
      </c>
    </row>
    <row r="289" spans="1:19">
      <c r="A289" s="489"/>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6">
        <f t="shared" si="62"/>
        <v>0</v>
      </c>
    </row>
    <row r="290" spans="1:19">
      <c r="A290" s="489"/>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6">
        <f t="shared" si="62"/>
        <v>0</v>
      </c>
    </row>
    <row r="291" spans="1:19">
      <c r="A291" s="489"/>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6">
        <f t="shared" si="62"/>
        <v>0</v>
      </c>
    </row>
    <row r="292" spans="1:19">
      <c r="A292" s="489"/>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6">
        <f t="shared" si="62"/>
        <v>0</v>
      </c>
    </row>
    <row r="293" spans="1:19">
      <c r="A293" s="489"/>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6">
        <f t="shared" si="62"/>
        <v>0</v>
      </c>
    </row>
    <row r="294" spans="1:19">
      <c r="A294" s="489"/>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6">
        <f t="shared" si="62"/>
        <v>0</v>
      </c>
    </row>
    <row r="295" spans="1:19">
      <c r="A295" s="489"/>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6">
        <f t="shared" si="62"/>
        <v>0</v>
      </c>
    </row>
    <row r="296" spans="1:19">
      <c r="A296" s="489"/>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6">
        <f t="shared" si="62"/>
        <v>0</v>
      </c>
    </row>
    <row r="297" spans="1:19">
      <c r="A297" s="489"/>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6">
        <f t="shared" si="62"/>
        <v>0</v>
      </c>
    </row>
    <row r="298" spans="1:19">
      <c r="A298" s="489"/>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6">
        <f t="shared" si="62"/>
        <v>0</v>
      </c>
    </row>
    <row r="299" spans="1:19">
      <c r="A299" s="489"/>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6">
        <f t="shared" si="62"/>
        <v>0</v>
      </c>
    </row>
    <row r="300" spans="1:19">
      <c r="A300" s="489"/>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6">
        <f t="shared" si="62"/>
        <v>0</v>
      </c>
    </row>
    <row r="301" spans="1:19">
      <c r="A301" s="489"/>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6">
        <f t="shared" si="62"/>
        <v>0</v>
      </c>
    </row>
    <row r="302" spans="1:19">
      <c r="A302" s="489"/>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6">
        <f t="shared" si="62"/>
        <v>0</v>
      </c>
    </row>
    <row r="303" spans="1:19">
      <c r="A303" s="489"/>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6">
        <f t="shared" si="62"/>
        <v>0</v>
      </c>
    </row>
    <row r="304" spans="1:19">
      <c r="A304" s="489"/>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6">
        <f t="shared" si="62"/>
        <v>0</v>
      </c>
    </row>
    <row r="305" spans="1:19">
      <c r="A305" s="489"/>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6">
        <f t="shared" si="62"/>
        <v>0</v>
      </c>
    </row>
    <row r="306" spans="1:19">
      <c r="A306" s="489"/>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6">
        <f t="shared" si="62"/>
        <v>0</v>
      </c>
    </row>
    <row r="307" spans="1:19">
      <c r="A307" s="489"/>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6">
        <f t="shared" si="62"/>
        <v>0</v>
      </c>
    </row>
    <row r="308" spans="1:19">
      <c r="A308" s="489"/>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6">
        <f t="shared" si="62"/>
        <v>0</v>
      </c>
    </row>
    <row r="309" spans="1:19">
      <c r="A309" s="489"/>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6">
        <f t="shared" si="62"/>
        <v>0</v>
      </c>
    </row>
    <row r="310" spans="1:19">
      <c r="A310" s="489"/>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6">
        <f t="shared" si="62"/>
        <v>0</v>
      </c>
    </row>
    <row r="311" spans="1:19">
      <c r="A311" s="489"/>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6">
        <f t="shared" si="62"/>
        <v>0</v>
      </c>
    </row>
    <row r="312" spans="1:19">
      <c r="A312" s="489"/>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6">
        <f t="shared" si="62"/>
        <v>0</v>
      </c>
    </row>
    <row r="313" spans="1:19">
      <c r="A313" s="489"/>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6">
        <f t="shared" si="62"/>
        <v>0</v>
      </c>
    </row>
    <row r="314" spans="1:19">
      <c r="A314" s="489"/>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6">
        <f t="shared" si="62"/>
        <v>0</v>
      </c>
    </row>
    <row r="315" spans="1:19">
      <c r="A315" s="489"/>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6">
        <f t="shared" si="62"/>
        <v>0</v>
      </c>
    </row>
    <row r="316" spans="1:19">
      <c r="A316" s="489"/>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6">
        <f t="shared" si="62"/>
        <v>0</v>
      </c>
    </row>
    <row r="317" spans="1:19">
      <c r="A317" s="489"/>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6">
        <f t="shared" si="62"/>
        <v>0</v>
      </c>
    </row>
    <row r="318" spans="1:19">
      <c r="A318" s="489"/>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6">
        <f t="shared" si="62"/>
        <v>0</v>
      </c>
    </row>
    <row r="319" spans="1:19">
      <c r="A319" s="489"/>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6">
        <f t="shared" si="62"/>
        <v>0</v>
      </c>
    </row>
    <row r="320" spans="1:19">
      <c r="A320" s="489"/>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6">
        <f t="shared" si="62"/>
        <v>0</v>
      </c>
    </row>
    <row r="321" spans="1:19">
      <c r="A321" s="489"/>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6">
        <f t="shared" ref="S321:S384" si="63">ROUND(R321*B321/10000,0)</f>
        <v>0</v>
      </c>
    </row>
    <row r="322" spans="1:19">
      <c r="A322" s="489"/>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6">
        <f t="shared" si="63"/>
        <v>0</v>
      </c>
    </row>
    <row r="323" spans="1:19">
      <c r="A323" s="489"/>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6">
        <f t="shared" si="63"/>
        <v>0</v>
      </c>
    </row>
    <row r="324" spans="1:19">
      <c r="A324" s="489"/>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6">
        <f t="shared" si="63"/>
        <v>0</v>
      </c>
    </row>
    <row r="325" spans="1:19">
      <c r="A325" s="489"/>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6">
        <f t="shared" si="63"/>
        <v>0</v>
      </c>
    </row>
    <row r="326" spans="1:19">
      <c r="A326" s="489"/>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6">
        <f t="shared" si="63"/>
        <v>0</v>
      </c>
    </row>
    <row r="327" spans="1:19">
      <c r="A327" s="489"/>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6">
        <f t="shared" si="63"/>
        <v>0</v>
      </c>
    </row>
    <row r="328" spans="1:19">
      <c r="A328" s="489"/>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6">
        <f t="shared" si="63"/>
        <v>0</v>
      </c>
    </row>
    <row r="329" spans="1:19">
      <c r="A329" s="489"/>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6">
        <f t="shared" si="63"/>
        <v>0</v>
      </c>
    </row>
    <row r="330" spans="1:19">
      <c r="A330" s="489"/>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6">
        <f t="shared" si="63"/>
        <v>0</v>
      </c>
    </row>
    <row r="331" spans="1:19">
      <c r="A331" s="489"/>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6">
        <f t="shared" si="63"/>
        <v>0</v>
      </c>
    </row>
    <row r="332" spans="1:19">
      <c r="A332" s="489"/>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6">
        <f t="shared" si="63"/>
        <v>0</v>
      </c>
    </row>
    <row r="333" spans="1:19">
      <c r="A333" s="489"/>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6">
        <f t="shared" si="63"/>
        <v>0</v>
      </c>
    </row>
    <row r="334" spans="1:19">
      <c r="A334" s="489"/>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6">
        <f t="shared" si="63"/>
        <v>0</v>
      </c>
    </row>
    <row r="335" spans="1:19">
      <c r="A335" s="489"/>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6">
        <f t="shared" si="63"/>
        <v>0</v>
      </c>
    </row>
    <row r="336" spans="1:19">
      <c r="A336" s="489"/>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6">
        <f t="shared" si="63"/>
        <v>0</v>
      </c>
    </row>
    <row r="337" spans="1:19">
      <c r="A337" s="489"/>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6">
        <f t="shared" si="63"/>
        <v>0</v>
      </c>
    </row>
    <row r="338" spans="1:19">
      <c r="A338" s="489"/>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6">
        <f t="shared" si="63"/>
        <v>0</v>
      </c>
    </row>
    <row r="339" spans="1:19">
      <c r="A339" s="489"/>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6">
        <f t="shared" si="63"/>
        <v>0</v>
      </c>
    </row>
    <row r="340" spans="1:19">
      <c r="A340" s="489"/>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6">
        <f t="shared" si="63"/>
        <v>0</v>
      </c>
    </row>
    <row r="341" spans="1:19">
      <c r="A341" s="489"/>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6">
        <f t="shared" si="63"/>
        <v>0</v>
      </c>
    </row>
    <row r="342" spans="1:19">
      <c r="A342" s="489"/>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6">
        <f t="shared" si="63"/>
        <v>0</v>
      </c>
    </row>
    <row r="343" spans="1:19">
      <c r="A343" s="489"/>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6">
        <f t="shared" si="63"/>
        <v>0</v>
      </c>
    </row>
    <row r="344" spans="1:19">
      <c r="A344" s="489"/>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6">
        <f t="shared" si="63"/>
        <v>0</v>
      </c>
    </row>
    <row r="345" spans="1:19">
      <c r="A345" s="489"/>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6">
        <f t="shared" si="63"/>
        <v>0</v>
      </c>
    </row>
    <row r="346" spans="1:19">
      <c r="A346" s="489"/>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6">
        <f t="shared" si="63"/>
        <v>0</v>
      </c>
    </row>
    <row r="347" spans="1:19">
      <c r="A347" s="489"/>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6">
        <f t="shared" si="63"/>
        <v>0</v>
      </c>
    </row>
    <row r="348" spans="1:19">
      <c r="A348" s="489"/>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6">
        <f t="shared" si="63"/>
        <v>0</v>
      </c>
    </row>
    <row r="349" spans="1:19">
      <c r="A349" s="489"/>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6">
        <f t="shared" si="63"/>
        <v>0</v>
      </c>
    </row>
    <row r="350" spans="1:19">
      <c r="A350" s="489"/>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6">
        <f t="shared" si="63"/>
        <v>0</v>
      </c>
    </row>
    <row r="351" spans="1:19">
      <c r="A351" s="489"/>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6">
        <f t="shared" si="63"/>
        <v>0</v>
      </c>
    </row>
    <row r="352" spans="1:19">
      <c r="A352" s="489"/>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6">
        <f t="shared" si="63"/>
        <v>0</v>
      </c>
    </row>
    <row r="353" spans="1:19">
      <c r="A353" s="489"/>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6">
        <f t="shared" si="63"/>
        <v>0</v>
      </c>
    </row>
    <row r="354" spans="1:19">
      <c r="A354" s="489"/>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6">
        <f t="shared" si="63"/>
        <v>0</v>
      </c>
    </row>
    <row r="355" spans="1:19">
      <c r="A355" s="489"/>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6">
        <f t="shared" si="63"/>
        <v>0</v>
      </c>
    </row>
    <row r="356" spans="1:19">
      <c r="A356" s="489"/>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6">
        <f t="shared" si="63"/>
        <v>0</v>
      </c>
    </row>
    <row r="357" spans="1:19">
      <c r="A357" s="489"/>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6">
        <f t="shared" si="63"/>
        <v>0</v>
      </c>
    </row>
    <row r="358" spans="1:19">
      <c r="A358" s="489"/>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6">
        <f t="shared" si="63"/>
        <v>0</v>
      </c>
    </row>
    <row r="359" spans="1:19">
      <c r="A359" s="489"/>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6">
        <f t="shared" si="63"/>
        <v>0</v>
      </c>
    </row>
    <row r="360" spans="1:19">
      <c r="A360" s="489"/>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6">
        <f t="shared" si="63"/>
        <v>0</v>
      </c>
    </row>
    <row r="361" spans="1:19">
      <c r="A361" s="489"/>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6">
        <f t="shared" si="63"/>
        <v>0</v>
      </c>
    </row>
    <row r="362" spans="1:19">
      <c r="A362" s="489"/>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6">
        <f t="shared" si="63"/>
        <v>0</v>
      </c>
    </row>
    <row r="363" spans="1:19">
      <c r="A363" s="489"/>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6">
        <f t="shared" si="63"/>
        <v>0</v>
      </c>
    </row>
    <row r="364" spans="1:19">
      <c r="A364" s="489"/>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6">
        <f t="shared" si="63"/>
        <v>0</v>
      </c>
    </row>
    <row r="365" spans="1:19">
      <c r="A365" s="489"/>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6">
        <f t="shared" si="63"/>
        <v>0</v>
      </c>
    </row>
    <row r="366" spans="1:19">
      <c r="A366" s="489"/>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6">
        <f t="shared" si="63"/>
        <v>0</v>
      </c>
    </row>
    <row r="367" spans="1:19">
      <c r="A367" s="489"/>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6">
        <f t="shared" si="63"/>
        <v>0</v>
      </c>
    </row>
    <row r="368" spans="1:19">
      <c r="A368" s="489"/>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6">
        <f t="shared" si="63"/>
        <v>0</v>
      </c>
    </row>
    <row r="369" spans="1:19">
      <c r="A369" s="489"/>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6">
        <f t="shared" si="63"/>
        <v>0</v>
      </c>
    </row>
    <row r="370" spans="1:19">
      <c r="A370" s="489"/>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6">
        <f t="shared" si="63"/>
        <v>0</v>
      </c>
    </row>
    <row r="371" spans="1:19">
      <c r="A371" s="489"/>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6">
        <f t="shared" si="63"/>
        <v>0</v>
      </c>
    </row>
    <row r="372" spans="1:19">
      <c r="A372" s="489"/>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6">
        <f t="shared" si="63"/>
        <v>0</v>
      </c>
    </row>
    <row r="373" spans="1:19">
      <c r="A373" s="489"/>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6">
        <f t="shared" si="63"/>
        <v>0</v>
      </c>
    </row>
    <row r="374" spans="1:19">
      <c r="A374" s="489"/>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6">
        <f t="shared" si="63"/>
        <v>0</v>
      </c>
    </row>
    <row r="375" spans="1:19">
      <c r="A375" s="489"/>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6">
        <f t="shared" si="63"/>
        <v>0</v>
      </c>
    </row>
    <row r="376" spans="1:19">
      <c r="A376" s="489"/>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6">
        <f t="shared" si="63"/>
        <v>0</v>
      </c>
    </row>
    <row r="377" spans="1:19">
      <c r="A377" s="489"/>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6">
        <f t="shared" si="63"/>
        <v>0</v>
      </c>
    </row>
    <row r="378" spans="1:19">
      <c r="A378" s="489"/>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6">
        <f t="shared" si="63"/>
        <v>0</v>
      </c>
    </row>
    <row r="379" spans="1:19">
      <c r="A379" s="489"/>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6">
        <f t="shared" si="63"/>
        <v>0</v>
      </c>
    </row>
    <row r="380" spans="1:19">
      <c r="A380" s="489"/>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6">
        <f t="shared" si="63"/>
        <v>0</v>
      </c>
    </row>
    <row r="381" spans="1:19">
      <c r="A381" s="489"/>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6">
        <f t="shared" si="63"/>
        <v>0</v>
      </c>
    </row>
    <row r="382" spans="1:19">
      <c r="A382" s="489"/>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6">
        <f t="shared" si="63"/>
        <v>0</v>
      </c>
    </row>
    <row r="383" spans="1:19">
      <c r="A383" s="489"/>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6">
        <f t="shared" si="63"/>
        <v>0</v>
      </c>
    </row>
    <row r="384" spans="1:19">
      <c r="A384" s="489"/>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6">
        <f t="shared" si="63"/>
        <v>0</v>
      </c>
    </row>
    <row r="385" spans="1:19">
      <c r="A385" s="489"/>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6">
        <f t="shared" ref="S385:S422" si="73">ROUND(R385*B385/10000,0)</f>
        <v>0</v>
      </c>
    </row>
    <row r="386" spans="1:19">
      <c r="A386" s="489"/>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6">
        <f t="shared" si="73"/>
        <v>0</v>
      </c>
    </row>
    <row r="387" spans="1:19">
      <c r="A387" s="489"/>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6">
        <f t="shared" si="73"/>
        <v>0</v>
      </c>
    </row>
    <row r="388" spans="1:19">
      <c r="A388" s="489"/>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6">
        <f t="shared" si="73"/>
        <v>0</v>
      </c>
    </row>
    <row r="389" spans="1:19">
      <c r="A389" s="489"/>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6">
        <f t="shared" si="73"/>
        <v>0</v>
      </c>
    </row>
    <row r="390" spans="1:19">
      <c r="A390" s="489"/>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6">
        <f t="shared" si="73"/>
        <v>0</v>
      </c>
    </row>
    <row r="391" spans="1:19">
      <c r="A391" s="489"/>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6">
        <f t="shared" si="73"/>
        <v>0</v>
      </c>
    </row>
    <row r="392" spans="1:19">
      <c r="A392" s="489"/>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6">
        <f t="shared" si="73"/>
        <v>0</v>
      </c>
    </row>
    <row r="393" spans="1:19">
      <c r="A393" s="489"/>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6">
        <f t="shared" si="73"/>
        <v>0</v>
      </c>
    </row>
    <row r="394" spans="1:19">
      <c r="A394" s="489"/>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6">
        <f t="shared" si="73"/>
        <v>0</v>
      </c>
    </row>
    <row r="395" spans="1:19">
      <c r="A395" s="489"/>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6">
        <f t="shared" si="73"/>
        <v>0</v>
      </c>
    </row>
    <row r="396" spans="1:19">
      <c r="A396" s="489"/>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6">
        <f t="shared" si="73"/>
        <v>0</v>
      </c>
    </row>
    <row r="397" spans="1:19">
      <c r="A397" s="489"/>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6">
        <f t="shared" si="73"/>
        <v>0</v>
      </c>
    </row>
    <row r="398" spans="1:19">
      <c r="A398" s="489"/>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6">
        <f t="shared" si="73"/>
        <v>0</v>
      </c>
    </row>
    <row r="399" spans="1:19">
      <c r="A399" s="489"/>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6">
        <f t="shared" si="73"/>
        <v>0</v>
      </c>
    </row>
    <row r="400" spans="1:19">
      <c r="A400" s="489"/>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6">
        <f t="shared" si="73"/>
        <v>0</v>
      </c>
    </row>
    <row r="401" spans="1:19">
      <c r="A401" s="489"/>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6">
        <f t="shared" si="73"/>
        <v>0</v>
      </c>
    </row>
    <row r="402" spans="1:19">
      <c r="A402" s="489"/>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6">
        <f t="shared" si="73"/>
        <v>0</v>
      </c>
    </row>
    <row r="403" spans="1:19">
      <c r="A403" s="489"/>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6">
        <f t="shared" si="73"/>
        <v>0</v>
      </c>
    </row>
    <row r="404" spans="1:19">
      <c r="A404" s="489"/>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6">
        <f t="shared" si="73"/>
        <v>0</v>
      </c>
    </row>
    <row r="405" spans="1:19">
      <c r="A405" s="489"/>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6">
        <f t="shared" si="73"/>
        <v>0</v>
      </c>
    </row>
    <row r="406" spans="1:19">
      <c r="A406" s="489"/>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6">
        <f t="shared" si="73"/>
        <v>0</v>
      </c>
    </row>
    <row r="407" spans="1:19">
      <c r="A407" s="489"/>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6">
        <f t="shared" si="73"/>
        <v>0</v>
      </c>
    </row>
    <row r="408" spans="1:19">
      <c r="A408" s="489"/>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6">
        <f t="shared" si="73"/>
        <v>0</v>
      </c>
    </row>
    <row r="409" spans="1:19">
      <c r="A409" s="489"/>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6">
        <f t="shared" si="73"/>
        <v>0</v>
      </c>
    </row>
    <row r="410" spans="1:19">
      <c r="A410" s="489"/>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6">
        <f t="shared" si="73"/>
        <v>0</v>
      </c>
    </row>
    <row r="411" spans="1:19">
      <c r="A411" s="489"/>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6">
        <f t="shared" si="73"/>
        <v>0</v>
      </c>
    </row>
    <row r="412" spans="1:19">
      <c r="A412" s="489"/>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6">
        <f t="shared" si="73"/>
        <v>0</v>
      </c>
    </row>
    <row r="413" spans="1:19">
      <c r="A413" s="489"/>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6">
        <f t="shared" si="73"/>
        <v>0</v>
      </c>
    </row>
    <row r="414" spans="1:19">
      <c r="A414" s="489"/>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6">
        <f t="shared" si="73"/>
        <v>0</v>
      </c>
    </row>
    <row r="415" spans="1:19">
      <c r="A415" s="489"/>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6">
        <f t="shared" si="73"/>
        <v>0</v>
      </c>
    </row>
    <row r="416" spans="1:19">
      <c r="A416" s="489"/>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6">
        <f t="shared" si="73"/>
        <v>0</v>
      </c>
    </row>
    <row r="417" spans="1:19">
      <c r="A417" s="489"/>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6">
        <f t="shared" si="73"/>
        <v>0</v>
      </c>
    </row>
    <row r="418" spans="1:19">
      <c r="A418" s="489"/>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6">
        <f t="shared" si="73"/>
        <v>0</v>
      </c>
    </row>
    <row r="419" spans="1:19">
      <c r="A419" s="489"/>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6">
        <f t="shared" si="73"/>
        <v>0</v>
      </c>
    </row>
    <row r="420" spans="1:19">
      <c r="A420" s="489"/>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6">
        <f t="shared" si="73"/>
        <v>0</v>
      </c>
    </row>
    <row r="421" spans="1:19">
      <c r="A421" s="489"/>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6">
        <f t="shared" si="73"/>
        <v>0</v>
      </c>
    </row>
    <row r="422" spans="1:19">
      <c r="A422" s="489"/>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6">
        <f t="shared" si="73"/>
        <v>0</v>
      </c>
    </row>
    <row r="423" spans="1:19">
      <c r="A423" s="489"/>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6">
        <f t="shared" ref="S423:S467" si="83">ROUND(R423*B423/10000,0)</f>
        <v>0</v>
      </c>
    </row>
    <row r="424" spans="1:19">
      <c r="A424" s="489"/>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6">
        <f t="shared" si="83"/>
        <v>0</v>
      </c>
    </row>
    <row r="425" spans="1:19">
      <c r="A425" s="489"/>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6">
        <f t="shared" si="83"/>
        <v>0</v>
      </c>
    </row>
    <row r="426" spans="1:19">
      <c r="A426" s="489"/>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6">
        <f t="shared" si="83"/>
        <v>0</v>
      </c>
    </row>
    <row r="427" spans="1:19">
      <c r="A427" s="489"/>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6">
        <f t="shared" si="83"/>
        <v>0</v>
      </c>
    </row>
    <row r="428" spans="1:19">
      <c r="A428" s="489"/>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6">
        <f t="shared" si="83"/>
        <v>0</v>
      </c>
    </row>
    <row r="429" spans="1:19">
      <c r="A429" s="489"/>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6">
        <f t="shared" si="83"/>
        <v>0</v>
      </c>
    </row>
    <row r="430" spans="1:19">
      <c r="A430" s="489"/>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6">
        <f t="shared" si="83"/>
        <v>0</v>
      </c>
    </row>
    <row r="431" spans="1:19">
      <c r="A431" s="489"/>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6">
        <f t="shared" si="83"/>
        <v>0</v>
      </c>
    </row>
    <row r="432" spans="1:19">
      <c r="A432" s="489"/>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6">
        <f t="shared" si="83"/>
        <v>0</v>
      </c>
    </row>
    <row r="433" spans="1:19">
      <c r="A433" s="489"/>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6">
        <f t="shared" si="83"/>
        <v>0</v>
      </c>
    </row>
    <row r="434" spans="1:19">
      <c r="A434" s="489"/>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6">
        <f t="shared" si="83"/>
        <v>0</v>
      </c>
    </row>
    <row r="435" spans="1:19">
      <c r="A435" s="489"/>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6">
        <f t="shared" si="83"/>
        <v>0</v>
      </c>
    </row>
    <row r="436" spans="1:19">
      <c r="A436" s="489"/>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6">
        <f t="shared" si="83"/>
        <v>0</v>
      </c>
    </row>
    <row r="437" spans="1:19">
      <c r="A437" s="489"/>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6">
        <f t="shared" si="83"/>
        <v>0</v>
      </c>
    </row>
    <row r="438" spans="1:19">
      <c r="A438" s="489"/>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6">
        <f t="shared" si="83"/>
        <v>0</v>
      </c>
    </row>
    <row r="439" spans="1:19">
      <c r="A439" s="489"/>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6">
        <f t="shared" si="83"/>
        <v>0</v>
      </c>
    </row>
    <row r="440" spans="1:19">
      <c r="A440" s="489"/>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6">
        <f t="shared" si="83"/>
        <v>0</v>
      </c>
    </row>
    <row r="441" spans="1:19">
      <c r="A441" s="489"/>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6">
        <f t="shared" si="83"/>
        <v>0</v>
      </c>
    </row>
    <row r="442" spans="1:19">
      <c r="A442" s="489"/>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6">
        <f t="shared" si="83"/>
        <v>0</v>
      </c>
    </row>
    <row r="443" spans="1:19">
      <c r="A443" s="489"/>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6">
        <f t="shared" si="83"/>
        <v>0</v>
      </c>
    </row>
    <row r="444" spans="1:19">
      <c r="A444" s="489"/>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6">
        <f t="shared" si="83"/>
        <v>0</v>
      </c>
    </row>
    <row r="445" spans="1:19">
      <c r="A445" s="489"/>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6">
        <f t="shared" si="83"/>
        <v>0</v>
      </c>
    </row>
    <row r="446" spans="1:19">
      <c r="A446" s="489"/>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6">
        <f t="shared" si="83"/>
        <v>0</v>
      </c>
    </row>
    <row r="447" spans="1:19">
      <c r="A447" s="489"/>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6">
        <f t="shared" si="83"/>
        <v>0</v>
      </c>
    </row>
    <row r="448" spans="1:19">
      <c r="A448" s="489"/>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6">
        <f t="shared" si="83"/>
        <v>0</v>
      </c>
    </row>
    <row r="449" spans="1:19">
      <c r="A449" s="489"/>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6">
        <f t="shared" si="83"/>
        <v>0</v>
      </c>
    </row>
    <row r="450" spans="1:19">
      <c r="A450" s="489"/>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6">
        <f t="shared" si="83"/>
        <v>0</v>
      </c>
    </row>
    <row r="451" spans="1:19">
      <c r="A451" s="489"/>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6">
        <f t="shared" si="83"/>
        <v>0</v>
      </c>
    </row>
    <row r="452" spans="1:19">
      <c r="A452" s="489"/>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6">
        <f t="shared" si="83"/>
        <v>0</v>
      </c>
    </row>
    <row r="453" spans="1:19">
      <c r="A453" s="489"/>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6">
        <f t="shared" si="83"/>
        <v>0</v>
      </c>
    </row>
    <row r="454" spans="1:19">
      <c r="A454" s="489"/>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6">
        <f t="shared" si="83"/>
        <v>0</v>
      </c>
    </row>
    <row r="455" spans="1:19">
      <c r="A455" s="489"/>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6">
        <f t="shared" si="83"/>
        <v>0</v>
      </c>
    </row>
    <row r="456" spans="1:19">
      <c r="A456" s="489"/>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6">
        <f t="shared" si="83"/>
        <v>0</v>
      </c>
    </row>
    <row r="457" spans="1:19">
      <c r="A457" s="489"/>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6">
        <f t="shared" si="83"/>
        <v>0</v>
      </c>
    </row>
    <row r="458" spans="1:19">
      <c r="A458" s="489"/>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6">
        <f t="shared" si="83"/>
        <v>0</v>
      </c>
    </row>
    <row r="459" spans="1:19">
      <c r="A459" s="489"/>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6">
        <f t="shared" si="83"/>
        <v>0</v>
      </c>
    </row>
    <row r="460" spans="1:19">
      <c r="A460" s="489"/>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6">
        <f t="shared" si="83"/>
        <v>0</v>
      </c>
    </row>
    <row r="461" spans="1:19">
      <c r="A461" s="489"/>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6">
        <f t="shared" si="83"/>
        <v>0</v>
      </c>
    </row>
    <row r="462" spans="1:19">
      <c r="A462" s="489"/>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6">
        <f t="shared" si="83"/>
        <v>0</v>
      </c>
    </row>
    <row r="463" spans="1:19">
      <c r="A463" s="489"/>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6">
        <f t="shared" si="83"/>
        <v>0</v>
      </c>
    </row>
    <row r="464" spans="1:19">
      <c r="A464" s="489"/>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6">
        <f t="shared" si="83"/>
        <v>0</v>
      </c>
    </row>
    <row r="465" spans="1:19">
      <c r="A465" s="489"/>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6">
        <f t="shared" si="83"/>
        <v>0</v>
      </c>
    </row>
    <row r="466" spans="1:19">
      <c r="A466" s="489"/>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6">
        <f t="shared" si="83"/>
        <v>0</v>
      </c>
    </row>
    <row r="467" spans="1:19">
      <c r="A467" s="489"/>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6">
        <f t="shared" si="83"/>
        <v>0</v>
      </c>
    </row>
    <row r="468" spans="1:19">
      <c r="A468" s="489"/>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6">
        <f t="shared" ref="S468:S497" si="84">ROUND(R468*B468/10000,0)</f>
        <v>0</v>
      </c>
    </row>
    <row r="469" spans="1:19">
      <c r="A469" s="489"/>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6">
        <f t="shared" si="84"/>
        <v>0</v>
      </c>
    </row>
    <row r="470" spans="1:19">
      <c r="A470" s="489"/>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6">
        <f t="shared" si="84"/>
        <v>0</v>
      </c>
    </row>
    <row r="471" spans="1:19">
      <c r="A471" s="489"/>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6">
        <f t="shared" si="84"/>
        <v>0</v>
      </c>
    </row>
    <row r="472" spans="1:19">
      <c r="A472" s="489"/>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6">
        <f t="shared" si="84"/>
        <v>0</v>
      </c>
    </row>
    <row r="473" spans="1:19">
      <c r="A473" s="489"/>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6">
        <f t="shared" si="84"/>
        <v>0</v>
      </c>
    </row>
    <row r="474" spans="1:19">
      <c r="A474" s="489"/>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6">
        <f t="shared" si="84"/>
        <v>0</v>
      </c>
    </row>
    <row r="475" spans="1:19">
      <c r="A475" s="489"/>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6">
        <f t="shared" si="84"/>
        <v>0</v>
      </c>
    </row>
    <row r="476" spans="1:19">
      <c r="A476" s="489"/>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6">
        <f t="shared" si="84"/>
        <v>0</v>
      </c>
    </row>
    <row r="477" spans="1:19">
      <c r="A477" s="489"/>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6">
        <f t="shared" si="84"/>
        <v>0</v>
      </c>
    </row>
    <row r="478" spans="1:19">
      <c r="A478" s="489"/>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6">
        <f t="shared" si="84"/>
        <v>0</v>
      </c>
    </row>
    <row r="479" spans="1:19">
      <c r="A479" s="489"/>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6">
        <f t="shared" si="84"/>
        <v>0</v>
      </c>
    </row>
    <row r="480" spans="1:19">
      <c r="A480" s="489"/>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6">
        <f t="shared" si="84"/>
        <v>0</v>
      </c>
    </row>
    <row r="481" spans="1:19">
      <c r="A481" s="489"/>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6">
        <f t="shared" si="84"/>
        <v>0</v>
      </c>
    </row>
    <row r="482" spans="1:19">
      <c r="A482" s="489"/>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6">
        <f t="shared" si="84"/>
        <v>0</v>
      </c>
    </row>
    <row r="483" spans="1:19">
      <c r="A483" s="489"/>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6">
        <f t="shared" si="84"/>
        <v>0</v>
      </c>
    </row>
    <row r="484" spans="1:19">
      <c r="A484" s="489"/>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6">
        <f t="shared" si="84"/>
        <v>0</v>
      </c>
    </row>
    <row r="485" spans="1:19">
      <c r="A485" s="489"/>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6">
        <f t="shared" si="84"/>
        <v>0</v>
      </c>
    </row>
    <row r="486" spans="1:19">
      <c r="A486" s="489"/>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6">
        <f t="shared" si="84"/>
        <v>0</v>
      </c>
    </row>
    <row r="487" spans="1:19">
      <c r="A487" s="489"/>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6">
        <f t="shared" si="84"/>
        <v>0</v>
      </c>
    </row>
    <row r="488" spans="1:19">
      <c r="A488" s="489"/>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6">
        <f t="shared" si="84"/>
        <v>0</v>
      </c>
    </row>
    <row r="489" spans="1:19">
      <c r="A489" s="489"/>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6">
        <f t="shared" si="84"/>
        <v>0</v>
      </c>
    </row>
    <row r="490" spans="1:19">
      <c r="A490" s="489"/>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6">
        <f t="shared" si="84"/>
        <v>0</v>
      </c>
    </row>
    <row r="491" spans="1:19">
      <c r="A491" s="489"/>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6">
        <f t="shared" si="84"/>
        <v>0</v>
      </c>
    </row>
    <row r="492" spans="1:19">
      <c r="A492" s="489"/>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6">
        <f t="shared" si="84"/>
        <v>0</v>
      </c>
    </row>
    <row r="493" spans="1:19">
      <c r="A493" s="489"/>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6">
        <f t="shared" si="84"/>
        <v>0</v>
      </c>
    </row>
    <row r="494" spans="1:19">
      <c r="A494" s="489"/>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6">
        <f t="shared" si="84"/>
        <v>0</v>
      </c>
    </row>
    <row r="495" spans="1:19">
      <c r="A495" s="489"/>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6">
        <f t="shared" si="84"/>
        <v>0</v>
      </c>
    </row>
    <row r="496" spans="1:19">
      <c r="A496" s="489"/>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6">
        <f t="shared" si="84"/>
        <v>0</v>
      </c>
    </row>
    <row r="497" spans="1:19">
      <c r="A497" s="489"/>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6">
        <f t="shared" si="84"/>
        <v>0</v>
      </c>
    </row>
    <row r="498" spans="1:19">
      <c r="A498" s="489"/>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6">
        <f t="shared" ref="S498:S524" si="94">ROUND(R498*B498/10000,0)</f>
        <v>0</v>
      </c>
    </row>
    <row r="499" spans="1:19">
      <c r="A499" s="489"/>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6">
        <f t="shared" si="94"/>
        <v>0</v>
      </c>
    </row>
    <row r="500" spans="1:19">
      <c r="A500" s="489"/>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6">
        <f t="shared" si="94"/>
        <v>0</v>
      </c>
    </row>
    <row r="501" spans="1:19">
      <c r="A501" s="489"/>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6">
        <f t="shared" si="94"/>
        <v>0</v>
      </c>
    </row>
    <row r="502" spans="1:19">
      <c r="A502" s="489"/>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6">
        <f t="shared" si="94"/>
        <v>0</v>
      </c>
    </row>
    <row r="503" spans="1:19">
      <c r="A503" s="489"/>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6">
        <f t="shared" si="94"/>
        <v>0</v>
      </c>
    </row>
    <row r="504" spans="1:19">
      <c r="A504" s="489"/>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6">
        <f t="shared" si="94"/>
        <v>0</v>
      </c>
    </row>
    <row r="505" spans="1:19">
      <c r="A505" s="489"/>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6">
        <f t="shared" si="94"/>
        <v>0</v>
      </c>
    </row>
    <row r="506" spans="1:19">
      <c r="A506" s="489"/>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6">
        <f t="shared" si="94"/>
        <v>0</v>
      </c>
    </row>
    <row r="507" spans="1:19">
      <c r="A507" s="489"/>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6">
        <f t="shared" si="94"/>
        <v>0</v>
      </c>
    </row>
    <row r="508" spans="1:19">
      <c r="A508" s="489"/>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6">
        <f t="shared" si="94"/>
        <v>0</v>
      </c>
    </row>
    <row r="509" spans="1:19">
      <c r="A509" s="489"/>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6">
        <f t="shared" si="94"/>
        <v>0</v>
      </c>
    </row>
    <row r="510" spans="1:19">
      <c r="A510" s="489"/>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6">
        <f t="shared" si="94"/>
        <v>0</v>
      </c>
    </row>
    <row r="511" spans="1:19">
      <c r="A511" s="489"/>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6">
        <f t="shared" si="94"/>
        <v>0</v>
      </c>
    </row>
    <row r="512" spans="1:19">
      <c r="A512" s="489"/>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6">
        <f t="shared" si="94"/>
        <v>0</v>
      </c>
    </row>
    <row r="513" spans="1:19">
      <c r="A513" s="489"/>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6">
        <f t="shared" si="94"/>
        <v>0</v>
      </c>
    </row>
    <row r="514" spans="1:19">
      <c r="A514" s="489"/>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6">
        <f t="shared" si="94"/>
        <v>0</v>
      </c>
    </row>
    <row r="515" spans="1:19">
      <c r="A515" s="489"/>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6">
        <f t="shared" si="94"/>
        <v>0</v>
      </c>
    </row>
    <row r="516" spans="1:19">
      <c r="A516" s="489"/>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6">
        <f t="shared" si="94"/>
        <v>0</v>
      </c>
    </row>
    <row r="517" spans="1:19">
      <c r="A517" s="489"/>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6">
        <f t="shared" si="94"/>
        <v>0</v>
      </c>
    </row>
    <row r="518" spans="1:19">
      <c r="A518" s="489"/>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6">
        <f t="shared" si="94"/>
        <v>0</v>
      </c>
    </row>
    <row r="519" spans="1:19">
      <c r="A519" s="489"/>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6">
        <f t="shared" si="94"/>
        <v>0</v>
      </c>
    </row>
    <row r="520" spans="1:19">
      <c r="A520" s="489"/>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6">
        <f t="shared" si="94"/>
        <v>0</v>
      </c>
    </row>
    <row r="521" spans="1:19">
      <c r="A521" s="489"/>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6">
        <f t="shared" si="94"/>
        <v>0</v>
      </c>
    </row>
    <row r="522" spans="1:19">
      <c r="A522" s="489"/>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6">
        <f t="shared" si="94"/>
        <v>0</v>
      </c>
    </row>
    <row r="523" spans="1:19">
      <c r="A523" s="489"/>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6">
        <f t="shared" si="94"/>
        <v>0</v>
      </c>
    </row>
    <row r="524" spans="1:19">
      <c r="A524" s="489"/>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24549</v>
      </c>
      <c r="C2" s="85" t="s">
        <v>868</v>
      </c>
      <c r="D2" s="573"/>
      <c r="E2" s="573"/>
      <c r="F2" s="573"/>
      <c r="G2" s="573"/>
    </row>
    <row r="3" spans="1:7" s="574" customFormat="1" ht="18" customHeight="1" thickBot="1">
      <c r="A3" s="577" t="s">
        <v>820</v>
      </c>
      <c r="B3" s="578">
        <f ca="1">ROUND(B2*10000/'数据-汇总表'!E3,0)</f>
        <v>3930</v>
      </c>
      <c r="C3" s="85" t="s">
        <v>869</v>
      </c>
      <c r="D3" s="573"/>
      <c r="E3" s="573"/>
      <c r="F3" s="573"/>
      <c r="G3" s="573"/>
    </row>
    <row r="4" spans="1:7" s="582" customFormat="1" ht="15.75">
      <c r="A4" s="579" t="s">
        <v>821</v>
      </c>
      <c r="B4" s="580"/>
      <c r="C4" s="580"/>
      <c r="D4" s="580"/>
      <c r="E4" s="580"/>
      <c r="F4" s="580"/>
      <c r="G4" s="581"/>
    </row>
    <row r="5" spans="1:7" s="588" customFormat="1" ht="13.5" customHeight="1">
      <c r="A5" s="629" t="s">
        <v>2508</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2686</v>
      </c>
    </row>
    <row r="9" spans="1:7" s="588" customFormat="1" ht="13.5" customHeight="1">
      <c r="A9" s="1803" t="s">
        <v>1930</v>
      </c>
      <c r="B9" s="598" t="s">
        <v>828</v>
      </c>
      <c r="C9" s="599">
        <f>ROUND(D9*E9/10000,0)</f>
        <v>1455</v>
      </c>
      <c r="D9" s="1907">
        <f>'数据-汇总表'!E5</f>
        <v>60622.95</v>
      </c>
      <c r="E9" s="599">
        <f>'数据-取费表'!B27</f>
        <v>240</v>
      </c>
      <c r="F9" s="595"/>
      <c r="G9" s="600"/>
    </row>
    <row r="10" spans="1:7" s="588" customFormat="1" ht="13.5" customHeight="1">
      <c r="A10" s="1803" t="s">
        <v>1931</v>
      </c>
      <c r="B10" s="598" t="s">
        <v>829</v>
      </c>
      <c r="C10" s="599">
        <f>ROUND(D10*E10/10000,0)</f>
        <v>44</v>
      </c>
      <c r="D10" s="1907">
        <f>'数据-汇总表'!E6</f>
        <v>1835.4700000000012</v>
      </c>
      <c r="E10" s="599">
        <f>'数据-取费表'!B28</f>
        <v>240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f>IF(G19="已包含在土地取得成本中","0",ROUND(D19*E19/10000,0))</f>
        <v>1249</v>
      </c>
      <c r="D19" s="1911">
        <f>'数据-汇总表'!E3</f>
        <v>62458.42</v>
      </c>
      <c r="E19" s="585">
        <f>'数据-取费表'!B31</f>
        <v>200</v>
      </c>
      <c r="F19" s="605"/>
      <c r="G19" s="84" t="s">
        <v>2531</v>
      </c>
    </row>
    <row r="20" spans="1:7" s="588" customFormat="1" ht="13.5" customHeight="1">
      <c r="A20" s="1801" t="s">
        <v>2511</v>
      </c>
      <c r="B20" s="584" t="s">
        <v>839</v>
      </c>
      <c r="C20" s="606">
        <f>ROUND((C5+C19)*F20,0)</f>
        <v>328</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103</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1924</v>
      </c>
      <c r="B23" s="589" t="s">
        <v>2515</v>
      </c>
      <c r="C23" s="2698">
        <f ca="1">ROUND(IF('数据-取费表'!B22&lt;=1,C5*F22*'数据-取费表'!B23,C5*(POWER((1+F22),'数据-取费表'!B23)-1)),0)</f>
        <v>96</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6</v>
      </c>
      <c r="D24" s="612"/>
      <c r="E24" s="612"/>
      <c r="F24" s="613"/>
      <c r="G24" s="614" t="s">
        <v>844</v>
      </c>
    </row>
    <row r="25" spans="1:7" s="588" customFormat="1" ht="24">
      <c r="A25" s="1804" t="s">
        <v>1923</v>
      </c>
      <c r="B25" s="589" t="s">
        <v>2512</v>
      </c>
      <c r="C25" s="2698">
        <f ca="1">ROUND(IF('数据-取费表'!B22&lt;=1,C20*F22*'数据-取费表'!B23/2,C20*(POWER((1+F22),'数据-取费表'!B23/2)-1)),0)</f>
        <v>1</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C28</f>
        <v>166</v>
      </c>
      <c r="D27" s="609">
        <f>C29</f>
        <v>2.0000000000000001E-4</v>
      </c>
      <c r="E27" s="610" t="s">
        <v>861</v>
      </c>
      <c r="F27" s="620">
        <f>'数据-取费表'!Q16</f>
        <v>0.15</v>
      </c>
      <c r="G27" s="621" t="s">
        <v>2523</v>
      </c>
    </row>
    <row r="28" spans="1:7" s="588" customFormat="1" ht="13.5" customHeight="1">
      <c r="A28" s="1804" t="s">
        <v>1924</v>
      </c>
      <c r="B28" s="622" t="s">
        <v>2516</v>
      </c>
      <c r="C28" s="623">
        <f>ROUND((C5+C19+C20)*F27*'数据-取费表'!B21/'数据-取费表'!B20,0)</f>
        <v>166</v>
      </c>
      <c r="D28" s="609"/>
      <c r="E28" s="610"/>
      <c r="F28" s="620"/>
      <c r="G28" s="621"/>
    </row>
    <row r="29" spans="1:7" s="588" customFormat="1" ht="13.5" customHeight="1">
      <c r="A29" s="1804" t="s">
        <v>1922</v>
      </c>
      <c r="B29" s="622" t="s">
        <v>2517</v>
      </c>
      <c r="C29" s="612">
        <f>ROUND(C21*F27*'数据-取费表'!B21/'数据-取费表'!B20,4)</f>
        <v>2.0000000000000001E-4</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24238</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SUM(C34:C38)</f>
        <v>245</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210</v>
      </c>
      <c r="D34" s="591"/>
      <c r="E34" s="594"/>
      <c r="F34" s="631">
        <f>IF('数据-取费表'!B24=0,1,'数据-取费表'!N16)</f>
        <v>1.2999999999999999E-2</v>
      </c>
      <c r="G34" s="593" t="s">
        <v>851</v>
      </c>
    </row>
    <row r="35" spans="1:7" ht="13.5" customHeight="1">
      <c r="A35" s="1804" t="s">
        <v>1926</v>
      </c>
      <c r="B35" s="589" t="s">
        <v>348</v>
      </c>
      <c r="C35" s="594">
        <f>ROUND(C34*F35,0)</f>
        <v>6</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10</v>
      </c>
      <c r="D36" s="594"/>
      <c r="E36" s="594"/>
      <c r="F36" s="633">
        <f>'数据-取费表'!B34</f>
        <v>0.05</v>
      </c>
      <c r="G36" s="634" t="s">
        <v>350</v>
      </c>
    </row>
    <row r="37" spans="1:7" s="632" customFormat="1" ht="13.5" customHeight="1">
      <c r="A37" s="1804" t="s">
        <v>1928</v>
      </c>
      <c r="B37" s="589" t="s">
        <v>853</v>
      </c>
      <c r="C37" s="623">
        <f>ROUND(E37*D37*F34/10000,0)</f>
        <v>16</v>
      </c>
      <c r="D37" s="591">
        <f>'数据-汇总表'!E3</f>
        <v>62458.42</v>
      </c>
      <c r="E37" s="623">
        <f>'数据-取费表'!B35</f>
        <v>200</v>
      </c>
      <c r="F37" s="633"/>
      <c r="G37" s="635" t="s">
        <v>854</v>
      </c>
    </row>
    <row r="38" spans="1:7" ht="13.5" customHeight="1">
      <c r="A38" s="1804" t="s">
        <v>1929</v>
      </c>
      <c r="B38" s="589" t="s">
        <v>351</v>
      </c>
      <c r="C38" s="594">
        <f>ROUND(C34*F38,0)</f>
        <v>3</v>
      </c>
      <c r="D38" s="594"/>
      <c r="E38" s="594"/>
      <c r="F38" s="633">
        <f>'数据-取费表'!B36</f>
        <v>1.4999999999999999E-2</v>
      </c>
      <c r="G38" s="593" t="s">
        <v>852</v>
      </c>
    </row>
    <row r="39" spans="1:7" s="588" customFormat="1" ht="13.5" customHeight="1">
      <c r="A39" s="1801" t="s">
        <v>1913</v>
      </c>
      <c r="B39" s="584" t="s">
        <v>839</v>
      </c>
      <c r="C39" s="606">
        <f>ROUND(C33*F20,0)</f>
        <v>4</v>
      </c>
      <c r="D39" s="606"/>
      <c r="E39" s="606"/>
      <c r="F39" s="607"/>
      <c r="G39" s="2618" t="s">
        <v>2525</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1</v>
      </c>
      <c r="D41" s="609">
        <f ca="1">C44</f>
        <v>0</v>
      </c>
      <c r="E41" s="610" t="s">
        <v>864</v>
      </c>
      <c r="F41" s="611"/>
      <c r="G41" s="2618" t="str">
        <f>IF('数据-取费表'!B22&lt;=1,"单利计息","复利计息")</f>
        <v>复利计息</v>
      </c>
    </row>
    <row r="42" spans="1:7" ht="13.5" customHeight="1">
      <c r="A42" s="1804" t="s">
        <v>1924</v>
      </c>
      <c r="B42" s="589" t="s">
        <v>2515</v>
      </c>
      <c r="C42" s="612">
        <f ca="1">ROUND(IF('数据-取费表'!B22&lt;=1,C33*F22*'数据-取费表'!B21/2,C33*(POWER((1+F22),'数据-取费表'!B21/2)-1)),0)</f>
        <v>1</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C46</f>
        <v>37</v>
      </c>
      <c r="D45" s="609">
        <f>C47</f>
        <v>3.0000000000000001E-3</v>
      </c>
      <c r="E45" s="610" t="s">
        <v>864</v>
      </c>
      <c r="F45" s="620"/>
      <c r="G45" s="621" t="s">
        <v>2526</v>
      </c>
    </row>
    <row r="46" spans="1:7" s="588" customFormat="1" ht="13.5" customHeight="1">
      <c r="A46" s="1804" t="s">
        <v>1924</v>
      </c>
      <c r="B46" s="622" t="s">
        <v>2519</v>
      </c>
      <c r="C46" s="623">
        <f>ROUND((C33+C39)*F27,0)</f>
        <v>37</v>
      </c>
      <c r="D46" s="637"/>
      <c r="E46" s="610"/>
      <c r="F46" s="620"/>
      <c r="G46" s="621"/>
    </row>
    <row r="47" spans="1:7" s="588" customFormat="1" ht="13.5" customHeight="1">
      <c r="A47" s="1804" t="s">
        <v>1922</v>
      </c>
      <c r="B47" s="622" t="s">
        <v>2521</v>
      </c>
      <c r="C47" s="612">
        <f>ROUND(C40*F27,4)</f>
        <v>3.0000000000000001E-3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311</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311</v>
      </c>
      <c r="D51" s="606"/>
      <c r="E51" s="606"/>
      <c r="F51" s="638"/>
      <c r="G51" s="608" t="s">
        <v>352</v>
      </c>
    </row>
    <row r="52" spans="1:7" s="582" customFormat="1" ht="16.5" thickBot="1">
      <c r="A52" s="639" t="s">
        <v>353</v>
      </c>
      <c r="B52" s="640"/>
      <c r="C52" s="641">
        <f ca="1">C31+C51</f>
        <v>24549</v>
      </c>
      <c r="D52" s="640"/>
      <c r="E52" s="640"/>
      <c r="F52" s="640"/>
      <c r="G52" s="642"/>
    </row>
    <row r="55" spans="1:7" ht="15">
      <c r="B55" s="644" t="s">
        <v>354</v>
      </c>
      <c r="C55" s="645"/>
    </row>
    <row r="56" spans="1:7">
      <c r="B56" s="647" t="s">
        <v>355</v>
      </c>
      <c r="C56" s="648">
        <f ca="1">ROUND(C51/C52,3)</f>
        <v>1.2999999999999999E-2</v>
      </c>
    </row>
    <row r="57" spans="1:7">
      <c r="B57" s="647" t="s">
        <v>356</v>
      </c>
      <c r="C57" s="649">
        <f ca="1">1-C56</f>
        <v>0.98699999999999999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63" t="s">
        <v>1170</v>
      </c>
      <c r="B1" s="3763"/>
      <c r="C1" s="3763"/>
      <c r="D1" s="3763"/>
      <c r="E1" s="3763"/>
      <c r="F1" s="3763"/>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764" t="s">
        <v>1183</v>
      </c>
      <c r="B2" s="3764"/>
      <c r="C2" s="3764"/>
      <c r="D2" s="3764"/>
      <c r="E2" s="3764"/>
      <c r="F2" s="3764"/>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765"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766"/>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2500</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203</v>
      </c>
      <c r="B110" s="1530" t="s">
        <v>1539</v>
      </c>
      <c r="C110" s="1530">
        <v>10520</v>
      </c>
      <c r="D110" s="1530">
        <v>10490</v>
      </c>
      <c r="E110" s="1530">
        <v>10760</v>
      </c>
      <c r="F110" s="1531">
        <v>2160</v>
      </c>
    </row>
    <row r="111" spans="1:6" s="1517" customFormat="1" ht="14.25" customHeight="1" thickBot="1">
      <c r="A111" s="1529" t="s">
        <v>203</v>
      </c>
      <c r="B111" s="1523" t="s">
        <v>1206</v>
      </c>
      <c r="C111" s="1523">
        <v>10090</v>
      </c>
      <c r="D111" s="1523">
        <v>10060</v>
      </c>
      <c r="E111" s="1523">
        <v>10300</v>
      </c>
      <c r="F111" s="1537">
        <v>2010</v>
      </c>
    </row>
    <row r="112" spans="1:6" s="1517" customFormat="1" ht="14.25" customHeight="1" thickBot="1">
      <c r="A112" s="1529" t="s">
        <v>203</v>
      </c>
      <c r="B112" s="1523" t="s">
        <v>1219</v>
      </c>
      <c r="C112" s="1523">
        <v>9910</v>
      </c>
      <c r="D112" s="1523">
        <v>9850</v>
      </c>
      <c r="E112" s="1523">
        <v>9960</v>
      </c>
      <c r="F112" s="1537">
        <v>2090</v>
      </c>
    </row>
    <row r="113" spans="1:6" s="1517" customFormat="1" ht="14.25" customHeight="1" thickBot="1">
      <c r="A113" s="1529" t="s">
        <v>203</v>
      </c>
      <c r="B113" s="1523" t="s">
        <v>1232</v>
      </c>
      <c r="C113" s="1523">
        <v>11430</v>
      </c>
      <c r="D113" s="1523">
        <v>11400</v>
      </c>
      <c r="E113" s="1523">
        <v>11710</v>
      </c>
      <c r="F113" s="1537">
        <v>2050</v>
      </c>
    </row>
    <row r="114" spans="1:6" s="1517" customFormat="1" ht="14.25" customHeight="1" thickBot="1">
      <c r="A114" s="1529" t="s">
        <v>203</v>
      </c>
      <c r="B114" s="1523" t="s">
        <v>1244</v>
      </c>
      <c r="C114" s="1523">
        <v>11390</v>
      </c>
      <c r="D114" s="1523">
        <v>11350</v>
      </c>
      <c r="E114" s="1523">
        <v>11640</v>
      </c>
      <c r="F114" s="1537">
        <v>1620</v>
      </c>
    </row>
    <row r="115" spans="1:6" s="1517" customFormat="1" ht="14.25" customHeight="1" thickBot="1">
      <c r="A115" s="1529" t="s">
        <v>203</v>
      </c>
      <c r="B115" s="1523" t="s">
        <v>1255</v>
      </c>
      <c r="C115" s="1523">
        <v>9930</v>
      </c>
      <c r="D115" s="1523">
        <v>9900</v>
      </c>
      <c r="E115" s="1523">
        <v>10160</v>
      </c>
      <c r="F115" s="1537">
        <v>1580</v>
      </c>
    </row>
    <row r="116" spans="1:6" s="1517" customFormat="1" ht="14.25" customHeight="1" thickBot="1">
      <c r="A116" s="1529" t="s">
        <v>203</v>
      </c>
      <c r="B116" s="1523" t="s">
        <v>1266</v>
      </c>
      <c r="C116" s="1523">
        <v>9150</v>
      </c>
      <c r="D116" s="1523">
        <v>9120</v>
      </c>
      <c r="E116" s="1523">
        <v>9380</v>
      </c>
      <c r="F116" s="1537">
        <v>1750</v>
      </c>
    </row>
    <row r="117" spans="1:6" s="1517" customFormat="1" ht="14.25" customHeight="1" thickBot="1">
      <c r="A117" s="1529" t="s">
        <v>203</v>
      </c>
      <c r="B117" s="1523" t="s">
        <v>1277</v>
      </c>
      <c r="C117" s="1523">
        <v>10680</v>
      </c>
      <c r="D117" s="1523">
        <v>10650</v>
      </c>
      <c r="E117" s="1523">
        <v>10970</v>
      </c>
      <c r="F117" s="1537">
        <v>1730</v>
      </c>
    </row>
    <row r="118" spans="1:6" s="1517" customFormat="1" ht="14.25" customHeight="1" thickBot="1">
      <c r="A118" s="1529" t="s">
        <v>203</v>
      </c>
      <c r="B118" s="1523" t="s">
        <v>1289</v>
      </c>
      <c r="C118" s="1523">
        <v>10080</v>
      </c>
      <c r="D118" s="1523">
        <v>10050</v>
      </c>
      <c r="E118" s="1523">
        <v>10350</v>
      </c>
      <c r="F118" s="1537">
        <v>1920</v>
      </c>
    </row>
    <row r="119" spans="1:6" s="1517" customFormat="1" ht="14.25" customHeight="1" thickBot="1">
      <c r="A119" s="1529" t="s">
        <v>203</v>
      </c>
      <c r="B119" s="1523" t="s">
        <v>1299</v>
      </c>
      <c r="C119" s="1523">
        <v>9450</v>
      </c>
      <c r="D119" s="1523">
        <v>9410</v>
      </c>
      <c r="E119" s="1523">
        <v>9680</v>
      </c>
      <c r="F119" s="1537">
        <v>1880</v>
      </c>
    </row>
    <row r="120" spans="1:6" s="1517" customFormat="1" ht="14.25" customHeight="1" thickBot="1">
      <c r="A120" s="1529" t="s">
        <v>203</v>
      </c>
      <c r="B120" s="1523" t="s">
        <v>1309</v>
      </c>
      <c r="C120" s="1523">
        <v>8730</v>
      </c>
      <c r="D120" s="1523">
        <v>8700</v>
      </c>
      <c r="E120" s="1523">
        <v>8950</v>
      </c>
      <c r="F120" s="1537">
        <v>1830</v>
      </c>
    </row>
    <row r="121" spans="1:6" s="1517" customFormat="1" ht="14.25" customHeight="1" thickBot="1">
      <c r="A121" s="1529" t="s">
        <v>203</v>
      </c>
      <c r="B121" s="1523" t="s">
        <v>1319</v>
      </c>
      <c r="C121" s="1523">
        <v>10070</v>
      </c>
      <c r="D121" s="1523">
        <v>10040</v>
      </c>
      <c r="E121" s="1523">
        <v>10270</v>
      </c>
      <c r="F121" s="1537">
        <v>1960</v>
      </c>
    </row>
    <row r="122" spans="1:6" s="1517" customFormat="1" ht="14.25" customHeight="1" thickBot="1">
      <c r="A122" s="1529" t="s">
        <v>203</v>
      </c>
      <c r="B122" s="1523" t="s">
        <v>1329</v>
      </c>
      <c r="C122" s="1523">
        <v>10500</v>
      </c>
      <c r="D122" s="1523">
        <v>10470</v>
      </c>
      <c r="E122" s="1523">
        <v>10780</v>
      </c>
      <c r="F122" s="1537">
        <v>2180</v>
      </c>
    </row>
    <row r="123" spans="1:6" s="1517" customFormat="1" ht="14.25" customHeight="1" thickBot="1">
      <c r="A123" s="1529" t="s">
        <v>203</v>
      </c>
      <c r="B123" s="1523" t="s">
        <v>1340</v>
      </c>
      <c r="C123" s="1523">
        <v>10390</v>
      </c>
      <c r="D123" s="1523">
        <v>10360</v>
      </c>
      <c r="E123" s="1523">
        <v>10660</v>
      </c>
      <c r="F123" s="1537">
        <v>2040</v>
      </c>
    </row>
    <row r="124" spans="1:6" s="1517" customFormat="1" ht="14.25" customHeight="1" thickBot="1">
      <c r="A124" s="1529" t="s">
        <v>203</v>
      </c>
      <c r="B124" s="1523" t="s">
        <v>1351</v>
      </c>
      <c r="C124" s="1523">
        <v>10390</v>
      </c>
      <c r="D124" s="1523">
        <v>10360</v>
      </c>
      <c r="E124" s="1523">
        <v>10680</v>
      </c>
      <c r="F124" s="1541"/>
    </row>
    <row r="125" spans="1:6" s="1517" customFormat="1" ht="14.25" customHeight="1" thickBot="1">
      <c r="A125" s="1529" t="s">
        <v>203</v>
      </c>
      <c r="B125" s="1523" t="s">
        <v>1361</v>
      </c>
      <c r="C125" s="1523">
        <v>10440</v>
      </c>
      <c r="D125" s="1523">
        <v>10410</v>
      </c>
      <c r="E125" s="1523">
        <v>10710</v>
      </c>
      <c r="F125" s="1541"/>
    </row>
    <row r="126" spans="1:6" s="1517" customFormat="1" ht="14.25" customHeight="1" thickBot="1">
      <c r="A126" s="1529" t="s">
        <v>203</v>
      </c>
      <c r="B126" s="1523" t="s">
        <v>1371</v>
      </c>
      <c r="C126" s="1523">
        <v>10780</v>
      </c>
      <c r="D126" s="1523">
        <v>10750</v>
      </c>
      <c r="E126" s="1523">
        <v>11080</v>
      </c>
      <c r="F126" s="1541"/>
    </row>
    <row r="127" spans="1:6" s="1517" customFormat="1" ht="14.25" customHeight="1" thickBot="1">
      <c r="A127" s="1529" t="s">
        <v>203</v>
      </c>
      <c r="B127" s="1523" t="s">
        <v>1381</v>
      </c>
      <c r="C127" s="1523">
        <v>10100</v>
      </c>
      <c r="D127" s="1523">
        <v>10070</v>
      </c>
      <c r="E127" s="1523">
        <v>10350</v>
      </c>
      <c r="F127" s="1541"/>
    </row>
    <row r="128" spans="1:6" s="1517" customFormat="1" ht="14.25" customHeight="1" thickBot="1">
      <c r="A128" s="1529" t="s">
        <v>203</v>
      </c>
      <c r="B128" s="1523" t="s">
        <v>1391</v>
      </c>
      <c r="C128" s="1523">
        <v>9200</v>
      </c>
      <c r="D128" s="1523">
        <v>9160</v>
      </c>
      <c r="E128" s="1523">
        <v>9660</v>
      </c>
      <c r="F128" s="1541"/>
    </row>
    <row r="129" spans="1:6" s="1517" customFormat="1" ht="14.25" customHeight="1" thickBot="1">
      <c r="A129" s="1529" t="s">
        <v>203</v>
      </c>
      <c r="B129" s="1523" t="s">
        <v>1400</v>
      </c>
      <c r="C129" s="1523">
        <v>10340</v>
      </c>
      <c r="D129" s="1523">
        <v>10310</v>
      </c>
      <c r="E129" s="1523">
        <v>10580</v>
      </c>
      <c r="F129" s="1541"/>
    </row>
    <row r="130" spans="1:6" s="1517" customFormat="1" ht="14.25" customHeight="1" thickBot="1">
      <c r="A130" s="1529" t="s">
        <v>203</v>
      </c>
      <c r="B130" s="1523" t="s">
        <v>1409</v>
      </c>
      <c r="C130" s="1523">
        <v>9680</v>
      </c>
      <c r="D130" s="1523">
        <v>9660</v>
      </c>
      <c r="E130" s="1523">
        <v>9950</v>
      </c>
      <c r="F130" s="1541"/>
    </row>
    <row r="131" spans="1:6" s="1517" customFormat="1" ht="14.25" customHeight="1" thickBot="1">
      <c r="A131" s="1529" t="s">
        <v>203</v>
      </c>
      <c r="B131" s="1523" t="s">
        <v>1417</v>
      </c>
      <c r="C131" s="1523">
        <v>9540</v>
      </c>
      <c r="D131" s="1523">
        <v>9510</v>
      </c>
      <c r="E131" s="1523">
        <v>9790</v>
      </c>
      <c r="F131" s="1541"/>
    </row>
    <row r="132" spans="1:6" s="1517" customFormat="1" ht="14.25" customHeight="1" thickBot="1">
      <c r="A132" s="1529" t="s">
        <v>203</v>
      </c>
      <c r="B132" s="1523" t="s">
        <v>1424</v>
      </c>
      <c r="C132" s="1523">
        <v>9320</v>
      </c>
      <c r="D132" s="1523">
        <v>9290</v>
      </c>
      <c r="E132" s="1523">
        <v>9570</v>
      </c>
      <c r="F132" s="1541"/>
    </row>
    <row r="133" spans="1:6" s="1517" customFormat="1" ht="14.25" customHeight="1" thickBot="1">
      <c r="A133" s="1529" t="s">
        <v>203</v>
      </c>
      <c r="B133" s="1523" t="s">
        <v>1431</v>
      </c>
      <c r="C133" s="1523">
        <v>10310</v>
      </c>
      <c r="D133" s="1523">
        <v>10280</v>
      </c>
      <c r="E133" s="1523">
        <v>10530</v>
      </c>
      <c r="F133" s="1541"/>
    </row>
    <row r="134" spans="1:6" s="1517" customFormat="1" ht="14.25" customHeight="1" thickBot="1">
      <c r="A134" s="1529" t="s">
        <v>203</v>
      </c>
      <c r="B134" s="1523" t="s">
        <v>1438</v>
      </c>
      <c r="C134" s="1523">
        <v>10370</v>
      </c>
      <c r="D134" s="1523">
        <v>10310</v>
      </c>
      <c r="E134" s="1523">
        <v>10240</v>
      </c>
      <c r="F134" s="1537">
        <v>2060</v>
      </c>
    </row>
    <row r="135" spans="1:6" s="1517" customFormat="1" ht="14.25" customHeight="1" thickBot="1">
      <c r="A135" s="1529" t="s">
        <v>203</v>
      </c>
      <c r="B135" s="1523" t="s">
        <v>1445</v>
      </c>
      <c r="C135" s="1523">
        <v>9300</v>
      </c>
      <c r="D135" s="1523">
        <v>9270</v>
      </c>
      <c r="E135" s="1523">
        <v>9350</v>
      </c>
      <c r="F135" s="1541"/>
    </row>
    <row r="136" spans="1:6" s="1517" customFormat="1" ht="14.25" customHeight="1" thickBot="1">
      <c r="A136" s="1529" t="s">
        <v>203</v>
      </c>
      <c r="B136" s="1523" t="s">
        <v>1452</v>
      </c>
      <c r="C136" s="1523">
        <v>10160</v>
      </c>
      <c r="D136" s="1523">
        <v>10110</v>
      </c>
      <c r="E136" s="1523">
        <v>10080</v>
      </c>
      <c r="F136" s="1541"/>
    </row>
    <row r="137" spans="1:6" s="1517" customFormat="1" ht="14.25" customHeight="1" thickBot="1">
      <c r="A137" s="1529" t="s">
        <v>203</v>
      </c>
      <c r="B137" s="1523" t="s">
        <v>1459</v>
      </c>
      <c r="C137" s="1523">
        <v>9200</v>
      </c>
      <c r="D137" s="1523">
        <v>9170</v>
      </c>
      <c r="E137" s="1523">
        <v>9450</v>
      </c>
      <c r="F137" s="1541"/>
    </row>
    <row r="138" spans="1:6" s="1517" customFormat="1" ht="14.25" customHeight="1" thickBot="1">
      <c r="A138" s="1529" t="s">
        <v>203</v>
      </c>
      <c r="B138" s="1523" t="s">
        <v>1464</v>
      </c>
      <c r="C138" s="1523">
        <v>9690</v>
      </c>
      <c r="D138" s="1523">
        <v>9660</v>
      </c>
      <c r="E138" s="1523">
        <v>9840</v>
      </c>
      <c r="F138" s="1541"/>
    </row>
    <row r="139" spans="1:6" s="1517" customFormat="1" ht="14.25" customHeight="1" thickBot="1">
      <c r="A139" s="1529" t="s">
        <v>203</v>
      </c>
      <c r="B139" s="1523" t="s">
        <v>1468</v>
      </c>
      <c r="C139" s="1523">
        <v>10290</v>
      </c>
      <c r="D139" s="1523">
        <v>10260</v>
      </c>
      <c r="E139" s="1523">
        <v>10550</v>
      </c>
      <c r="F139" s="1537">
        <v>1700</v>
      </c>
    </row>
    <row r="140" spans="1:6" s="1517" customFormat="1" ht="14.25" customHeight="1" thickBot="1">
      <c r="A140" s="1529" t="s">
        <v>203</v>
      </c>
      <c r="B140" s="1523" t="s">
        <v>1473</v>
      </c>
      <c r="C140" s="1523">
        <v>9740</v>
      </c>
      <c r="D140" s="1523">
        <v>9710</v>
      </c>
      <c r="E140" s="1523">
        <v>10000</v>
      </c>
      <c r="F140" s="1537">
        <v>2000</v>
      </c>
    </row>
    <row r="141" spans="1:6" s="1517" customFormat="1" ht="14.25" customHeight="1" thickBot="1">
      <c r="A141" s="1529" t="s">
        <v>203</v>
      </c>
      <c r="B141" s="1523" t="s">
        <v>1478</v>
      </c>
      <c r="C141" s="1523">
        <v>9810</v>
      </c>
      <c r="D141" s="1523">
        <v>9770</v>
      </c>
      <c r="E141" s="1523">
        <v>10060</v>
      </c>
      <c r="F141" s="1541"/>
    </row>
    <row r="142" spans="1:6" s="1517" customFormat="1" ht="14.25" customHeight="1" thickBot="1">
      <c r="A142" s="1529" t="s">
        <v>203</v>
      </c>
      <c r="B142" s="1523" t="s">
        <v>1483</v>
      </c>
      <c r="C142" s="1523">
        <v>9300</v>
      </c>
      <c r="D142" s="1523">
        <v>9270</v>
      </c>
      <c r="E142" s="1523">
        <v>9530</v>
      </c>
      <c r="F142" s="1541"/>
    </row>
    <row r="143" spans="1:6" s="1517" customFormat="1" ht="14.25" customHeight="1" thickBot="1">
      <c r="A143" s="1529" t="s">
        <v>203</v>
      </c>
      <c r="B143" s="1523" t="s">
        <v>1488</v>
      </c>
      <c r="C143" s="1523">
        <v>10080</v>
      </c>
      <c r="D143" s="1523">
        <v>10050</v>
      </c>
      <c r="E143" s="1523">
        <v>10340</v>
      </c>
      <c r="F143" s="1541"/>
    </row>
    <row r="144" spans="1:6" s="1517" customFormat="1" ht="14.25" customHeight="1" thickBot="1">
      <c r="A144" s="1529" t="s">
        <v>203</v>
      </c>
      <c r="B144" s="1523" t="s">
        <v>1492</v>
      </c>
      <c r="C144" s="1523">
        <v>9820</v>
      </c>
      <c r="D144" s="1523">
        <v>9750</v>
      </c>
      <c r="E144" s="1523">
        <v>9900</v>
      </c>
      <c r="F144" s="1541"/>
    </row>
    <row r="145" spans="1:6" s="1517" customFormat="1" ht="14.25" customHeight="1" thickBot="1">
      <c r="A145" s="1529" t="s">
        <v>203</v>
      </c>
      <c r="B145" s="1523" t="s">
        <v>1496</v>
      </c>
      <c r="C145" s="1523"/>
      <c r="D145" s="1523"/>
      <c r="E145" s="1523"/>
      <c r="F145" s="1537">
        <v>1740</v>
      </c>
    </row>
    <row r="146" spans="1:6" s="1517" customFormat="1" ht="14.25" customHeight="1" thickBot="1">
      <c r="A146" s="1529" t="s">
        <v>203</v>
      </c>
      <c r="B146" s="1523" t="s">
        <v>1500</v>
      </c>
      <c r="C146" s="1523"/>
      <c r="D146" s="1523"/>
      <c r="E146" s="1523"/>
      <c r="F146" s="1537">
        <v>1740</v>
      </c>
    </row>
    <row r="147" spans="1:6" s="1517" customFormat="1" ht="14.25" customHeight="1" thickBot="1">
      <c r="A147" s="1529" t="s">
        <v>203</v>
      </c>
      <c r="B147" s="1523" t="s">
        <v>1504</v>
      </c>
      <c r="C147" s="1523"/>
      <c r="D147" s="1523"/>
      <c r="E147" s="1523"/>
      <c r="F147" s="1537">
        <v>1740</v>
      </c>
    </row>
    <row r="148" spans="1:6" s="1517" customFormat="1" ht="14.25" customHeight="1" thickBot="1">
      <c r="A148" s="1529" t="s">
        <v>203</v>
      </c>
      <c r="B148" s="1523" t="s">
        <v>1508</v>
      </c>
      <c r="C148" s="1523"/>
      <c r="D148" s="1523"/>
      <c r="E148" s="1523"/>
      <c r="F148" s="1537">
        <v>1740</v>
      </c>
    </row>
    <row r="149" spans="1:6" s="1517" customFormat="1" ht="14.25" customHeight="1" thickBot="1">
      <c r="A149" s="1529" t="s">
        <v>203</v>
      </c>
      <c r="B149" s="1523" t="s">
        <v>1512</v>
      </c>
      <c r="C149" s="1523"/>
      <c r="D149" s="1523"/>
      <c r="E149" s="1523"/>
      <c r="F149" s="1537">
        <v>1740</v>
      </c>
    </row>
    <row r="150" spans="1:6" s="1517" customFormat="1" ht="14.25" customHeight="1" thickBot="1">
      <c r="A150" s="1529" t="s">
        <v>203</v>
      </c>
      <c r="B150" s="1523" t="s">
        <v>1515</v>
      </c>
      <c r="C150" s="1523"/>
      <c r="D150" s="1523"/>
      <c r="E150" s="1523"/>
      <c r="F150" s="1537">
        <v>1610</v>
      </c>
    </row>
    <row r="151" spans="1:6" s="1517" customFormat="1" ht="14.25" customHeight="1" thickBot="1">
      <c r="A151" s="1529" t="s">
        <v>203</v>
      </c>
      <c r="B151" s="1523" t="s">
        <v>1518</v>
      </c>
      <c r="C151" s="1523"/>
      <c r="D151" s="1523"/>
      <c r="E151" s="1523"/>
      <c r="F151" s="1537">
        <v>1610</v>
      </c>
    </row>
    <row r="152" spans="1:6" s="1517" customFormat="1" ht="14.25" customHeight="1" thickBot="1">
      <c r="A152" s="1529" t="s">
        <v>203</v>
      </c>
      <c r="B152" s="1523" t="s">
        <v>1521</v>
      </c>
      <c r="C152" s="1523"/>
      <c r="D152" s="1523"/>
      <c r="E152" s="1523"/>
      <c r="F152" s="1537">
        <v>1610</v>
      </c>
    </row>
    <row r="153" spans="1:6" s="1517" customFormat="1" ht="14.25" customHeight="1" thickBot="1">
      <c r="A153" s="1529" t="s">
        <v>203</v>
      </c>
      <c r="B153" s="1523" t="s">
        <v>1524</v>
      </c>
      <c r="C153" s="1523"/>
      <c r="D153" s="1523"/>
      <c r="E153" s="1523"/>
      <c r="F153" s="1537">
        <v>1610</v>
      </c>
    </row>
    <row r="154" spans="1:6" s="1517" customFormat="1" ht="14.25" customHeight="1" thickBot="1">
      <c r="A154" s="1529" t="s">
        <v>203</v>
      </c>
      <c r="B154" s="1523" t="s">
        <v>1527</v>
      </c>
      <c r="C154" s="1523"/>
      <c r="D154" s="1523"/>
      <c r="E154" s="1523"/>
      <c r="F154" s="1537">
        <v>1610</v>
      </c>
    </row>
    <row r="155" spans="1:6" s="1517" customFormat="1" ht="14.25" customHeight="1" thickBot="1">
      <c r="A155" s="1529" t="s">
        <v>203</v>
      </c>
      <c r="B155" s="1523" t="s">
        <v>1530</v>
      </c>
      <c r="C155" s="1523"/>
      <c r="D155" s="1523"/>
      <c r="E155" s="1523"/>
      <c r="F155" s="1537">
        <v>1800</v>
      </c>
    </row>
    <row r="156" spans="1:6" s="1517" customFormat="1" ht="14.25" customHeight="1" thickBot="1">
      <c r="A156" s="1529" t="s">
        <v>203</v>
      </c>
      <c r="B156" s="1523" t="s">
        <v>1532</v>
      </c>
      <c r="C156" s="1523"/>
      <c r="D156" s="1523"/>
      <c r="E156" s="1523"/>
      <c r="F156" s="1537">
        <v>1910</v>
      </c>
    </row>
    <row r="157" spans="1:6" s="1517" customFormat="1" ht="14.25" customHeight="1" thickBot="1">
      <c r="A157" s="1529" t="s">
        <v>203</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2500</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63" t="s">
        <v>2136</v>
      </c>
      <c r="B1" s="3763"/>
    </row>
    <row r="2" spans="1:6" ht="14.25" thickBot="1">
      <c r="A2" s="2111"/>
      <c r="B2" s="2111"/>
    </row>
    <row r="3" spans="1:6" ht="14.25" thickBot="1">
      <c r="A3" s="2111"/>
      <c r="B3" s="2111"/>
      <c r="C3" s="2115" t="s">
        <v>2139</v>
      </c>
      <c r="D3" s="2115" t="s">
        <v>2140</v>
      </c>
      <c r="E3" s="2115" t="s">
        <v>2141</v>
      </c>
      <c r="F3" s="2115" t="s">
        <v>2142</v>
      </c>
    </row>
    <row r="4" spans="1:6" ht="14.25" thickBot="1">
      <c r="A4" s="2113" t="s">
        <v>2137</v>
      </c>
      <c r="B4" s="2114" t="s">
        <v>2138</v>
      </c>
      <c r="C4" s="2115"/>
      <c r="D4" s="2115"/>
      <c r="E4" s="2115"/>
      <c r="F4" s="2115"/>
    </row>
    <row r="5" spans="1:6" ht="14.25" thickBot="1">
      <c r="A5" s="1529" t="s">
        <v>2143</v>
      </c>
      <c r="B5" s="1530" t="s">
        <v>2144</v>
      </c>
      <c r="C5" s="2116">
        <v>8.8999999999999996E-2</v>
      </c>
      <c r="D5" s="2116">
        <v>7.3999999999999996E-2</v>
      </c>
      <c r="E5" s="2116">
        <v>7.4999999999999997E-2</v>
      </c>
      <c r="F5" s="2117">
        <v>0.1</v>
      </c>
    </row>
    <row r="6" spans="1:6" ht="14.25" thickBot="1">
      <c r="A6" s="1529" t="s">
        <v>1226</v>
      </c>
      <c r="B6" s="1523" t="s">
        <v>2145</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2146</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2147</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2148</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2149</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2150</v>
      </c>
      <c r="C72" s="2131"/>
      <c r="D72" s="2131"/>
      <c r="E72" s="2131"/>
      <c r="F72" s="2119">
        <v>0.05</v>
      </c>
    </row>
    <row r="73" spans="1:6" ht="14.25" thickBot="1">
      <c r="A73" s="1529" t="s">
        <v>1137</v>
      </c>
      <c r="B73" s="1523" t="s">
        <v>2151</v>
      </c>
      <c r="C73" s="2131"/>
      <c r="D73" s="2131"/>
      <c r="E73" s="2131"/>
      <c r="F73" s="2119">
        <v>0.05</v>
      </c>
    </row>
    <row r="74" spans="1:6" ht="14.25" thickBot="1">
      <c r="A74" s="1529" t="s">
        <v>1137</v>
      </c>
      <c r="B74" s="1523" t="s">
        <v>2152</v>
      </c>
      <c r="C74" s="2131"/>
      <c r="D74" s="2131"/>
      <c r="E74" s="2131"/>
      <c r="F74" s="2119">
        <v>0.05</v>
      </c>
    </row>
    <row r="75" spans="1:6" ht="14.25" thickBot="1">
      <c r="A75" s="1539" t="s">
        <v>1137</v>
      </c>
      <c r="B75" s="1535" t="s">
        <v>2153</v>
      </c>
      <c r="C75" s="2128"/>
      <c r="D75" s="2128"/>
      <c r="E75" s="2128"/>
      <c r="F75" s="2121">
        <v>0.05</v>
      </c>
    </row>
    <row r="76" spans="1:6" ht="14.25" thickBot="1">
      <c r="A76" s="1529" t="s">
        <v>1537</v>
      </c>
      <c r="B76" s="1530" t="s">
        <v>2154</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2155</v>
      </c>
      <c r="C102" s="2131"/>
      <c r="D102" s="2131"/>
      <c r="E102" s="2131"/>
      <c r="F102" s="2119">
        <v>0.05</v>
      </c>
    </row>
    <row r="103" spans="1:6" ht="24.75" thickBot="1">
      <c r="A103" s="1529" t="s">
        <v>1537</v>
      </c>
      <c r="B103" s="1523" t="s">
        <v>2156</v>
      </c>
      <c r="C103" s="2131"/>
      <c r="D103" s="2131"/>
      <c r="E103" s="2131"/>
      <c r="F103" s="2119">
        <v>0.05</v>
      </c>
    </row>
    <row r="104" spans="1:6" ht="14.25" thickBot="1">
      <c r="A104" s="1529" t="s">
        <v>1537</v>
      </c>
      <c r="B104" s="1523" t="s">
        <v>2157</v>
      </c>
      <c r="C104" s="2131"/>
      <c r="D104" s="2131"/>
      <c r="E104" s="2131"/>
      <c r="F104" s="2119">
        <v>0.05</v>
      </c>
    </row>
    <row r="105" spans="1:6" ht="14.25" thickBot="1">
      <c r="A105" s="1529" t="s">
        <v>1537</v>
      </c>
      <c r="B105" s="1523" t="s">
        <v>2158</v>
      </c>
      <c r="C105" s="2131"/>
      <c r="D105" s="2131"/>
      <c r="E105" s="2131"/>
      <c r="F105" s="2119">
        <v>0.05</v>
      </c>
    </row>
    <row r="106" spans="1:6" ht="14.25" thickBot="1">
      <c r="A106" s="1529" t="s">
        <v>1537</v>
      </c>
      <c r="B106" s="1523" t="s">
        <v>2159</v>
      </c>
      <c r="C106" s="2131"/>
      <c r="D106" s="2131"/>
      <c r="E106" s="2131"/>
      <c r="F106" s="2119">
        <v>0.05</v>
      </c>
    </row>
    <row r="107" spans="1:6" ht="24.75" thickBot="1">
      <c r="A107" s="1529" t="s">
        <v>1537</v>
      </c>
      <c r="B107" s="1523" t="s">
        <v>2160</v>
      </c>
      <c r="C107" s="2131"/>
      <c r="D107" s="2131"/>
      <c r="E107" s="2131"/>
      <c r="F107" s="2119">
        <v>0.05</v>
      </c>
    </row>
    <row r="108" spans="1:6" ht="24.75" thickBot="1">
      <c r="A108" s="1529" t="s">
        <v>1537</v>
      </c>
      <c r="B108" s="1523" t="s">
        <v>2161</v>
      </c>
      <c r="C108" s="2131"/>
      <c r="D108" s="2131"/>
      <c r="E108" s="2131"/>
      <c r="F108" s="2119">
        <v>0.05</v>
      </c>
    </row>
    <row r="109" spans="1:6" ht="24.75" thickBot="1">
      <c r="A109" s="1539" t="s">
        <v>1537</v>
      </c>
      <c r="B109" s="1535" t="s">
        <v>2162</v>
      </c>
      <c r="C109" s="2128"/>
      <c r="D109" s="2128"/>
      <c r="E109" s="2128"/>
      <c r="F109" s="2121">
        <v>0.05</v>
      </c>
    </row>
    <row r="110" spans="1:6" ht="14.25" thickBot="1">
      <c r="A110" s="1529" t="s">
        <v>203</v>
      </c>
      <c r="B110" s="1530" t="s">
        <v>2163</v>
      </c>
      <c r="C110" s="2116">
        <v>0.129</v>
      </c>
      <c r="D110" s="2116">
        <v>0.129</v>
      </c>
      <c r="E110" s="2116">
        <v>0.126</v>
      </c>
      <c r="F110" s="2117">
        <v>0.13</v>
      </c>
    </row>
    <row r="111" spans="1:6" ht="14.25" thickBot="1">
      <c r="A111" s="1529" t="s">
        <v>203</v>
      </c>
      <c r="B111" s="1523" t="s">
        <v>1206</v>
      </c>
      <c r="C111" s="2118">
        <v>0.11</v>
      </c>
      <c r="D111" s="2118">
        <v>0.11</v>
      </c>
      <c r="E111" s="2118">
        <v>9.9000000000000005E-2</v>
      </c>
      <c r="F111" s="2119">
        <v>0.128</v>
      </c>
    </row>
    <row r="112" spans="1:6" ht="14.25" thickBot="1">
      <c r="A112" s="1529" t="s">
        <v>203</v>
      </c>
      <c r="B112" s="1523" t="s">
        <v>1219</v>
      </c>
      <c r="C112" s="2118">
        <v>0.125</v>
      </c>
      <c r="D112" s="2118">
        <v>0.125</v>
      </c>
      <c r="E112" s="2118">
        <v>0.12</v>
      </c>
      <c r="F112" s="2119">
        <v>0.125</v>
      </c>
    </row>
    <row r="113" spans="1:6" ht="14.25" thickBot="1">
      <c r="A113" s="1529" t="s">
        <v>203</v>
      </c>
      <c r="B113" s="1523" t="s">
        <v>1232</v>
      </c>
      <c r="C113" s="2118">
        <v>0.13</v>
      </c>
      <c r="D113" s="2118">
        <v>0.13</v>
      </c>
      <c r="E113" s="2118">
        <v>0.13</v>
      </c>
      <c r="F113" s="2119">
        <v>0.13</v>
      </c>
    </row>
    <row r="114" spans="1:6" ht="14.25" thickBot="1">
      <c r="A114" s="1529" t="s">
        <v>203</v>
      </c>
      <c r="B114" s="1523" t="s">
        <v>1244</v>
      </c>
      <c r="C114" s="2118">
        <v>0.123</v>
      </c>
      <c r="D114" s="2118">
        <v>0.123</v>
      </c>
      <c r="E114" s="2118">
        <v>0.12</v>
      </c>
      <c r="F114" s="2119">
        <v>0.13</v>
      </c>
    </row>
    <row r="115" spans="1:6" ht="14.25" thickBot="1">
      <c r="A115" s="1529" t="s">
        <v>203</v>
      </c>
      <c r="B115" s="1523" t="s">
        <v>1255</v>
      </c>
      <c r="C115" s="2118">
        <v>0.125</v>
      </c>
      <c r="D115" s="2118">
        <v>0.125</v>
      </c>
      <c r="E115" s="2118">
        <v>0.11700000000000001</v>
      </c>
      <c r="F115" s="2119">
        <v>0.13</v>
      </c>
    </row>
    <row r="116" spans="1:6" ht="14.25" thickBot="1">
      <c r="A116" s="1529" t="s">
        <v>203</v>
      </c>
      <c r="B116" s="1523" t="s">
        <v>1266</v>
      </c>
      <c r="C116" s="2118">
        <v>0.11700000000000001</v>
      </c>
      <c r="D116" s="2118">
        <v>0.11700000000000001</v>
      </c>
      <c r="E116" s="2118">
        <v>8.7999999999999995E-2</v>
      </c>
      <c r="F116" s="2119">
        <v>0.13</v>
      </c>
    </row>
    <row r="117" spans="1:6" ht="14.25" thickBot="1">
      <c r="A117" s="1529" t="s">
        <v>203</v>
      </c>
      <c r="B117" s="1523" t="s">
        <v>1277</v>
      </c>
      <c r="C117" s="2118">
        <v>0.13</v>
      </c>
      <c r="D117" s="2118">
        <v>0.13</v>
      </c>
      <c r="E117" s="2118">
        <v>0.129</v>
      </c>
      <c r="F117" s="2119">
        <v>0.13</v>
      </c>
    </row>
    <row r="118" spans="1:6" ht="14.25" thickBot="1">
      <c r="A118" s="1529" t="s">
        <v>203</v>
      </c>
      <c r="B118" s="1523" t="s">
        <v>1289</v>
      </c>
      <c r="C118" s="2118">
        <v>0.123</v>
      </c>
      <c r="D118" s="2118">
        <v>0.123</v>
      </c>
      <c r="E118" s="2118">
        <v>0.11600000000000001</v>
      </c>
      <c r="F118" s="2119">
        <v>0.13</v>
      </c>
    </row>
    <row r="119" spans="1:6" ht="14.25" thickBot="1">
      <c r="A119" s="1529" t="s">
        <v>203</v>
      </c>
      <c r="B119" s="1523" t="s">
        <v>1299</v>
      </c>
      <c r="C119" s="2118">
        <v>0.127</v>
      </c>
      <c r="D119" s="2118">
        <v>0.127</v>
      </c>
      <c r="E119" s="2118">
        <v>0.124</v>
      </c>
      <c r="F119" s="2119">
        <v>0.13</v>
      </c>
    </row>
    <row r="120" spans="1:6" ht="14.25" thickBot="1">
      <c r="A120" s="1529" t="s">
        <v>203</v>
      </c>
      <c r="B120" s="1523" t="s">
        <v>1309</v>
      </c>
      <c r="C120" s="2118">
        <v>0.125</v>
      </c>
      <c r="D120" s="2118">
        <v>0.125</v>
      </c>
      <c r="E120" s="2118">
        <v>0.122</v>
      </c>
      <c r="F120" s="2119">
        <v>0.13</v>
      </c>
    </row>
    <row r="121" spans="1:6" ht="14.25" thickBot="1">
      <c r="A121" s="1529" t="s">
        <v>203</v>
      </c>
      <c r="B121" s="1523" t="s">
        <v>1319</v>
      </c>
      <c r="C121" s="2118">
        <v>0.13</v>
      </c>
      <c r="D121" s="2118">
        <v>0.13</v>
      </c>
      <c r="E121" s="2118">
        <v>0.13</v>
      </c>
      <c r="F121" s="2119">
        <v>0.13</v>
      </c>
    </row>
    <row r="122" spans="1:6" ht="14.25" thickBot="1">
      <c r="A122" s="1529" t="s">
        <v>203</v>
      </c>
      <c r="B122" s="1523" t="s">
        <v>1329</v>
      </c>
      <c r="C122" s="2118">
        <v>0.13</v>
      </c>
      <c r="D122" s="2118">
        <v>0.13</v>
      </c>
      <c r="E122" s="2118">
        <v>0.125</v>
      </c>
      <c r="F122" s="2119">
        <v>0.13</v>
      </c>
    </row>
    <row r="123" spans="1:6" ht="14.25" thickBot="1">
      <c r="A123" s="1529" t="s">
        <v>203</v>
      </c>
      <c r="B123" s="1523" t="s">
        <v>1340</v>
      </c>
      <c r="C123" s="2118">
        <v>0.129</v>
      </c>
      <c r="D123" s="2118">
        <v>0.129</v>
      </c>
      <c r="E123" s="2118">
        <v>0.123</v>
      </c>
      <c r="F123" s="2119">
        <v>0.13</v>
      </c>
    </row>
    <row r="124" spans="1:6" ht="14.25" thickBot="1">
      <c r="A124" s="1529" t="s">
        <v>203</v>
      </c>
      <c r="B124" s="1523" t="s">
        <v>1351</v>
      </c>
      <c r="C124" s="2118">
        <v>0.10199999999999999</v>
      </c>
      <c r="D124" s="2118">
        <v>0.10100000000000001</v>
      </c>
      <c r="E124" s="2118">
        <v>0.08</v>
      </c>
      <c r="F124" s="2130"/>
    </row>
    <row r="125" spans="1:6" ht="14.25" thickBot="1">
      <c r="A125" s="1529" t="s">
        <v>203</v>
      </c>
      <c r="B125" s="1523" t="s">
        <v>1361</v>
      </c>
      <c r="C125" s="2118">
        <v>0.13</v>
      </c>
      <c r="D125" s="2118">
        <v>0.13</v>
      </c>
      <c r="E125" s="2118">
        <v>0.129</v>
      </c>
      <c r="F125" s="2130"/>
    </row>
    <row r="126" spans="1:6" ht="14.25" thickBot="1">
      <c r="A126" s="1529" t="s">
        <v>203</v>
      </c>
      <c r="B126" s="1523" t="s">
        <v>1371</v>
      </c>
      <c r="C126" s="2118">
        <v>0.13</v>
      </c>
      <c r="D126" s="2118">
        <v>0.13</v>
      </c>
      <c r="E126" s="2118">
        <v>0.126</v>
      </c>
      <c r="F126" s="2130"/>
    </row>
    <row r="127" spans="1:6" ht="14.25" thickBot="1">
      <c r="A127" s="1529" t="s">
        <v>203</v>
      </c>
      <c r="B127" s="1523" t="s">
        <v>1381</v>
      </c>
      <c r="C127" s="2118">
        <v>0.125</v>
      </c>
      <c r="D127" s="2118">
        <v>0.125</v>
      </c>
      <c r="E127" s="2118">
        <v>0.121</v>
      </c>
      <c r="F127" s="2130"/>
    </row>
    <row r="128" spans="1:6" ht="14.25" thickBot="1">
      <c r="A128" s="1529" t="s">
        <v>203</v>
      </c>
      <c r="B128" s="1523" t="s">
        <v>1391</v>
      </c>
      <c r="C128" s="2118">
        <v>0.12</v>
      </c>
      <c r="D128" s="2118">
        <v>0.12</v>
      </c>
      <c r="E128" s="2118">
        <v>0.105</v>
      </c>
      <c r="F128" s="2130"/>
    </row>
    <row r="129" spans="1:6" ht="14.25" thickBot="1">
      <c r="A129" s="1529" t="s">
        <v>203</v>
      </c>
      <c r="B129" s="1523" t="s">
        <v>1400</v>
      </c>
      <c r="C129" s="2118">
        <v>0.13</v>
      </c>
      <c r="D129" s="2118">
        <v>0.13</v>
      </c>
      <c r="E129" s="2118">
        <v>0.126</v>
      </c>
      <c r="F129" s="2130"/>
    </row>
    <row r="130" spans="1:6" ht="14.25" thickBot="1">
      <c r="A130" s="1529" t="s">
        <v>203</v>
      </c>
      <c r="B130" s="1523" t="s">
        <v>1409</v>
      </c>
      <c r="C130" s="2118">
        <v>0.125</v>
      </c>
      <c r="D130" s="2118">
        <v>0.125</v>
      </c>
      <c r="E130" s="2118">
        <v>0.122</v>
      </c>
      <c r="F130" s="2130"/>
    </row>
    <row r="131" spans="1:6" ht="14.25" thickBot="1">
      <c r="A131" s="1529" t="s">
        <v>203</v>
      </c>
      <c r="B131" s="1523" t="s">
        <v>1417</v>
      </c>
      <c r="C131" s="2118">
        <v>0.127</v>
      </c>
      <c r="D131" s="2118">
        <v>0.126</v>
      </c>
      <c r="E131" s="2118">
        <v>0.123</v>
      </c>
      <c r="F131" s="2130"/>
    </row>
    <row r="132" spans="1:6" ht="14.25" thickBot="1">
      <c r="A132" s="1529" t="s">
        <v>203</v>
      </c>
      <c r="B132" s="1523" t="s">
        <v>1424</v>
      </c>
      <c r="C132" s="2118">
        <v>9.0999999999999998E-2</v>
      </c>
      <c r="D132" s="2118">
        <v>0.121</v>
      </c>
      <c r="E132" s="2118">
        <v>9.9000000000000005E-2</v>
      </c>
      <c r="F132" s="2130"/>
    </row>
    <row r="133" spans="1:6" ht="14.25" thickBot="1">
      <c r="A133" s="1529" t="s">
        <v>203</v>
      </c>
      <c r="B133" s="1523" t="s">
        <v>1431</v>
      </c>
      <c r="C133" s="2118">
        <v>0.13</v>
      </c>
      <c r="D133" s="2118">
        <v>0.13</v>
      </c>
      <c r="E133" s="2118">
        <v>0.129</v>
      </c>
      <c r="F133" s="2130"/>
    </row>
    <row r="134" spans="1:6" ht="14.25" thickBot="1">
      <c r="A134" s="1529" t="s">
        <v>203</v>
      </c>
      <c r="B134" s="1523" t="s">
        <v>2164</v>
      </c>
      <c r="C134" s="2118">
        <v>6.8000000000000005E-2</v>
      </c>
      <c r="D134" s="2118">
        <v>6.5000000000000002E-2</v>
      </c>
      <c r="E134" s="2118">
        <v>6.5000000000000002E-2</v>
      </c>
      <c r="F134" s="2119">
        <v>0.13</v>
      </c>
    </row>
    <row r="135" spans="1:6" ht="14.25" thickBot="1">
      <c r="A135" s="1529" t="s">
        <v>203</v>
      </c>
      <c r="B135" s="1523" t="s">
        <v>1445</v>
      </c>
      <c r="C135" s="2118">
        <v>0.123</v>
      </c>
      <c r="D135" s="2118">
        <v>0.123</v>
      </c>
      <c r="E135" s="2118">
        <v>0.11</v>
      </c>
      <c r="F135" s="2130"/>
    </row>
    <row r="136" spans="1:6" ht="14.25" thickBot="1">
      <c r="A136" s="1529" t="s">
        <v>203</v>
      </c>
      <c r="B136" s="1523" t="s">
        <v>1452</v>
      </c>
      <c r="C136" s="2118">
        <v>0.13</v>
      </c>
      <c r="D136" s="2118">
        <v>0.13</v>
      </c>
      <c r="E136" s="2118">
        <v>0.125</v>
      </c>
      <c r="F136" s="2130"/>
    </row>
    <row r="137" spans="1:6" ht="14.25" thickBot="1">
      <c r="A137" s="1529" t="s">
        <v>203</v>
      </c>
      <c r="B137" s="1523" t="s">
        <v>1459</v>
      </c>
      <c r="C137" s="2118">
        <v>0.121</v>
      </c>
      <c r="D137" s="2118">
        <v>0.122</v>
      </c>
      <c r="E137" s="2118">
        <v>0.115</v>
      </c>
      <c r="F137" s="2130"/>
    </row>
    <row r="138" spans="1:6" ht="14.25" thickBot="1">
      <c r="A138" s="1529" t="s">
        <v>203</v>
      </c>
      <c r="B138" s="1523" t="s">
        <v>2165</v>
      </c>
      <c r="C138" s="2118">
        <v>0.105</v>
      </c>
      <c r="D138" s="2118">
        <v>0.125</v>
      </c>
      <c r="E138" s="2118">
        <v>0.112</v>
      </c>
      <c r="F138" s="2130"/>
    </row>
    <row r="139" spans="1:6" ht="14.25" thickBot="1">
      <c r="A139" s="1529" t="s">
        <v>203</v>
      </c>
      <c r="B139" s="1523" t="s">
        <v>2166</v>
      </c>
      <c r="C139" s="2118">
        <v>0.127</v>
      </c>
      <c r="D139" s="2118">
        <v>0.127</v>
      </c>
      <c r="E139" s="2118">
        <v>0.122</v>
      </c>
      <c r="F139" s="2119">
        <v>0.13</v>
      </c>
    </row>
    <row r="140" spans="1:6" ht="14.25" thickBot="1">
      <c r="A140" s="1529" t="s">
        <v>203</v>
      </c>
      <c r="B140" s="1523" t="s">
        <v>2167</v>
      </c>
      <c r="C140" s="2118">
        <v>0.125</v>
      </c>
      <c r="D140" s="2118">
        <v>0.125</v>
      </c>
      <c r="E140" s="2118">
        <v>0.11899999999999999</v>
      </c>
      <c r="F140" s="2119">
        <v>0.13</v>
      </c>
    </row>
    <row r="141" spans="1:6" ht="14.25" thickBot="1">
      <c r="A141" s="1529" t="s">
        <v>203</v>
      </c>
      <c r="B141" s="1523" t="s">
        <v>1478</v>
      </c>
      <c r="C141" s="2118">
        <v>0.125</v>
      </c>
      <c r="D141" s="2118">
        <v>0.125</v>
      </c>
      <c r="E141" s="2118">
        <v>0.11700000000000001</v>
      </c>
      <c r="F141" s="2130"/>
    </row>
    <row r="142" spans="1:6" ht="14.25" thickBot="1">
      <c r="A142" s="1529" t="s">
        <v>203</v>
      </c>
      <c r="B142" s="1523" t="s">
        <v>1483</v>
      </c>
      <c r="C142" s="2118">
        <v>0.125</v>
      </c>
      <c r="D142" s="2118">
        <v>0.125</v>
      </c>
      <c r="E142" s="2118">
        <v>0.115</v>
      </c>
      <c r="F142" s="2130"/>
    </row>
    <row r="143" spans="1:6" ht="14.25" thickBot="1">
      <c r="A143" s="1529" t="s">
        <v>203</v>
      </c>
      <c r="B143" s="1523" t="s">
        <v>1488</v>
      </c>
      <c r="C143" s="2118">
        <v>0.121</v>
      </c>
      <c r="D143" s="2118">
        <v>0.121</v>
      </c>
      <c r="E143" s="2118">
        <v>0.108</v>
      </c>
      <c r="F143" s="2130"/>
    </row>
    <row r="144" spans="1:6" ht="14.25" thickBot="1">
      <c r="A144" s="1529" t="s">
        <v>203</v>
      </c>
      <c r="B144" s="2122" t="s">
        <v>2168</v>
      </c>
      <c r="C144" s="2123">
        <v>0.126</v>
      </c>
      <c r="D144" s="2123">
        <v>0.126</v>
      </c>
      <c r="E144" s="2123">
        <v>0.121</v>
      </c>
      <c r="F144" s="2130"/>
    </row>
    <row r="145" spans="1:6" ht="14.25" thickBot="1">
      <c r="A145" s="1539" t="s">
        <v>203</v>
      </c>
      <c r="B145" s="2124" t="s">
        <v>2169</v>
      </c>
      <c r="C145" s="2132"/>
      <c r="D145" s="2132"/>
      <c r="E145" s="2132"/>
      <c r="F145" s="2125">
        <v>0.05</v>
      </c>
    </row>
    <row r="146" spans="1:6" ht="24.75" thickBot="1">
      <c r="A146" s="2126" t="s">
        <v>203</v>
      </c>
      <c r="B146" s="1533" t="s">
        <v>2170</v>
      </c>
      <c r="C146" s="2131"/>
      <c r="D146" s="2131"/>
      <c r="E146" s="2131"/>
      <c r="F146" s="2127">
        <v>0.05</v>
      </c>
    </row>
    <row r="147" spans="1:6" ht="24.75" thickBot="1">
      <c r="A147" s="1529" t="s">
        <v>203</v>
      </c>
      <c r="B147" s="1523" t="s">
        <v>2171</v>
      </c>
      <c r="C147" s="2131"/>
      <c r="D147" s="2131"/>
      <c r="E147" s="2131"/>
      <c r="F147" s="2119">
        <v>0.05</v>
      </c>
    </row>
    <row r="148" spans="1:6" ht="24.75" thickBot="1">
      <c r="A148" s="1529" t="s">
        <v>203</v>
      </c>
      <c r="B148" s="1523" t="s">
        <v>2172</v>
      </c>
      <c r="C148" s="2131"/>
      <c r="D148" s="2131"/>
      <c r="E148" s="2131"/>
      <c r="F148" s="2119">
        <v>0.05</v>
      </c>
    </row>
    <row r="149" spans="1:6" ht="24.75" thickBot="1">
      <c r="A149" s="1529" t="s">
        <v>203</v>
      </c>
      <c r="B149" s="1523" t="s">
        <v>2173</v>
      </c>
      <c r="C149" s="2131"/>
      <c r="D149" s="2131"/>
      <c r="E149" s="2131"/>
      <c r="F149" s="2119">
        <v>0.05</v>
      </c>
    </row>
    <row r="150" spans="1:6" ht="24.75" thickBot="1">
      <c r="A150" s="1529" t="s">
        <v>203</v>
      </c>
      <c r="B150" s="1523" t="s">
        <v>2174</v>
      </c>
      <c r="C150" s="2131"/>
      <c r="D150" s="2131"/>
      <c r="E150" s="2131"/>
      <c r="F150" s="2119">
        <v>0.05</v>
      </c>
    </row>
    <row r="151" spans="1:6" ht="24.75" thickBot="1">
      <c r="A151" s="1529" t="s">
        <v>203</v>
      </c>
      <c r="B151" s="1523" t="s">
        <v>2175</v>
      </c>
      <c r="C151" s="2131"/>
      <c r="D151" s="2131"/>
      <c r="E151" s="2131"/>
      <c r="F151" s="2119">
        <v>0.05</v>
      </c>
    </row>
    <row r="152" spans="1:6" ht="24.75" thickBot="1">
      <c r="A152" s="1529" t="s">
        <v>203</v>
      </c>
      <c r="B152" s="1523" t="s">
        <v>1521</v>
      </c>
      <c r="C152" s="2131"/>
      <c r="D152" s="2131"/>
      <c r="E152" s="2131"/>
      <c r="F152" s="2119">
        <v>0.05</v>
      </c>
    </row>
    <row r="153" spans="1:6" ht="14.25" thickBot="1">
      <c r="A153" s="1529" t="s">
        <v>203</v>
      </c>
      <c r="B153" s="1523" t="s">
        <v>2176</v>
      </c>
      <c r="C153" s="2131"/>
      <c r="D153" s="2131"/>
      <c r="E153" s="2131"/>
      <c r="F153" s="2119">
        <v>0.05</v>
      </c>
    </row>
    <row r="154" spans="1:6" ht="14.25" thickBot="1">
      <c r="A154" s="1529" t="s">
        <v>203</v>
      </c>
      <c r="B154" s="1523" t="s">
        <v>2177</v>
      </c>
      <c r="C154" s="2131"/>
      <c r="D154" s="2131"/>
      <c r="E154" s="2131"/>
      <c r="F154" s="2119">
        <v>0.05</v>
      </c>
    </row>
    <row r="155" spans="1:6" ht="24.75" thickBot="1">
      <c r="A155" s="1529" t="s">
        <v>203</v>
      </c>
      <c r="B155" s="1523" t="s">
        <v>2178</v>
      </c>
      <c r="C155" s="2131"/>
      <c r="D155" s="2131"/>
      <c r="E155" s="2131"/>
      <c r="F155" s="2119">
        <v>0.05</v>
      </c>
    </row>
    <row r="156" spans="1:6" ht="24.75" thickBot="1">
      <c r="A156" s="1529" t="s">
        <v>203</v>
      </c>
      <c r="B156" s="1523" t="s">
        <v>2179</v>
      </c>
      <c r="C156" s="2131"/>
      <c r="D156" s="2131"/>
      <c r="E156" s="2131"/>
      <c r="F156" s="2119">
        <v>0.05</v>
      </c>
    </row>
    <row r="157" spans="1:6" ht="14.25" thickBot="1">
      <c r="A157" s="1539" t="s">
        <v>203</v>
      </c>
      <c r="B157" s="1535" t="s">
        <v>2180</v>
      </c>
      <c r="C157" s="2128"/>
      <c r="D157" s="2128"/>
      <c r="E157" s="2128"/>
      <c r="F157" s="2121">
        <v>0.05</v>
      </c>
    </row>
    <row r="158" spans="1:6" ht="14.25" thickBot="1">
      <c r="A158" s="1529" t="s">
        <v>1540</v>
      </c>
      <c r="B158" s="1530" t="s">
        <v>2181</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2182</v>
      </c>
      <c r="C171" s="2118">
        <v>0.127</v>
      </c>
      <c r="D171" s="2118">
        <v>0.126</v>
      </c>
      <c r="E171" s="2118">
        <v>0.126</v>
      </c>
      <c r="F171" s="2119">
        <v>0.11799999999999999</v>
      </c>
    </row>
    <row r="172" spans="1:6" ht="14.25" thickBot="1">
      <c r="A172" s="1529" t="s">
        <v>1540</v>
      </c>
      <c r="B172" s="1523" t="s">
        <v>2183</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2184</v>
      </c>
      <c r="C174" s="2118">
        <v>0.13</v>
      </c>
      <c r="D174" s="2118">
        <v>0.13</v>
      </c>
      <c r="E174" s="2118">
        <v>0.13</v>
      </c>
      <c r="F174" s="2119">
        <v>0.13</v>
      </c>
    </row>
    <row r="175" spans="1:6" ht="14.25" thickBot="1">
      <c r="A175" s="1529" t="s">
        <v>1540</v>
      </c>
      <c r="B175" s="1523" t="s">
        <v>2185</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2186</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2187</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2188</v>
      </c>
      <c r="C185" s="2118">
        <v>0.127</v>
      </c>
      <c r="D185" s="2118">
        <v>0.127</v>
      </c>
      <c r="E185" s="2118">
        <v>0.128</v>
      </c>
      <c r="F185" s="2119">
        <v>0.13</v>
      </c>
    </row>
    <row r="186" spans="1:6" ht="24.75" thickBot="1">
      <c r="A186" s="1529" t="s">
        <v>1540</v>
      </c>
      <c r="B186" s="1523" t="s">
        <v>2189</v>
      </c>
      <c r="C186" s="2131"/>
      <c r="D186" s="2131"/>
      <c r="E186" s="2131"/>
      <c r="F186" s="2119">
        <v>0.05</v>
      </c>
    </row>
    <row r="187" spans="1:6" ht="14.25" thickBot="1">
      <c r="A187" s="1529" t="s">
        <v>1540</v>
      </c>
      <c r="B187" s="1523" t="s">
        <v>2190</v>
      </c>
      <c r="C187" s="2131"/>
      <c r="D187" s="2131"/>
      <c r="E187" s="2131"/>
      <c r="F187" s="2119">
        <v>0.05</v>
      </c>
    </row>
    <row r="188" spans="1:6" ht="14.25" thickBot="1">
      <c r="A188" s="1529" t="s">
        <v>1540</v>
      </c>
      <c r="B188" s="1523" t="s">
        <v>2191</v>
      </c>
      <c r="C188" s="2131"/>
      <c r="D188" s="2131"/>
      <c r="E188" s="2131"/>
      <c r="F188" s="2119">
        <v>0.05</v>
      </c>
    </row>
    <row r="189" spans="1:6" ht="24.75" thickBot="1">
      <c r="A189" s="1529" t="s">
        <v>1540</v>
      </c>
      <c r="B189" s="1523" t="s">
        <v>2192</v>
      </c>
      <c r="C189" s="2131"/>
      <c r="D189" s="2131"/>
      <c r="E189" s="2131"/>
      <c r="F189" s="2119">
        <v>0.05</v>
      </c>
    </row>
    <row r="190" spans="1:6" ht="24.75" thickBot="1">
      <c r="A190" s="1529" t="s">
        <v>1540</v>
      </c>
      <c r="B190" s="1523" t="s">
        <v>2193</v>
      </c>
      <c r="C190" s="2131"/>
      <c r="D190" s="2131"/>
      <c r="E190" s="2131"/>
      <c r="F190" s="2119">
        <v>0.05</v>
      </c>
    </row>
    <row r="191" spans="1:6" ht="24.75" thickBot="1">
      <c r="A191" s="1529" t="s">
        <v>1540</v>
      </c>
      <c r="B191" s="1523" t="s">
        <v>2194</v>
      </c>
      <c r="C191" s="2131"/>
      <c r="D191" s="2131"/>
      <c r="E191" s="2131"/>
      <c r="F191" s="2119">
        <v>0.05</v>
      </c>
    </row>
    <row r="192" spans="1:6" ht="24.75" thickBot="1">
      <c r="A192" s="1529" t="s">
        <v>1540</v>
      </c>
      <c r="B192" s="1523" t="s">
        <v>2195</v>
      </c>
      <c r="C192" s="2131"/>
      <c r="D192" s="2131"/>
      <c r="E192" s="2131"/>
      <c r="F192" s="2119">
        <v>0.05</v>
      </c>
    </row>
    <row r="193" spans="1:6" ht="24.75" thickBot="1">
      <c r="A193" s="1529" t="s">
        <v>1540</v>
      </c>
      <c r="B193" s="1523" t="s">
        <v>2196</v>
      </c>
      <c r="C193" s="2131"/>
      <c r="D193" s="2131"/>
      <c r="E193" s="2131"/>
      <c r="F193" s="2119">
        <v>0.05</v>
      </c>
    </row>
    <row r="194" spans="1:6" ht="24.75" thickBot="1">
      <c r="A194" s="1529" t="s">
        <v>1540</v>
      </c>
      <c r="B194" s="1523" t="s">
        <v>2197</v>
      </c>
      <c r="C194" s="2131"/>
      <c r="D194" s="2131"/>
      <c r="E194" s="2131"/>
      <c r="F194" s="2119">
        <v>0.05</v>
      </c>
    </row>
    <row r="195" spans="1:6" ht="14.25" thickBot="1">
      <c r="A195" s="1529" t="s">
        <v>1540</v>
      </c>
      <c r="B195" s="1523" t="s">
        <v>2198</v>
      </c>
      <c r="C195" s="2131"/>
      <c r="D195" s="2131"/>
      <c r="E195" s="2131"/>
      <c r="F195" s="2119">
        <v>0.05</v>
      </c>
    </row>
    <row r="196" spans="1:6" ht="24.75" thickBot="1">
      <c r="A196" s="1529" t="s">
        <v>1540</v>
      </c>
      <c r="B196" s="1523" t="s">
        <v>2199</v>
      </c>
      <c r="C196" s="2131"/>
      <c r="D196" s="2131"/>
      <c r="E196" s="2131"/>
      <c r="F196" s="2119">
        <v>0.05</v>
      </c>
    </row>
    <row r="197" spans="1:6" ht="24.75" thickBot="1">
      <c r="A197" s="1529" t="s">
        <v>1540</v>
      </c>
      <c r="B197" s="1523" t="s">
        <v>2200</v>
      </c>
      <c r="C197" s="2131"/>
      <c r="D197" s="2131"/>
      <c r="E197" s="2131"/>
      <c r="F197" s="2119">
        <v>0.05</v>
      </c>
    </row>
    <row r="198" spans="1:6" ht="24.75" thickBot="1">
      <c r="A198" s="1529" t="s">
        <v>1540</v>
      </c>
      <c r="B198" s="1523" t="s">
        <v>2201</v>
      </c>
      <c r="C198" s="2131"/>
      <c r="D198" s="2131"/>
      <c r="E198" s="2131"/>
      <c r="F198" s="2119">
        <v>0.05</v>
      </c>
    </row>
    <row r="199" spans="1:6" ht="24.75" thickBot="1">
      <c r="A199" s="1529" t="s">
        <v>1540</v>
      </c>
      <c r="B199" s="1523" t="s">
        <v>2202</v>
      </c>
      <c r="C199" s="2131"/>
      <c r="D199" s="2131"/>
      <c r="E199" s="2131"/>
      <c r="F199" s="2119">
        <v>0.05</v>
      </c>
    </row>
    <row r="200" spans="1:6" ht="24.75" thickBot="1">
      <c r="A200" s="1529" t="s">
        <v>1540</v>
      </c>
      <c r="B200" s="1523" t="s">
        <v>2203</v>
      </c>
      <c r="C200" s="2131"/>
      <c r="D200" s="2131"/>
      <c r="E200" s="2131"/>
      <c r="F200" s="2119">
        <v>0.05</v>
      </c>
    </row>
    <row r="201" spans="1:6" ht="24.75" thickBot="1">
      <c r="A201" s="1529" t="s">
        <v>1540</v>
      </c>
      <c r="B201" s="1523" t="s">
        <v>2204</v>
      </c>
      <c r="C201" s="2131"/>
      <c r="D201" s="2131"/>
      <c r="E201" s="2131"/>
      <c r="F201" s="2119">
        <v>0.05</v>
      </c>
    </row>
    <row r="202" spans="1:6" ht="24.75" thickBot="1">
      <c r="A202" s="1529" t="s">
        <v>1540</v>
      </c>
      <c r="B202" s="1523" t="s">
        <v>2205</v>
      </c>
      <c r="C202" s="2131"/>
      <c r="D202" s="2131"/>
      <c r="E202" s="2131"/>
      <c r="F202" s="2119">
        <v>0.05</v>
      </c>
    </row>
    <row r="203" spans="1:6" ht="24.75" thickBot="1">
      <c r="A203" s="1529" t="s">
        <v>1540</v>
      </c>
      <c r="B203" s="1523" t="s">
        <v>2206</v>
      </c>
      <c r="C203" s="2131"/>
      <c r="D203" s="2131"/>
      <c r="E203" s="2131"/>
      <c r="F203" s="2119">
        <v>0.05</v>
      </c>
    </row>
    <row r="204" spans="1:6" ht="14.25" thickBot="1">
      <c r="A204" s="1529" t="s">
        <v>1540</v>
      </c>
      <c r="B204" s="1523" t="s">
        <v>2207</v>
      </c>
      <c r="C204" s="2131"/>
      <c r="D204" s="2131"/>
      <c r="E204" s="2131"/>
      <c r="F204" s="2119">
        <v>0.05</v>
      </c>
    </row>
    <row r="205" spans="1:6" ht="14.25" thickBot="1">
      <c r="A205" s="1539" t="s">
        <v>1540</v>
      </c>
      <c r="B205" s="1535" t="s">
        <v>2208</v>
      </c>
      <c r="C205" s="2128"/>
      <c r="D205" s="2128"/>
      <c r="E205" s="2128"/>
      <c r="F205" s="2121">
        <v>0.05</v>
      </c>
    </row>
    <row r="206" spans="1:6" ht="14.25" thickBot="1">
      <c r="A206" s="1529" t="s">
        <v>1542</v>
      </c>
      <c r="B206" s="1530" t="s">
        <v>2209</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2210</v>
      </c>
      <c r="C210" s="2118">
        <v>0.15</v>
      </c>
      <c r="D210" s="2118">
        <v>0.15</v>
      </c>
      <c r="E210" s="2118">
        <v>0.15</v>
      </c>
      <c r="F210" s="2119">
        <v>0.13800000000000001</v>
      </c>
    </row>
    <row r="211" spans="1:6" ht="14.25" thickBot="1">
      <c r="A211" s="1529" t="s">
        <v>1542</v>
      </c>
      <c r="B211" s="1523" t="s">
        <v>2211</v>
      </c>
      <c r="C211" s="2118">
        <v>0.13700000000000001</v>
      </c>
      <c r="D211" s="2118">
        <v>0.13500000000000001</v>
      </c>
      <c r="E211" s="2118">
        <v>0.13600000000000001</v>
      </c>
      <c r="F211" s="2119">
        <v>0.1</v>
      </c>
    </row>
    <row r="212" spans="1:6" ht="14.25" thickBot="1">
      <c r="A212" s="1529" t="s">
        <v>1542</v>
      </c>
      <c r="B212" s="1523" t="s">
        <v>2212</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2213</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2214</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2215</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2216</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2217</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2218</v>
      </c>
      <c r="C231" s="2118">
        <v>0.128</v>
      </c>
      <c r="D231" s="2118">
        <v>0.125</v>
      </c>
      <c r="E231" s="2118">
        <v>0.13200000000000001</v>
      </c>
      <c r="F231" s="2130"/>
    </row>
    <row r="232" spans="1:6" ht="14.25" thickBot="1">
      <c r="A232" s="1529" t="s">
        <v>1542</v>
      </c>
      <c r="B232" s="1523" t="s">
        <v>2219</v>
      </c>
      <c r="C232" s="2118">
        <v>0.14499999999999999</v>
      </c>
      <c r="D232" s="2118">
        <v>0.14399999999999999</v>
      </c>
      <c r="E232" s="2118">
        <v>0.14599999999999999</v>
      </c>
      <c r="F232" s="2119">
        <v>0.13800000000000001</v>
      </c>
    </row>
    <row r="233" spans="1:6" ht="14.25" thickBot="1">
      <c r="A233" s="1529" t="s">
        <v>1542</v>
      </c>
      <c r="B233" s="1523" t="s">
        <v>2220</v>
      </c>
      <c r="C233" s="2118">
        <v>0.14499999999999999</v>
      </c>
      <c r="D233" s="2118">
        <v>0.14299999999999999</v>
      </c>
      <c r="E233" s="2118">
        <v>0.14199999999999999</v>
      </c>
      <c r="F233" s="2130"/>
    </row>
    <row r="234" spans="1:6" ht="14.25" thickBot="1">
      <c r="A234" s="1529" t="s">
        <v>1542</v>
      </c>
      <c r="B234" s="1523" t="s">
        <v>2221</v>
      </c>
      <c r="C234" s="2118">
        <v>0.14000000000000001</v>
      </c>
      <c r="D234" s="2118">
        <v>0.14000000000000001</v>
      </c>
      <c r="E234" s="2118">
        <v>0.14399999999999999</v>
      </c>
      <c r="F234" s="2130"/>
    </row>
    <row r="235" spans="1:6" ht="14.25" thickBot="1">
      <c r="A235" s="1529" t="s">
        <v>1542</v>
      </c>
      <c r="B235" s="1523" t="s">
        <v>2222</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2223</v>
      </c>
      <c r="C237" s="2131"/>
      <c r="D237" s="2131"/>
      <c r="E237" s="2131"/>
      <c r="F237" s="2119">
        <v>0.05</v>
      </c>
    </row>
    <row r="238" spans="1:6" ht="24.75" thickBot="1">
      <c r="A238" s="1529" t="s">
        <v>1542</v>
      </c>
      <c r="B238" s="1523" t="s">
        <v>2224</v>
      </c>
      <c r="C238" s="2131"/>
      <c r="D238" s="2131"/>
      <c r="E238" s="2131"/>
      <c r="F238" s="2119">
        <v>0.05</v>
      </c>
    </row>
    <row r="239" spans="1:6" ht="24.75" thickBot="1">
      <c r="A239" s="1529" t="s">
        <v>1542</v>
      </c>
      <c r="B239" s="1523" t="s">
        <v>2225</v>
      </c>
      <c r="C239" s="2131"/>
      <c r="D239" s="2131"/>
      <c r="E239" s="2131"/>
      <c r="F239" s="2119">
        <v>0.05</v>
      </c>
    </row>
    <row r="240" spans="1:6" ht="24.75" thickBot="1">
      <c r="A240" s="1529" t="s">
        <v>1542</v>
      </c>
      <c r="B240" s="1523" t="s">
        <v>2226</v>
      </c>
      <c r="C240" s="2131"/>
      <c r="D240" s="2131"/>
      <c r="E240" s="2131"/>
      <c r="F240" s="2119">
        <v>0.05</v>
      </c>
    </row>
    <row r="241" spans="1:6" ht="24.75" thickBot="1">
      <c r="A241" s="1529" t="s">
        <v>1542</v>
      </c>
      <c r="B241" s="1523" t="s">
        <v>2227</v>
      </c>
      <c r="C241" s="2131"/>
      <c r="D241" s="2131"/>
      <c r="E241" s="2131"/>
      <c r="F241" s="2119">
        <v>0.05</v>
      </c>
    </row>
    <row r="242" spans="1:6" ht="24.75" thickBot="1">
      <c r="A242" s="1529" t="s">
        <v>1542</v>
      </c>
      <c r="B242" s="1523" t="s">
        <v>2228</v>
      </c>
      <c r="C242" s="2131"/>
      <c r="D242" s="2131"/>
      <c r="E242" s="2131"/>
      <c r="F242" s="2119">
        <v>0.05</v>
      </c>
    </row>
    <row r="243" spans="1:6" ht="24.75" thickBot="1">
      <c r="A243" s="1529" t="s">
        <v>1542</v>
      </c>
      <c r="B243" s="1523" t="s">
        <v>2229</v>
      </c>
      <c r="C243" s="2131"/>
      <c r="D243" s="2131"/>
      <c r="E243" s="2131"/>
      <c r="F243" s="2119">
        <v>0.05</v>
      </c>
    </row>
    <row r="244" spans="1:6" ht="24.75" thickBot="1">
      <c r="A244" s="1539" t="s">
        <v>1542</v>
      </c>
      <c r="B244" s="1535" t="s">
        <v>2230</v>
      </c>
      <c r="C244" s="2128"/>
      <c r="D244" s="2128"/>
      <c r="E244" s="2128"/>
      <c r="F244" s="2121">
        <v>0.05</v>
      </c>
    </row>
    <row r="245" spans="1:6" ht="14.25" thickBot="1">
      <c r="A245" s="1529" t="s">
        <v>1544</v>
      </c>
      <c r="B245" s="1530" t="s">
        <v>2231</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2232</v>
      </c>
      <c r="C247" s="2118">
        <v>0.15</v>
      </c>
      <c r="D247" s="2118">
        <v>0.15</v>
      </c>
      <c r="E247" s="2118">
        <v>0.15</v>
      </c>
      <c r="F247" s="2119">
        <v>0.15</v>
      </c>
    </row>
    <row r="248" spans="1:6" ht="14.25" thickBot="1">
      <c r="A248" s="1529" t="s">
        <v>1544</v>
      </c>
      <c r="B248" s="1523" t="s">
        <v>2233</v>
      </c>
      <c r="C248" s="2118">
        <v>0.15</v>
      </c>
      <c r="D248" s="2118">
        <v>0.15</v>
      </c>
      <c r="E248" s="2118">
        <v>0.15</v>
      </c>
      <c r="F248" s="2119">
        <v>0.14000000000000001</v>
      </c>
    </row>
    <row r="249" spans="1:6" ht="14.25" thickBot="1">
      <c r="A249" s="1529" t="s">
        <v>1544</v>
      </c>
      <c r="B249" s="1523" t="s">
        <v>2234</v>
      </c>
      <c r="C249" s="2118">
        <v>0.15</v>
      </c>
      <c r="D249" s="2118">
        <v>0.14899999999999999</v>
      </c>
      <c r="E249" s="2118">
        <v>0.15</v>
      </c>
      <c r="F249" s="2119">
        <v>0.1</v>
      </c>
    </row>
    <row r="250" spans="1:6" ht="14.25" thickBot="1">
      <c r="A250" s="1529" t="s">
        <v>1544</v>
      </c>
      <c r="B250" s="1523" t="s">
        <v>2235</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2236</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2237</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2238</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2239</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2240</v>
      </c>
      <c r="C273" s="2118">
        <v>0.14199999999999999</v>
      </c>
      <c r="D273" s="2118">
        <v>0.14299999999999999</v>
      </c>
      <c r="E273" s="2118">
        <v>0.15</v>
      </c>
      <c r="F273" s="2119">
        <v>0.1</v>
      </c>
    </row>
    <row r="274" spans="1:6" ht="14.25" thickBot="1">
      <c r="A274" s="1529" t="s">
        <v>1544</v>
      </c>
      <c r="B274" s="1523" t="s">
        <v>2241</v>
      </c>
      <c r="C274" s="2118">
        <v>0.14799999999999999</v>
      </c>
      <c r="D274" s="2118">
        <v>0.14799999999999999</v>
      </c>
      <c r="E274" s="2118">
        <v>0.15</v>
      </c>
      <c r="F274" s="2119">
        <v>6.7000000000000004E-2</v>
      </c>
    </row>
    <row r="275" spans="1:6" ht="14.25" thickBot="1">
      <c r="A275" s="1529" t="s">
        <v>1544</v>
      </c>
      <c r="B275" s="1523" t="s">
        <v>2242</v>
      </c>
      <c r="C275" s="2118">
        <v>0.15</v>
      </c>
      <c r="D275" s="2118">
        <v>0.15</v>
      </c>
      <c r="E275" s="2118">
        <v>0.15</v>
      </c>
      <c r="F275" s="2119">
        <v>0.15</v>
      </c>
    </row>
    <row r="276" spans="1:6" ht="14.25" thickBot="1">
      <c r="A276" s="1529" t="s">
        <v>1544</v>
      </c>
      <c r="B276" s="1523" t="s">
        <v>2243</v>
      </c>
      <c r="C276" s="2118">
        <v>0.14499999999999999</v>
      </c>
      <c r="D276" s="2118">
        <v>0.14299999999999999</v>
      </c>
      <c r="E276" s="2118">
        <v>0.15</v>
      </c>
      <c r="F276" s="2119">
        <v>5.8999999999999997E-2</v>
      </c>
    </row>
    <row r="277" spans="1:6" ht="14.25" thickBot="1">
      <c r="A277" s="1529" t="s">
        <v>1544</v>
      </c>
      <c r="B277" s="1523" t="s">
        <v>2244</v>
      </c>
      <c r="C277" s="2118">
        <v>0.15</v>
      </c>
      <c r="D277" s="2118">
        <v>0.15</v>
      </c>
      <c r="E277" s="2118">
        <v>0.15</v>
      </c>
      <c r="F277" s="2119">
        <v>0.121</v>
      </c>
    </row>
    <row r="278" spans="1:6" ht="14.25" thickBot="1">
      <c r="A278" s="1529" t="s">
        <v>1544</v>
      </c>
      <c r="B278" s="1523" t="s">
        <v>2245</v>
      </c>
      <c r="C278" s="2118">
        <v>0.15</v>
      </c>
      <c r="D278" s="2118">
        <v>0.15</v>
      </c>
      <c r="E278" s="2118">
        <v>0.15</v>
      </c>
      <c r="F278" s="2119">
        <v>0.13800000000000001</v>
      </c>
    </row>
    <row r="279" spans="1:6" ht="24.75" thickBot="1">
      <c r="A279" s="1529" t="s">
        <v>1544</v>
      </c>
      <c r="B279" s="1523" t="s">
        <v>2246</v>
      </c>
      <c r="C279" s="2131"/>
      <c r="D279" s="2131"/>
      <c r="E279" s="2131"/>
      <c r="F279" s="2119">
        <v>0.05</v>
      </c>
    </row>
    <row r="280" spans="1:6" ht="24.75" thickBot="1">
      <c r="A280" s="1529" t="s">
        <v>1544</v>
      </c>
      <c r="B280" s="1523" t="s">
        <v>2247</v>
      </c>
      <c r="C280" s="2131"/>
      <c r="D280" s="2131"/>
      <c r="E280" s="2131"/>
      <c r="F280" s="2119">
        <v>0.05</v>
      </c>
    </row>
    <row r="281" spans="1:6" ht="24.75" thickBot="1">
      <c r="A281" s="1529" t="s">
        <v>1544</v>
      </c>
      <c r="B281" s="1523" t="s">
        <v>2248</v>
      </c>
      <c r="C281" s="2131"/>
      <c r="D281" s="2131"/>
      <c r="E281" s="2131"/>
      <c r="F281" s="2119">
        <v>0.05</v>
      </c>
    </row>
    <row r="282" spans="1:6" ht="24.75" thickBot="1">
      <c r="A282" s="1529" t="s">
        <v>1544</v>
      </c>
      <c r="B282" s="1523" t="s">
        <v>2249</v>
      </c>
      <c r="C282" s="2131"/>
      <c r="D282" s="2131"/>
      <c r="E282" s="2131"/>
      <c r="F282" s="2119">
        <v>0.05</v>
      </c>
    </row>
    <row r="283" spans="1:6" ht="24.75" thickBot="1">
      <c r="A283" s="1529" t="s">
        <v>1544</v>
      </c>
      <c r="B283" s="1523" t="s">
        <v>2250</v>
      </c>
      <c r="C283" s="2131"/>
      <c r="D283" s="2131"/>
      <c r="E283" s="2131"/>
      <c r="F283" s="2119">
        <v>0.05</v>
      </c>
    </row>
    <row r="284" spans="1:6" ht="24.75" thickBot="1">
      <c r="A284" s="1529" t="s">
        <v>1544</v>
      </c>
      <c r="B284" s="1523" t="s">
        <v>2251</v>
      </c>
      <c r="C284" s="2131"/>
      <c r="D284" s="2131"/>
      <c r="E284" s="2131"/>
      <c r="F284" s="2119">
        <v>0.05</v>
      </c>
    </row>
    <row r="285" spans="1:6" ht="24.75" thickBot="1">
      <c r="A285" s="1529" t="s">
        <v>1544</v>
      </c>
      <c r="B285" s="1523" t="s">
        <v>2252</v>
      </c>
      <c r="C285" s="2131"/>
      <c r="D285" s="2131"/>
      <c r="E285" s="2131"/>
      <c r="F285" s="2119">
        <v>0.05</v>
      </c>
    </row>
    <row r="286" spans="1:6" ht="24.75" thickBot="1">
      <c r="A286" s="1529" t="s">
        <v>1544</v>
      </c>
      <c r="B286" s="1523" t="s">
        <v>2253</v>
      </c>
      <c r="C286" s="2131"/>
      <c r="D286" s="2131"/>
      <c r="E286" s="2131"/>
      <c r="F286" s="2119">
        <v>0.05</v>
      </c>
    </row>
    <row r="287" spans="1:6" ht="24.75" thickBot="1">
      <c r="A287" s="1529" t="s">
        <v>1544</v>
      </c>
      <c r="B287" s="1523" t="s">
        <v>2254</v>
      </c>
      <c r="C287" s="2131"/>
      <c r="D287" s="2131"/>
      <c r="E287" s="2131"/>
      <c r="F287" s="2119">
        <v>0.05</v>
      </c>
    </row>
    <row r="288" spans="1:6" ht="24.75" thickBot="1">
      <c r="A288" s="1529" t="s">
        <v>1544</v>
      </c>
      <c r="B288" s="1523" t="s">
        <v>2255</v>
      </c>
      <c r="C288" s="2131"/>
      <c r="D288" s="2131"/>
      <c r="E288" s="2131"/>
      <c r="F288" s="2119">
        <v>0.05</v>
      </c>
    </row>
    <row r="289" spans="1:6" ht="24.75" thickBot="1">
      <c r="A289" s="1539" t="s">
        <v>1544</v>
      </c>
      <c r="B289" s="1535" t="s">
        <v>2256</v>
      </c>
      <c r="C289" s="2128"/>
      <c r="D289" s="2128"/>
      <c r="E289" s="2128"/>
      <c r="F289" s="2121">
        <v>0.05</v>
      </c>
    </row>
    <row r="290" spans="1:6" ht="14.25" thickBot="1">
      <c r="A290" s="1529" t="s">
        <v>1548</v>
      </c>
      <c r="B290" s="1530" t="s">
        <v>2257</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2258</v>
      </c>
      <c r="C292" s="2118">
        <v>0.15</v>
      </c>
      <c r="D292" s="2118">
        <v>0.15</v>
      </c>
      <c r="E292" s="2118">
        <v>0.15</v>
      </c>
      <c r="F292" s="2119">
        <v>0.14699999999999999</v>
      </c>
    </row>
    <row r="293" spans="1:6" ht="14.25" thickBot="1">
      <c r="A293" s="1529" t="s">
        <v>1548</v>
      </c>
      <c r="B293" s="1523" t="s">
        <v>2259</v>
      </c>
      <c r="C293" s="2131"/>
      <c r="D293" s="2131"/>
      <c r="E293" s="2131"/>
      <c r="F293" s="2119">
        <v>0.1</v>
      </c>
    </row>
    <row r="294" spans="1:6" ht="14.25" thickBot="1">
      <c r="A294" s="1529" t="s">
        <v>1548</v>
      </c>
      <c r="B294" s="1523" t="s">
        <v>2260</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2261</v>
      </c>
      <c r="C296" s="2118">
        <v>0.15</v>
      </c>
      <c r="D296" s="2118">
        <v>0.15</v>
      </c>
      <c r="E296" s="2118">
        <v>0.15</v>
      </c>
      <c r="F296" s="2119">
        <v>0.15</v>
      </c>
    </row>
    <row r="297" spans="1:6" ht="14.25" thickBot="1">
      <c r="A297" s="1529" t="s">
        <v>1548</v>
      </c>
      <c r="B297" s="1523" t="s">
        <v>2262</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2263</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2264</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2265</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2266</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2267</v>
      </c>
      <c r="C310" s="2118">
        <v>0.15</v>
      </c>
      <c r="D310" s="2118">
        <v>0.15</v>
      </c>
      <c r="E310" s="2118">
        <v>0.15</v>
      </c>
      <c r="F310" s="2119">
        <v>0.13700000000000001</v>
      </c>
    </row>
    <row r="311" spans="1:6" ht="14.25" thickBot="1">
      <c r="A311" s="1529" t="s">
        <v>1548</v>
      </c>
      <c r="B311" s="1523" t="s">
        <v>2268</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2269</v>
      </c>
      <c r="C313" s="2118">
        <v>0.15</v>
      </c>
      <c r="D313" s="2118">
        <v>0.15</v>
      </c>
      <c r="E313" s="2118">
        <v>0.15</v>
      </c>
      <c r="F313" s="2119">
        <v>0.15</v>
      </c>
    </row>
    <row r="314" spans="1:6" ht="24.75" thickBot="1">
      <c r="A314" s="1529" t="s">
        <v>1548</v>
      </c>
      <c r="B314" s="1523" t="s">
        <v>2270</v>
      </c>
      <c r="C314" s="2131"/>
      <c r="D314" s="2131"/>
      <c r="E314" s="2131"/>
      <c r="F314" s="2119">
        <v>0.05</v>
      </c>
    </row>
    <row r="315" spans="1:6" ht="24.75" thickBot="1">
      <c r="A315" s="1529" t="s">
        <v>1548</v>
      </c>
      <c r="B315" s="1523" t="s">
        <v>2271</v>
      </c>
      <c r="C315" s="2131"/>
      <c r="D315" s="2131"/>
      <c r="E315" s="2131"/>
      <c r="F315" s="2119">
        <v>0.05</v>
      </c>
    </row>
    <row r="316" spans="1:6" ht="24.75" thickBot="1">
      <c r="A316" s="1539" t="s">
        <v>1548</v>
      </c>
      <c r="B316" s="1535" t="s">
        <v>2272</v>
      </c>
      <c r="C316" s="2128"/>
      <c r="D316" s="2128"/>
      <c r="E316" s="2128"/>
      <c r="F316" s="2121">
        <v>0.05</v>
      </c>
    </row>
    <row r="317" spans="1:6" ht="14.25" thickBot="1">
      <c r="A317" s="1529" t="s">
        <v>2273</v>
      </c>
      <c r="B317" s="1530" t="s">
        <v>2274</v>
      </c>
      <c r="C317" s="2116">
        <v>0.15</v>
      </c>
      <c r="D317" s="2116">
        <v>0.15</v>
      </c>
      <c r="E317" s="2116">
        <v>0.15</v>
      </c>
      <c r="F317" s="2117">
        <v>0.15</v>
      </c>
    </row>
    <row r="318" spans="1:6" ht="14.25" thickBot="1">
      <c r="A318" s="1529" t="s">
        <v>2273</v>
      </c>
      <c r="B318" s="1523" t="s">
        <v>2275</v>
      </c>
      <c r="C318" s="2118">
        <v>0.107</v>
      </c>
      <c r="D318" s="2118">
        <v>0.11</v>
      </c>
      <c r="E318" s="2118">
        <v>0.112</v>
      </c>
      <c r="F318" s="2130"/>
    </row>
    <row r="319" spans="1:6" ht="14.25" thickBot="1">
      <c r="A319" s="1529" t="s">
        <v>2273</v>
      </c>
      <c r="B319" s="1523" t="s">
        <v>2276</v>
      </c>
      <c r="C319" s="2118">
        <v>0.15</v>
      </c>
      <c r="D319" s="2118">
        <v>0.15</v>
      </c>
      <c r="E319" s="2118">
        <v>0.15</v>
      </c>
      <c r="F319" s="2119">
        <v>0.15</v>
      </c>
    </row>
    <row r="320" spans="1:6" ht="14.25" thickBot="1">
      <c r="A320" s="1529" t="s">
        <v>2273</v>
      </c>
      <c r="B320" s="1523" t="s">
        <v>1237</v>
      </c>
      <c r="C320" s="2118">
        <v>0.15</v>
      </c>
      <c r="D320" s="2118">
        <v>0.15</v>
      </c>
      <c r="E320" s="2118">
        <v>0.15</v>
      </c>
      <c r="F320" s="2130"/>
    </row>
    <row r="321" spans="1:6" ht="14.25" thickBot="1">
      <c r="A321" s="1529" t="s">
        <v>2273</v>
      </c>
      <c r="B321" s="1523" t="s">
        <v>2277</v>
      </c>
      <c r="C321" s="2118">
        <v>0.15</v>
      </c>
      <c r="D321" s="2118">
        <v>0.15</v>
      </c>
      <c r="E321" s="2118">
        <v>0.15</v>
      </c>
      <c r="F321" s="2130"/>
    </row>
    <row r="322" spans="1:6" ht="14.25" thickBot="1">
      <c r="A322" s="1529" t="s">
        <v>2273</v>
      </c>
      <c r="B322" s="1523" t="s">
        <v>2278</v>
      </c>
      <c r="C322" s="2118">
        <v>0.15</v>
      </c>
      <c r="D322" s="2118">
        <v>0.15</v>
      </c>
      <c r="E322" s="2118">
        <v>0.15</v>
      </c>
      <c r="F322" s="2119">
        <v>0.15</v>
      </c>
    </row>
    <row r="323" spans="1:6" ht="14.25" thickBot="1">
      <c r="A323" s="1529" t="s">
        <v>2273</v>
      </c>
      <c r="B323" s="1523" t="s">
        <v>2279</v>
      </c>
      <c r="C323" s="2118">
        <v>0.15</v>
      </c>
      <c r="D323" s="2118">
        <v>0.15</v>
      </c>
      <c r="E323" s="2118">
        <v>0.15</v>
      </c>
      <c r="F323" s="2130"/>
    </row>
    <row r="324" spans="1:6" ht="14.25" thickBot="1">
      <c r="A324" s="1529" t="s">
        <v>2273</v>
      </c>
      <c r="B324" s="1523" t="s">
        <v>2280</v>
      </c>
      <c r="C324" s="2118">
        <v>0.15</v>
      </c>
      <c r="D324" s="2118">
        <v>0.15</v>
      </c>
      <c r="E324" s="2118">
        <v>0.15</v>
      </c>
      <c r="F324" s="2130"/>
    </row>
    <row r="325" spans="1:6" ht="14.25" thickBot="1">
      <c r="A325" s="1529" t="s">
        <v>2273</v>
      </c>
      <c r="B325" s="1523" t="s">
        <v>2281</v>
      </c>
      <c r="C325" s="2118">
        <v>0.15</v>
      </c>
      <c r="D325" s="2118">
        <v>0.15</v>
      </c>
      <c r="E325" s="2118">
        <v>0.15</v>
      </c>
      <c r="F325" s="2119">
        <v>0.14699999999999999</v>
      </c>
    </row>
    <row r="326" spans="1:6" ht="14.25" thickBot="1">
      <c r="A326" s="1529" t="s">
        <v>2273</v>
      </c>
      <c r="B326" s="1523" t="s">
        <v>1304</v>
      </c>
      <c r="C326" s="2118">
        <v>0.15</v>
      </c>
      <c r="D326" s="2118">
        <v>0.15</v>
      </c>
      <c r="E326" s="2118">
        <v>0.15</v>
      </c>
      <c r="F326" s="2130"/>
    </row>
    <row r="327" spans="1:6" ht="14.25" thickBot="1">
      <c r="A327" s="1529" t="s">
        <v>2273</v>
      </c>
      <c r="B327" s="1523" t="s">
        <v>2282</v>
      </c>
      <c r="C327" s="2118">
        <v>0.15</v>
      </c>
      <c r="D327" s="2118">
        <v>0.15</v>
      </c>
      <c r="E327" s="2118">
        <v>0.15</v>
      </c>
      <c r="F327" s="2119">
        <v>0.15</v>
      </c>
    </row>
    <row r="328" spans="1:6" ht="14.25" thickBot="1">
      <c r="A328" s="1529" t="s">
        <v>2273</v>
      </c>
      <c r="B328" s="1523" t="s">
        <v>1324</v>
      </c>
      <c r="C328" s="2118">
        <v>0.15</v>
      </c>
      <c r="D328" s="2118">
        <v>0.15</v>
      </c>
      <c r="E328" s="2118">
        <v>0.15</v>
      </c>
      <c r="F328" s="2119">
        <v>0.14099999999999999</v>
      </c>
    </row>
    <row r="329" spans="1:6" ht="14.25" thickBot="1">
      <c r="A329" s="1529" t="s">
        <v>2273</v>
      </c>
      <c r="B329" s="1523" t="s">
        <v>1334</v>
      </c>
      <c r="C329" s="2118">
        <v>0.15</v>
      </c>
      <c r="D329" s="2118">
        <v>0.15</v>
      </c>
      <c r="E329" s="2118">
        <v>0.15</v>
      </c>
      <c r="F329" s="2119">
        <v>0.15</v>
      </c>
    </row>
    <row r="330" spans="1:6" ht="14.25" thickBot="1">
      <c r="A330" s="1529" t="s">
        <v>2273</v>
      </c>
      <c r="B330" s="1523" t="s">
        <v>1345</v>
      </c>
      <c r="C330" s="2118">
        <v>0.15</v>
      </c>
      <c r="D330" s="2118">
        <v>0.15</v>
      </c>
      <c r="E330" s="2118">
        <v>0.15</v>
      </c>
      <c r="F330" s="2130"/>
    </row>
    <row r="331" spans="1:6" ht="14.25" thickBot="1">
      <c r="A331" s="1529" t="s">
        <v>2273</v>
      </c>
      <c r="B331" s="1523" t="s">
        <v>2283</v>
      </c>
      <c r="C331" s="2118">
        <v>0.15</v>
      </c>
      <c r="D331" s="2118">
        <v>0.15</v>
      </c>
      <c r="E331" s="2118">
        <v>0.15</v>
      </c>
      <c r="F331" s="2119">
        <v>0.15</v>
      </c>
    </row>
    <row r="332" spans="1:6" ht="14.25" thickBot="1">
      <c r="A332" s="1529" t="s">
        <v>2273</v>
      </c>
      <c r="B332" s="1523" t="s">
        <v>1366</v>
      </c>
      <c r="C332" s="2118">
        <v>0.15</v>
      </c>
      <c r="D332" s="2118">
        <v>0.15</v>
      </c>
      <c r="E332" s="2118">
        <v>0.15</v>
      </c>
      <c r="F332" s="2119">
        <v>0.15</v>
      </c>
    </row>
    <row r="333" spans="1:6" ht="14.25" thickBot="1">
      <c r="A333" s="1529" t="s">
        <v>2273</v>
      </c>
      <c r="B333" s="1523" t="s">
        <v>2284</v>
      </c>
      <c r="C333" s="2118">
        <v>0.15</v>
      </c>
      <c r="D333" s="2118">
        <v>0.15</v>
      </c>
      <c r="E333" s="2118">
        <v>0.15</v>
      </c>
      <c r="F333" s="2119">
        <v>0.14099999999999999</v>
      </c>
    </row>
    <row r="334" spans="1:6" ht="14.25" thickBot="1">
      <c r="A334" s="1529" t="s">
        <v>2273</v>
      </c>
      <c r="B334" s="1523" t="s">
        <v>1386</v>
      </c>
      <c r="C334" s="2118">
        <v>0.15</v>
      </c>
      <c r="D334" s="2118">
        <v>0.15</v>
      </c>
      <c r="E334" s="2118">
        <v>0.15</v>
      </c>
      <c r="F334" s="2119">
        <v>0.15</v>
      </c>
    </row>
    <row r="335" spans="1:6" ht="14.25" thickBot="1">
      <c r="A335" s="1529" t="s">
        <v>2273</v>
      </c>
      <c r="B335" s="1523" t="s">
        <v>1396</v>
      </c>
      <c r="C335" s="2118">
        <v>0.15</v>
      </c>
      <c r="D335" s="2118">
        <v>0.15</v>
      </c>
      <c r="E335" s="2118">
        <v>0.15</v>
      </c>
      <c r="F335" s="2130"/>
    </row>
    <row r="336" spans="1:6" ht="14.25" thickBot="1">
      <c r="A336" s="1529" t="s">
        <v>2273</v>
      </c>
      <c r="B336" s="1523" t="s">
        <v>2285</v>
      </c>
      <c r="C336" s="2118">
        <v>0.15</v>
      </c>
      <c r="D336" s="2118">
        <v>0.15</v>
      </c>
      <c r="E336" s="2118">
        <v>0.15</v>
      </c>
      <c r="F336" s="2119">
        <v>0.11799999999999999</v>
      </c>
    </row>
    <row r="337" spans="1:6" ht="14.25" thickBot="1">
      <c r="A337" s="1539" t="s">
        <v>2273</v>
      </c>
      <c r="B337" s="1535" t="s">
        <v>1414</v>
      </c>
      <c r="C337" s="2128"/>
      <c r="D337" s="2128"/>
      <c r="E337" s="2128"/>
      <c r="F337" s="2121">
        <v>0.14299999999999999</v>
      </c>
    </row>
    <row r="338" spans="1:6" ht="14.25" thickBot="1">
      <c r="A338" s="1529" t="s">
        <v>2286</v>
      </c>
      <c r="B338" s="1530" t="s">
        <v>2287</v>
      </c>
      <c r="C338" s="2116">
        <v>0.15</v>
      </c>
      <c r="D338" s="2116">
        <v>0.15</v>
      </c>
      <c r="E338" s="2116">
        <v>0.15</v>
      </c>
      <c r="F338" s="2133"/>
    </row>
    <row r="339" spans="1:6" ht="14.25" thickBot="1">
      <c r="A339" s="1529" t="s">
        <v>2286</v>
      </c>
      <c r="B339" s="1523" t="s">
        <v>2288</v>
      </c>
      <c r="C339" s="2118">
        <v>0.15</v>
      </c>
      <c r="D339" s="2118">
        <v>0.15</v>
      </c>
      <c r="E339" s="2118">
        <v>0.15</v>
      </c>
      <c r="F339" s="2130"/>
    </row>
    <row r="340" spans="1:6" ht="14.25" thickBot="1">
      <c r="A340" s="1529" t="s">
        <v>2286</v>
      </c>
      <c r="B340" s="1523" t="s">
        <v>2289</v>
      </c>
      <c r="C340" s="2118">
        <v>0.15</v>
      </c>
      <c r="D340" s="2118">
        <v>0.15</v>
      </c>
      <c r="E340" s="2118">
        <v>0.15</v>
      </c>
      <c r="F340" s="2130"/>
    </row>
    <row r="341" spans="1:6" ht="14.25" thickBot="1">
      <c r="A341" s="1529" t="s">
        <v>2286</v>
      </c>
      <c r="B341" s="1523" t="s">
        <v>2290</v>
      </c>
      <c r="C341" s="2118">
        <v>0.15</v>
      </c>
      <c r="D341" s="2118">
        <v>0.15</v>
      </c>
      <c r="E341" s="2118">
        <v>0.15</v>
      </c>
      <c r="F341" s="2119">
        <v>0.15</v>
      </c>
    </row>
    <row r="342" spans="1:6" ht="14.25" thickBot="1">
      <c r="A342" s="1529" t="s">
        <v>2286</v>
      </c>
      <c r="B342" s="1523" t="s">
        <v>2291</v>
      </c>
      <c r="C342" s="2118">
        <v>0.15</v>
      </c>
      <c r="D342" s="2118">
        <v>0.15</v>
      </c>
      <c r="E342" s="2118">
        <v>0.15</v>
      </c>
      <c r="F342" s="2119">
        <v>0.15</v>
      </c>
    </row>
    <row r="343" spans="1:6" ht="14.25" thickBot="1">
      <c r="A343" s="1529" t="s">
        <v>2286</v>
      </c>
      <c r="B343" s="1523" t="s">
        <v>2292</v>
      </c>
      <c r="C343" s="2118">
        <v>0.15</v>
      </c>
      <c r="D343" s="2118">
        <v>0.15</v>
      </c>
      <c r="E343" s="2118">
        <v>0.15</v>
      </c>
      <c r="F343" s="2119">
        <v>0.15</v>
      </c>
    </row>
    <row r="344" spans="1:6" ht="14.25" thickBot="1">
      <c r="A344" s="1539" t="s">
        <v>2286</v>
      </c>
      <c r="B344" s="1535" t="s">
        <v>2293</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2908</v>
      </c>
      <c r="C1" s="3194">
        <f>项目基本情况!D3</f>
        <v>42977</v>
      </c>
      <c r="D1" s="3200" t="s">
        <v>2909</v>
      </c>
      <c r="E1" s="3195">
        <f>'数据-取费表'!B22</f>
        <v>2</v>
      </c>
      <c r="F1" s="3200" t="s">
        <v>2910</v>
      </c>
      <c r="G1" s="3196">
        <f ca="1">INDIRECT("d"&amp;$K$1)/100</f>
        <v>4.7500000000000001E-2</v>
      </c>
      <c r="H1" s="3200" t="s">
        <v>2940</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2911</v>
      </c>
      <c r="E2" s="3136"/>
      <c r="F2" s="3136" t="s">
        <v>2912</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2913</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2914</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2915</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2916</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2917</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2918</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2919</v>
      </c>
      <c r="C10" s="3164"/>
      <c r="D10" s="3164"/>
      <c r="E10" s="3164"/>
      <c r="F10" s="3164"/>
      <c r="G10" s="3164"/>
      <c r="H10" s="3164"/>
      <c r="I10" s="3138"/>
      <c r="J10" s="3138"/>
      <c r="K10" s="3164"/>
      <c r="L10" s="3165" t="s">
        <v>2920</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2921</v>
      </c>
      <c r="C11" s="3169" t="s">
        <v>2922</v>
      </c>
      <c r="D11" s="3170" t="s">
        <v>2923</v>
      </c>
      <c r="E11" s="3171"/>
      <c r="F11" s="3170" t="s">
        <v>2924</v>
      </c>
      <c r="G11" s="3172"/>
      <c r="H11" s="3171"/>
      <c r="I11" s="3170" t="s">
        <v>2925</v>
      </c>
      <c r="J11" s="3171"/>
      <c r="K11" s="3167"/>
      <c r="L11" s="3168" t="s">
        <v>2921</v>
      </c>
      <c r="M11" s="3169" t="s">
        <v>2922</v>
      </c>
      <c r="N11" s="3168" t="s">
        <v>2926</v>
      </c>
      <c r="O11" s="3170" t="s">
        <v>2927</v>
      </c>
      <c r="P11" s="3172"/>
      <c r="Q11" s="3172"/>
      <c r="R11" s="3172"/>
      <c r="S11" s="3172"/>
      <c r="T11" s="3171"/>
      <c r="U11" s="3170" t="s">
        <v>2928</v>
      </c>
      <c r="V11" s="3172"/>
      <c r="W11" s="3171"/>
      <c r="X11" s="3168" t="s">
        <v>2929</v>
      </c>
      <c r="Y11" s="3168" t="s">
        <v>2930</v>
      </c>
      <c r="Z11" s="3168" t="s">
        <v>2931</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2932</v>
      </c>
      <c r="E12" s="3177" t="s">
        <v>2933</v>
      </c>
      <c r="F12" s="3177" t="s">
        <v>2934</v>
      </c>
      <c r="G12" s="3177" t="s">
        <v>2935</v>
      </c>
      <c r="H12" s="3177" t="s">
        <v>2917</v>
      </c>
      <c r="I12" s="3178" t="s">
        <v>2936</v>
      </c>
      <c r="J12" s="3178" t="s">
        <v>2936</v>
      </c>
      <c r="K12" s="3174"/>
      <c r="L12" s="3175"/>
      <c r="M12" s="3176"/>
      <c r="N12" s="3175"/>
      <c r="O12" s="3178" t="s">
        <v>2937</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2938</v>
      </c>
      <c r="C13" s="3182">
        <v>42301</v>
      </c>
      <c r="D13" s="3183">
        <v>4.3499999999999996</v>
      </c>
      <c r="E13" s="3183">
        <v>4.3499999999999996</v>
      </c>
      <c r="F13" s="3183">
        <v>4.75</v>
      </c>
      <c r="G13" s="3183">
        <v>4.75</v>
      </c>
      <c r="H13" s="3183">
        <v>4.9000000000000004</v>
      </c>
      <c r="I13" s="3183">
        <v>2.75</v>
      </c>
      <c r="J13" s="3183">
        <v>3.25</v>
      </c>
      <c r="K13" s="3180"/>
      <c r="L13" s="3181" t="s">
        <v>2938</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2939</v>
      </c>
      <c r="Y42" s="3187" t="s">
        <v>2939</v>
      </c>
      <c r="Z42" s="3187" t="s">
        <v>2939</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2939</v>
      </c>
      <c r="Y43" s="3187" t="s">
        <v>2939</v>
      </c>
      <c r="Z43" s="3187" t="s">
        <v>2939</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2939</v>
      </c>
      <c r="Y44" s="3187" t="s">
        <v>2939</v>
      </c>
      <c r="Z44" s="3187" t="s">
        <v>2939</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2939</v>
      </c>
      <c r="Y45" s="3187" t="s">
        <v>2939</v>
      </c>
      <c r="Z45" s="3187" t="s">
        <v>2939</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2939</v>
      </c>
      <c r="Y46" s="3187" t="s">
        <v>2939</v>
      </c>
      <c r="Z46" s="3187" t="s">
        <v>2939</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2939</v>
      </c>
      <c r="Y47" s="3187" t="s">
        <v>2939</v>
      </c>
      <c r="Z47" s="3187" t="s">
        <v>2939</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2939</v>
      </c>
      <c r="Y48" s="3187" t="s">
        <v>2939</v>
      </c>
      <c r="Z48" s="3187" t="s">
        <v>2939</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2939</v>
      </c>
      <c r="Y49" s="3187" t="s">
        <v>2939</v>
      </c>
      <c r="Z49" s="3187" t="s">
        <v>2939</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2939</v>
      </c>
      <c r="Y50" s="3187" t="s">
        <v>2939</v>
      </c>
      <c r="Z50" s="3187" t="s">
        <v>2939</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2939</v>
      </c>
      <c r="V51" s="3187" t="s">
        <v>2939</v>
      </c>
      <c r="W51" s="3187" t="s">
        <v>2939</v>
      </c>
      <c r="X51" s="3187" t="s">
        <v>2939</v>
      </c>
      <c r="Y51" s="3187" t="s">
        <v>2939</v>
      </c>
      <c r="Z51" s="3187" t="s">
        <v>2939</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2939</v>
      </c>
      <c r="J55" s="3187" t="s">
        <v>2939</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3041</v>
      </c>
      <c r="E1" s="3323" t="s">
        <v>3045</v>
      </c>
      <c r="F1" s="3324" t="s">
        <v>3049</v>
      </c>
    </row>
    <row r="2" spans="1:13" ht="20.25">
      <c r="A2" s="3330" t="s">
        <v>3042</v>
      </c>
    </row>
    <row r="3" spans="1:13" ht="16.5">
      <c r="A3" s="3331" t="s">
        <v>3043</v>
      </c>
    </row>
    <row r="4" spans="1:13" ht="14.25">
      <c r="A4" s="3321" t="s">
        <v>3044</v>
      </c>
      <c r="B4" s="3326" t="s">
        <v>3046</v>
      </c>
      <c r="C4" s="3327"/>
      <c r="D4" s="3328"/>
      <c r="E4" s="3326" t="s">
        <v>141</v>
      </c>
      <c r="F4" s="3327"/>
      <c r="G4" s="3328"/>
      <c r="H4" s="3326" t="s">
        <v>3047</v>
      </c>
      <c r="I4" s="3327"/>
      <c r="J4" s="3328"/>
      <c r="K4" s="3326" t="s">
        <v>39</v>
      </c>
      <c r="L4" s="3327"/>
      <c r="M4" s="3328"/>
    </row>
    <row r="5" spans="1:13" ht="14.25">
      <c r="A5" s="3322" t="s">
        <v>3048</v>
      </c>
      <c r="B5" s="3321" t="s">
        <v>3050</v>
      </c>
      <c r="C5" s="3321" t="s">
        <v>3051</v>
      </c>
      <c r="D5" s="3321" t="s">
        <v>3052</v>
      </c>
      <c r="E5" s="3321" t="s">
        <v>3050</v>
      </c>
      <c r="F5" s="3321" t="s">
        <v>3051</v>
      </c>
      <c r="G5" s="3321" t="s">
        <v>3052</v>
      </c>
      <c r="H5" s="3321" t="s">
        <v>3050</v>
      </c>
      <c r="I5" s="3321" t="s">
        <v>3051</v>
      </c>
      <c r="J5" s="3321" t="s">
        <v>3052</v>
      </c>
      <c r="K5" s="3321" t="s">
        <v>3050</v>
      </c>
      <c r="L5" s="3321" t="s">
        <v>3051</v>
      </c>
      <c r="M5" s="3321" t="s">
        <v>3052</v>
      </c>
    </row>
    <row r="6" spans="1:13" ht="14.25">
      <c r="A6" s="3325" t="s">
        <v>1226</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1283</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1456</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1137</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1537</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1540</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1542</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1544</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1548</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1947</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1948</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
  <sheetViews>
    <sheetView workbookViewId="0">
      <selection activeCell="G21" sqref="G21"/>
    </sheetView>
  </sheetViews>
  <sheetFormatPr defaultRowHeight="13.5"/>
  <cols>
    <col min="1" max="1" width="87" customWidth="1"/>
    <col min="10" max="10" width="31.125" customWidth="1"/>
    <col min="19" max="19" width="15.375" customWidth="1"/>
  </cols>
  <sheetData>
    <row r="1" spans="1:21" s="3359" customFormat="1">
      <c r="A1" s="3359" t="s">
        <v>3114</v>
      </c>
      <c r="B1" s="3359" t="s">
        <v>3115</v>
      </c>
      <c r="C1" s="3359" t="s">
        <v>3116</v>
      </c>
      <c r="D1" s="3359" t="s">
        <v>3117</v>
      </c>
      <c r="E1" s="3359" t="s">
        <v>3118</v>
      </c>
      <c r="F1" s="3359" t="s">
        <v>3119</v>
      </c>
      <c r="G1" s="3359" t="s">
        <v>3120</v>
      </c>
      <c r="H1" s="3359" t="s">
        <v>3121</v>
      </c>
      <c r="I1" s="3359" t="s">
        <v>3122</v>
      </c>
      <c r="J1" s="3359" t="s">
        <v>3123</v>
      </c>
      <c r="K1" s="3359" t="s">
        <v>3124</v>
      </c>
      <c r="L1" s="3359" t="s">
        <v>3125</v>
      </c>
      <c r="M1" s="3359" t="s">
        <v>3126</v>
      </c>
      <c r="N1" s="3359" t="s">
        <v>3127</v>
      </c>
      <c r="O1" s="3359" t="s">
        <v>3128</v>
      </c>
      <c r="P1" s="3359" t="s">
        <v>3129</v>
      </c>
      <c r="Q1" s="3359" t="s">
        <v>3130</v>
      </c>
      <c r="R1" s="3359" t="s">
        <v>3131</v>
      </c>
      <c r="S1" s="3359" t="s">
        <v>3132</v>
      </c>
      <c r="T1" s="3359" t="s">
        <v>3133</v>
      </c>
      <c r="U1" s="3359" t="s">
        <v>3134</v>
      </c>
    </row>
    <row r="2" spans="1:21" s="3359" customFormat="1">
      <c r="A2" s="3359" t="s">
        <v>3135</v>
      </c>
      <c r="B2" s="3359" t="s">
        <v>3136</v>
      </c>
      <c r="C2" s="3359" t="s">
        <v>3137</v>
      </c>
      <c r="D2" s="3359" t="s">
        <v>2939</v>
      </c>
      <c r="E2" s="3359" t="s">
        <v>3138</v>
      </c>
      <c r="F2" s="3359" t="s">
        <v>3139</v>
      </c>
      <c r="G2" s="3359" t="s">
        <v>3140</v>
      </c>
      <c r="H2" s="3359">
        <v>74674.28</v>
      </c>
      <c r="I2" s="3359">
        <v>209088</v>
      </c>
      <c r="J2" s="3359" t="s">
        <v>3141</v>
      </c>
      <c r="K2" s="3359" t="s">
        <v>2939</v>
      </c>
      <c r="L2" s="3359" t="s">
        <v>2939</v>
      </c>
      <c r="M2" s="3359" t="s">
        <v>2939</v>
      </c>
      <c r="N2" s="3359" t="s">
        <v>3142</v>
      </c>
      <c r="O2" s="3359" t="s">
        <v>3142</v>
      </c>
      <c r="P2" s="3359" t="s">
        <v>3143</v>
      </c>
      <c r="Q2" s="3359">
        <v>57700</v>
      </c>
      <c r="R2" s="3359">
        <v>57700</v>
      </c>
      <c r="S2" s="3359">
        <v>2759.59</v>
      </c>
      <c r="T2" s="3359">
        <v>0</v>
      </c>
      <c r="U2" s="3359" t="s">
        <v>3144</v>
      </c>
    </row>
    <row r="3" spans="1:21" s="3359" customFormat="1">
      <c r="A3" s="3359" t="s">
        <v>3145</v>
      </c>
      <c r="B3" s="3359" t="s">
        <v>3136</v>
      </c>
      <c r="C3" s="3359" t="s">
        <v>3137</v>
      </c>
      <c r="D3" s="3359" t="s">
        <v>2939</v>
      </c>
      <c r="E3" s="3359" t="s">
        <v>3138</v>
      </c>
      <c r="F3" s="3359" t="s">
        <v>3146</v>
      </c>
      <c r="G3" s="3359" t="s">
        <v>3140</v>
      </c>
      <c r="H3" s="3359">
        <v>63213.73</v>
      </c>
      <c r="I3" s="3359">
        <v>126427.5</v>
      </c>
      <c r="J3" s="3359" t="s">
        <v>3147</v>
      </c>
      <c r="K3" s="3359" t="s">
        <v>2939</v>
      </c>
      <c r="L3" s="3359" t="s">
        <v>2939</v>
      </c>
      <c r="M3" s="3359" t="s">
        <v>2939</v>
      </c>
      <c r="N3" s="3359" t="s">
        <v>3148</v>
      </c>
      <c r="O3" s="3359" t="s">
        <v>3148</v>
      </c>
      <c r="P3" s="3359" t="s">
        <v>3149</v>
      </c>
      <c r="Q3" s="3359">
        <v>36375</v>
      </c>
      <c r="R3" s="3359">
        <v>36375</v>
      </c>
      <c r="S3" s="3359">
        <v>2877.13</v>
      </c>
      <c r="T3" s="3359">
        <v>0</v>
      </c>
      <c r="U3" s="3359" t="s">
        <v>3144</v>
      </c>
    </row>
    <row r="4" spans="1:21" s="3359" customFormat="1">
      <c r="A4" s="3359" t="s">
        <v>3150</v>
      </c>
      <c r="B4" s="3359" t="s">
        <v>3136</v>
      </c>
      <c r="C4" s="3359" t="s">
        <v>3151</v>
      </c>
      <c r="D4" s="3359" t="s">
        <v>2939</v>
      </c>
      <c r="E4" s="3359" t="s">
        <v>3138</v>
      </c>
      <c r="F4" s="3359" t="s">
        <v>3152</v>
      </c>
      <c r="G4" s="3359" t="s">
        <v>3153</v>
      </c>
      <c r="H4" s="3359">
        <v>122744.7</v>
      </c>
      <c r="I4" s="3359">
        <v>245489.5</v>
      </c>
      <c r="J4" s="3359" t="s">
        <v>3147</v>
      </c>
      <c r="K4" s="3359" t="s">
        <v>2939</v>
      </c>
      <c r="L4" s="3359" t="s">
        <v>2939</v>
      </c>
      <c r="M4" s="3359" t="s">
        <v>2939</v>
      </c>
      <c r="N4" s="3359" t="s">
        <v>3148</v>
      </c>
      <c r="O4" s="3359" t="s">
        <v>3148</v>
      </c>
      <c r="P4" s="3359" t="s">
        <v>3154</v>
      </c>
      <c r="Q4" s="3359">
        <v>68870</v>
      </c>
      <c r="R4" s="3359">
        <v>68870</v>
      </c>
      <c r="S4" s="3359">
        <v>2805.42</v>
      </c>
      <c r="T4" s="3359">
        <v>0</v>
      </c>
      <c r="U4" s="3359" t="s">
        <v>3155</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2877</v>
      </c>
      <c r="B2" s="3392" t="s">
        <v>2040</v>
      </c>
      <c r="C2" s="3392" t="s">
        <v>2041</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spans="1:9" ht="14.25">
      <c r="A3" s="3393"/>
      <c r="B3" s="3393"/>
      <c r="C3" s="3393"/>
      <c r="D3" s="1912" t="s">
        <v>7</v>
      </c>
      <c r="E3" s="1912" t="s">
        <v>2042</v>
      </c>
      <c r="F3" s="1912" t="s">
        <v>7</v>
      </c>
      <c r="G3" s="1912" t="s">
        <v>8</v>
      </c>
      <c r="H3" s="1912" t="s">
        <v>7</v>
      </c>
      <c r="I3" s="1912" t="s">
        <v>8</v>
      </c>
    </row>
    <row r="4" spans="1:9" ht="57">
      <c r="A4" s="1982" t="str">
        <f>项目基本情况!S2</f>
        <v>陕西省西安市西安曲江新区南三环以北、公园南路以西出让国有建设用地使用权及在建建筑物房地产</v>
      </c>
      <c r="B4" s="1976">
        <f>项目基本情况!C17</f>
        <v>62458.42</v>
      </c>
      <c r="C4" s="1976">
        <f>项目基本情况!C18</f>
        <v>14746.3</v>
      </c>
      <c r="D4" s="1976" t="e">
        <f ca="1">结果表!D118</f>
        <v>#REF!</v>
      </c>
      <c r="E4" s="1976" t="e">
        <f ca="1">结果表!E118</f>
        <v>#REF!</v>
      </c>
      <c r="F4" s="1976" t="e">
        <f ca="1">结果表!F118</f>
        <v>#REF!</v>
      </c>
      <c r="G4" s="1976" t="e">
        <f ca="1">结果表!G118</f>
        <v>#REF!</v>
      </c>
      <c r="H4" s="1976">
        <f ca="1">结果表!H118</f>
        <v>32896</v>
      </c>
      <c r="I4" s="1976">
        <f ca="1">结果表!I118</f>
        <v>5267</v>
      </c>
    </row>
    <row r="5" spans="1:9" ht="30" customHeight="1">
      <c r="A5" s="3393" t="s">
        <v>9</v>
      </c>
      <c r="B5" s="3393"/>
      <c r="C5" s="3393"/>
      <c r="D5" s="3394" t="e">
        <f ca="1">结果表!D119</f>
        <v>#REF!</v>
      </c>
      <c r="E5" s="3394"/>
      <c r="F5" s="3394" t="e">
        <f ca="1">结果表!F119</f>
        <v>#REF!</v>
      </c>
      <c r="G5" s="3394"/>
      <c r="H5" s="3394" t="str">
        <f ca="1">结果表!H119</f>
        <v>叁亿贰仟捌佰玖拾陆万元整</v>
      </c>
      <c r="I5" s="3394"/>
    </row>
    <row r="6" spans="1:9" ht="15.75">
      <c r="A6" s="3395" t="str">
        <f>结果表!A120</f>
        <v>估价师知悉的法定优先受偿款</v>
      </c>
      <c r="B6" s="3395"/>
      <c r="C6" s="3395"/>
      <c r="D6" s="3396">
        <f>结果表!D120</f>
        <v>0</v>
      </c>
      <c r="E6" s="3396"/>
      <c r="F6" s="3396"/>
      <c r="G6" s="3396"/>
      <c r="H6" s="3396"/>
      <c r="I6" s="3396"/>
    </row>
    <row r="7" spans="1:9" ht="14.25">
      <c r="A7" s="3393" t="s">
        <v>9</v>
      </c>
      <c r="B7" s="3393"/>
      <c r="C7" s="3393"/>
      <c r="D7" s="3397" t="str">
        <f>结果表!D121</f>
        <v>零元整</v>
      </c>
      <c r="E7" s="3398"/>
      <c r="F7" s="3398"/>
      <c r="G7" s="3398"/>
      <c r="H7" s="3398"/>
      <c r="I7" s="3399"/>
    </row>
    <row r="8" spans="1:9" ht="15.75">
      <c r="A8" s="3395" t="str">
        <f>结果表!A122</f>
        <v>房地产抵押价值</v>
      </c>
      <c r="B8" s="3395"/>
      <c r="C8" s="3395"/>
      <c r="D8" s="3396">
        <f ca="1">结果表!D122</f>
        <v>32896</v>
      </c>
      <c r="E8" s="3396"/>
      <c r="F8" s="3396"/>
      <c r="G8" s="3396"/>
      <c r="H8" s="3396"/>
      <c r="I8" s="3396"/>
    </row>
    <row r="9" spans="1:9" ht="14.25">
      <c r="A9" s="3393" t="s">
        <v>9</v>
      </c>
      <c r="B9" s="3393"/>
      <c r="C9" s="3393"/>
      <c r="D9" s="3394" t="str">
        <f ca="1">结果表!D123</f>
        <v>叁亿贰仟捌佰玖拾陆万元整</v>
      </c>
      <c r="E9" s="3394"/>
      <c r="F9" s="3394"/>
      <c r="G9" s="3394"/>
      <c r="H9" s="3394"/>
      <c r="I9" s="3394"/>
    </row>
    <row r="10" spans="1:9" ht="15.75">
      <c r="A10" s="3395" t="str">
        <f>结果表!A124</f>
        <v/>
      </c>
      <c r="B10" s="3395"/>
      <c r="C10" s="3395"/>
      <c r="D10" s="3396" t="str">
        <f>结果表!D124</f>
        <v>——</v>
      </c>
      <c r="E10" s="3396"/>
      <c r="F10" s="3396"/>
      <c r="G10" s="3396"/>
      <c r="H10" s="3396"/>
      <c r="I10" s="3396"/>
    </row>
    <row r="11" spans="1:9" ht="14.25">
      <c r="A11" s="3393" t="s">
        <v>9</v>
      </c>
      <c r="B11" s="3393"/>
      <c r="C11" s="3393"/>
      <c r="D11" s="3394" t="e">
        <f>结果表!D125</f>
        <v>#VALUE!</v>
      </c>
      <c r="E11" s="3394"/>
      <c r="F11" s="3394"/>
      <c r="G11" s="3394"/>
      <c r="H11" s="3394"/>
      <c r="I11" s="3394"/>
    </row>
    <row r="12" spans="1:9" ht="15.75">
      <c r="A12" s="3395" t="str">
        <f>结果表!A126</f>
        <v/>
      </c>
      <c r="B12" s="3395"/>
      <c r="C12" s="3395"/>
      <c r="D12" s="3396" t="str">
        <f>结果表!D126</f>
        <v>——</v>
      </c>
      <c r="E12" s="3396"/>
      <c r="F12" s="3396"/>
      <c r="G12" s="3396"/>
      <c r="H12" s="3396"/>
      <c r="I12" s="3396"/>
    </row>
    <row r="13" spans="1:9" ht="15" thickBot="1">
      <c r="A13" s="3400" t="s">
        <v>9</v>
      </c>
      <c r="B13" s="3400"/>
      <c r="C13" s="3400"/>
      <c r="D13" s="3401" t="e">
        <f>结果表!D127</f>
        <v>#VALUE!</v>
      </c>
      <c r="E13" s="3401"/>
      <c r="F13" s="3401"/>
      <c r="G13" s="3401"/>
      <c r="H13" s="3401"/>
      <c r="I13" s="3401"/>
    </row>
    <row r="14" spans="1:9" ht="14.25" thickTop="1">
      <c r="A14" s="3402" t="s">
        <v>2043</v>
      </c>
      <c r="B14" s="3402"/>
      <c r="C14" s="3402"/>
      <c r="D14" s="3402"/>
      <c r="E14" s="3402"/>
      <c r="F14" s="3402"/>
      <c r="G14" s="3402"/>
      <c r="H14" s="3402"/>
      <c r="I14" s="3402"/>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3" t="s">
        <v>2854</v>
      </c>
      <c r="B1" s="3403"/>
      <c r="C1" s="3403"/>
      <c r="D1" s="3403"/>
    </row>
    <row r="2" spans="1:4" ht="18.75">
      <c r="A2" s="3404" t="s">
        <v>2114</v>
      </c>
      <c r="B2" s="3404"/>
      <c r="C2" s="3404"/>
      <c r="D2" s="3404"/>
    </row>
    <row r="3" spans="1:4" ht="18.75">
      <c r="A3" s="2610" t="s">
        <v>2115</v>
      </c>
      <c r="B3" s="2610" t="s">
        <v>2116</v>
      </c>
      <c r="C3" s="2610" t="s">
        <v>2117</v>
      </c>
      <c r="D3" s="2610" t="s">
        <v>2118</v>
      </c>
    </row>
    <row r="4" spans="1:4" ht="56.25" customHeight="1">
      <c r="A4" s="2616" t="str">
        <f>项目基本情况!B4</f>
        <v>王鹏</v>
      </c>
      <c r="B4" s="2611">
        <f ca="1">项目基本情况!C4</f>
        <v>1120050019</v>
      </c>
      <c r="C4" s="2614"/>
      <c r="D4" s="2612" t="s">
        <v>2119</v>
      </c>
    </row>
    <row r="5" spans="1:4" ht="56.25" customHeight="1">
      <c r="A5" s="2616" t="str">
        <f>项目基本情况!D4</f>
        <v>郑燚</v>
      </c>
      <c r="B5" s="2611">
        <f ca="1">项目基本情况!E4</f>
        <v>1120070131</v>
      </c>
      <c r="C5" s="2615"/>
      <c r="D5" s="2612" t="s">
        <v>2119</v>
      </c>
    </row>
    <row r="6" spans="1:4" ht="18.75">
      <c r="A6" s="3404" t="s">
        <v>2616</v>
      </c>
      <c r="B6" s="3404"/>
      <c r="C6" s="3404"/>
      <c r="D6" s="3404"/>
    </row>
    <row r="7" spans="1:4" ht="18.75">
      <c r="A7" s="2610" t="s">
        <v>2115</v>
      </c>
      <c r="B7" s="2611" t="s">
        <v>2120</v>
      </c>
      <c r="C7" s="2610" t="s">
        <v>2117</v>
      </c>
      <c r="D7" s="2610" t="s">
        <v>2118</v>
      </c>
    </row>
    <row r="8" spans="1:4" ht="56.25" customHeight="1">
      <c r="A8" s="2613" t="s">
        <v>2121</v>
      </c>
      <c r="B8" s="2613" t="s">
        <v>23</v>
      </c>
      <c r="C8" s="2614"/>
      <c r="D8" s="2612" t="s">
        <v>2119</v>
      </c>
    </row>
    <row r="9" spans="1:4">
      <c r="A9" s="1495"/>
      <c r="B9" s="1495"/>
      <c r="C9" s="1495"/>
      <c r="D9" s="1495"/>
    </row>
    <row r="10" spans="1:4" ht="18.75">
      <c r="A10" s="2093" t="s">
        <v>2122</v>
      </c>
      <c r="B10" s="1495"/>
      <c r="C10" s="1495"/>
      <c r="D10" s="1495"/>
    </row>
    <row r="11" spans="1:4" ht="30" customHeight="1">
      <c r="A11" s="3405" t="s">
        <v>2709</v>
      </c>
      <c r="B11" s="3406"/>
      <c r="C11" s="3406"/>
      <c r="D11" s="3406"/>
    </row>
    <row r="12" spans="1:4" ht="14.25">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spans="1:4" ht="30" customHeight="1">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6" t="str">
        <f>IF(项目基本情况!B8="抵押","4.本次评估估价师所知悉的法定优先受偿款情况说明如下：","——")</f>
        <v>4.本次评估估价师所知悉的法定优先受偿款情况说明如下：</v>
      </c>
      <c r="B14" s="3407"/>
      <c r="C14" s="3407"/>
      <c r="D14" s="3407"/>
    </row>
    <row r="15" spans="1:4" ht="42" customHeight="1">
      <c r="A15" s="34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6"/>
      <c r="C15" s="3406"/>
      <c r="D15" s="3406"/>
    </row>
    <row r="16" spans="1:4" ht="30" customHeight="1">
      <c r="A16" s="3409" t="s">
        <v>2126</v>
      </c>
      <c r="B16" s="3409"/>
      <c r="C16" s="3409"/>
      <c r="D16" s="3409"/>
    </row>
    <row r="17" spans="1:4" ht="144" customHeight="1">
      <c r="A17" s="3409" t="s">
        <v>2127</v>
      </c>
      <c r="B17" s="3409"/>
      <c r="C17" s="3409"/>
      <c r="D17" s="3409"/>
    </row>
    <row r="18" spans="1:4" ht="15.75" customHeight="1">
      <c r="A18" s="3406" t="str">
        <f>IF(项目基本情况!B8="抵押",结果表!K120,"——")</f>
        <v>故，本次评估不存在估价师知悉的法定优先受偿款</v>
      </c>
      <c r="B18" s="3406"/>
      <c r="C18" s="3406"/>
      <c r="D18" s="3406"/>
    </row>
    <row r="19" spans="1:4" ht="46.5" customHeight="1">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57.75" customHeight="1">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spans="1:4" ht="57.75" customHeight="1">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0"/>
      <c r="C21" s="3410"/>
      <c r="D21" s="3410"/>
    </row>
    <row r="22" spans="1:4" ht="18.75" customHeight="1">
      <c r="A22" s="3411" t="s">
        <v>2875</v>
      </c>
      <c r="B22" s="3411"/>
      <c r="C22" s="3411"/>
      <c r="D22" s="3411"/>
    </row>
    <row r="23" spans="1:4">
      <c r="A23" s="1983"/>
      <c r="B23" s="1992"/>
      <c r="C23" s="1992"/>
      <c r="D23" s="1992"/>
    </row>
    <row r="24" spans="1:4">
      <c r="A24" s="1983"/>
      <c r="B24" s="1992"/>
      <c r="C24" s="1992"/>
      <c r="D24" s="1992"/>
    </row>
    <row r="25" spans="1:4" ht="18.75">
      <c r="A25" s="1981" t="s">
        <v>2123</v>
      </c>
    </row>
    <row r="26" spans="1:4" ht="18.75">
      <c r="A26" s="1953"/>
    </row>
    <row r="27" spans="1:4" ht="18.75">
      <c r="A27" s="1953" t="s">
        <v>2124</v>
      </c>
    </row>
    <row r="30" spans="1:4" ht="18.75">
      <c r="D30" s="1981" t="s">
        <v>2125</v>
      </c>
    </row>
    <row r="31" spans="1:4" ht="13.5" customHeight="1">
      <c r="C31" s="3408">
        <v>42551</v>
      </c>
      <c r="D31" s="340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2130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1134</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17" t="s">
        <v>555</v>
      </c>
      <c r="B15" s="3412" t="s">
        <v>1135</v>
      </c>
      <c r="C15" s="3413"/>
    </row>
    <row r="16" spans="1:7" ht="13.5">
      <c r="A16" s="3418"/>
      <c r="B16" s="3412" t="s">
        <v>528</v>
      </c>
      <c r="C16" s="3413"/>
    </row>
    <row r="17" spans="1:3" ht="13.5">
      <c r="A17" s="3418"/>
      <c r="B17" s="3415" t="s">
        <v>556</v>
      </c>
      <c r="C17" s="1148" t="s">
        <v>555</v>
      </c>
    </row>
    <row r="18" spans="1:3" ht="13.5">
      <c r="A18" s="3418"/>
      <c r="B18" s="3415"/>
      <c r="C18" s="1148" t="s">
        <v>557</v>
      </c>
    </row>
    <row r="19" spans="1:3" ht="13.5">
      <c r="A19" s="3418"/>
      <c r="B19" s="3415"/>
      <c r="C19" s="1148" t="s">
        <v>558</v>
      </c>
    </row>
    <row r="20" spans="1:3" ht="13.5">
      <c r="A20" s="3419"/>
      <c r="B20" s="3414" t="s">
        <v>559</v>
      </c>
      <c r="C20" s="3413"/>
    </row>
    <row r="21" spans="1:3" ht="13.5">
      <c r="A21" s="1149" t="s">
        <v>560</v>
      </c>
      <c r="B21" s="1150"/>
      <c r="C21" s="1151"/>
    </row>
    <row r="22" spans="1:3" ht="13.5">
      <c r="A22" s="3416" t="s">
        <v>561</v>
      </c>
      <c r="B22" s="3414" t="s">
        <v>562</v>
      </c>
      <c r="C22" s="3413"/>
    </row>
    <row r="23" spans="1:3" ht="13.5">
      <c r="A23" s="3416"/>
      <c r="B23" s="3414" t="s">
        <v>563</v>
      </c>
      <c r="C23" s="3413"/>
    </row>
    <row r="24" spans="1:3" ht="13.5">
      <c r="A24" s="3416"/>
      <c r="B24" s="3414" t="s">
        <v>564</v>
      </c>
      <c r="C24" s="3413"/>
    </row>
    <row r="25" spans="1:3" ht="13.5">
      <c r="A25" s="3416"/>
      <c r="B25" s="3415" t="s">
        <v>565</v>
      </c>
      <c r="C25" s="1148" t="s">
        <v>566</v>
      </c>
    </row>
    <row r="26" spans="1:3" ht="13.5">
      <c r="A26" s="3416"/>
      <c r="B26" s="3415"/>
      <c r="C26" s="1148" t="s">
        <v>567</v>
      </c>
    </row>
    <row r="27" spans="1:3" ht="13.5">
      <c r="A27" s="3416"/>
      <c r="B27" s="3415"/>
      <c r="C27" s="1148" t="s">
        <v>568</v>
      </c>
    </row>
    <row r="28" spans="1:3" ht="13.5">
      <c r="A28" s="3416"/>
      <c r="B28" s="3415"/>
      <c r="C28" s="1148" t="s">
        <v>569</v>
      </c>
    </row>
    <row r="29" spans="1:3" ht="13.5">
      <c r="A29" s="3416"/>
      <c r="B29" s="3415"/>
      <c r="C29" s="1148" t="s">
        <v>570</v>
      </c>
    </row>
    <row r="30" spans="1:3" ht="13.5">
      <c r="A30" s="3416"/>
      <c r="B30" s="3415"/>
      <c r="C30" s="1148" t="s">
        <v>571</v>
      </c>
    </row>
    <row r="31" spans="1:3" ht="13.5">
      <c r="A31" s="3416"/>
      <c r="B31" s="3415"/>
      <c r="C31" s="1148" t="s">
        <v>572</v>
      </c>
    </row>
    <row r="32" spans="1:3" ht="13.5">
      <c r="A32" s="3416"/>
      <c r="B32" s="3415"/>
      <c r="C32" s="1148" t="s">
        <v>573</v>
      </c>
    </row>
    <row r="33" spans="1:3" ht="13.5">
      <c r="A33" s="3416"/>
      <c r="B33" s="3415"/>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43000</v>
      </c>
      <c r="C2" s="1891" t="s">
        <v>1970</v>
      </c>
      <c r="D2" s="1891"/>
    </row>
    <row r="3" spans="1:6" ht="24" customHeight="1">
      <c r="A3" s="1892" t="s">
        <v>1971</v>
      </c>
      <c r="B3" s="1893" t="s">
        <v>1972</v>
      </c>
      <c r="C3" s="1893" t="s">
        <v>1973</v>
      </c>
      <c r="D3" s="1894" t="s">
        <v>1974</v>
      </c>
      <c r="E3" s="1895" t="s">
        <v>1975</v>
      </c>
      <c r="F3" s="1893" t="s">
        <v>1973</v>
      </c>
    </row>
    <row r="4" spans="1:6" ht="24" customHeight="1">
      <c r="A4" s="3202" t="s">
        <v>1976</v>
      </c>
      <c r="B4" s="1895">
        <f ca="1">IF(C4&lt;B2,"已过期",1119970066)</f>
        <v>1119970066</v>
      </c>
      <c r="C4" s="3203">
        <v>43849</v>
      </c>
      <c r="D4" s="3202" t="s">
        <v>1976</v>
      </c>
      <c r="E4" s="1895">
        <f ca="1">IF(F4&lt;B2,"已过期",96010014)</f>
        <v>96010014</v>
      </c>
      <c r="F4" s="1904">
        <v>47118</v>
      </c>
    </row>
    <row r="5" spans="1:6" ht="24" customHeight="1">
      <c r="A5" s="3202" t="s">
        <v>1977</v>
      </c>
      <c r="B5" s="1895">
        <f ca="1">IF(C5&lt;B2,"已过期",1119970074)</f>
        <v>1119970074</v>
      </c>
      <c r="C5" s="3203">
        <v>43849</v>
      </c>
      <c r="D5" s="3202" t="s">
        <v>1977</v>
      </c>
      <c r="E5" s="1895">
        <f ca="1">IF(F5&lt;B2,"已过期",2002110027)</f>
        <v>2002110027</v>
      </c>
      <c r="F5" s="1904">
        <v>46752</v>
      </c>
    </row>
    <row r="6" spans="1:6" ht="24" customHeight="1">
      <c r="A6" s="3202" t="s">
        <v>1978</v>
      </c>
      <c r="B6" s="1895">
        <f ca="1">IF(C6&lt;B2,"已过期",1119970111)</f>
        <v>1119970111</v>
      </c>
      <c r="C6" s="3203">
        <v>43849</v>
      </c>
      <c r="D6" s="3202" t="s">
        <v>1978</v>
      </c>
      <c r="E6" s="1895">
        <f ca="1">IF(F6&lt;B2,"已过期",94010078)</f>
        <v>94010078</v>
      </c>
      <c r="F6" s="1904">
        <v>46387</v>
      </c>
    </row>
    <row r="7" spans="1:6" ht="24" customHeight="1">
      <c r="A7" s="3202" t="s">
        <v>1979</v>
      </c>
      <c r="B7" s="1895">
        <f ca="1">IF(C7&lt;B2,"已过期",1120050019)</f>
        <v>1120050019</v>
      </c>
      <c r="C7" s="3203">
        <v>43359</v>
      </c>
      <c r="D7" s="3202" t="s">
        <v>1979</v>
      </c>
      <c r="E7" s="1895">
        <f ca="1">IF(F7&lt;B2,"已过期",2002110030)</f>
        <v>2002110030</v>
      </c>
      <c r="F7" s="1904">
        <v>46387</v>
      </c>
    </row>
    <row r="8" spans="1:6" ht="24" customHeight="1">
      <c r="A8" s="3202" t="s">
        <v>1980</v>
      </c>
      <c r="B8" s="1895">
        <f ca="1">IF(C8&lt;B2,"已过期",1120000080)</f>
        <v>1120000080</v>
      </c>
      <c r="C8" s="3203">
        <v>43849</v>
      </c>
      <c r="D8" s="3202" t="s">
        <v>1980</v>
      </c>
      <c r="E8" s="1895">
        <f ca="1">IF(F8&lt;B2,"已过期",2000110082)</f>
        <v>2000110082</v>
      </c>
      <c r="F8" s="1904">
        <v>46387</v>
      </c>
    </row>
    <row r="9" spans="1:6" ht="24" customHeight="1">
      <c r="A9" s="3202" t="s">
        <v>1981</v>
      </c>
      <c r="B9" s="1895">
        <f ca="1">IF(C9&lt;B2,"已过期",1419970001)</f>
        <v>1419970001</v>
      </c>
      <c r="C9" s="3203">
        <v>43867</v>
      </c>
      <c r="D9" s="3202" t="s">
        <v>1981</v>
      </c>
      <c r="E9" s="1895">
        <f ca="1">IF(F9&lt;B2,"已过期",2002110125)</f>
        <v>2002110125</v>
      </c>
      <c r="F9" s="1904">
        <v>47118</v>
      </c>
    </row>
    <row r="10" spans="1:6" ht="24" customHeight="1">
      <c r="A10" s="3202" t="s">
        <v>1982</v>
      </c>
      <c r="B10" s="1895">
        <f ca="1">IF(C10&lt;B2,"已过期",1120060040)</f>
        <v>1120060040</v>
      </c>
      <c r="C10" s="3203">
        <v>43483</v>
      </c>
      <c r="D10" s="3202" t="s">
        <v>1982</v>
      </c>
      <c r="E10" s="1895">
        <f ca="1">IF(F10&lt;B2,"已过期",2004110096)</f>
        <v>2004110096</v>
      </c>
      <c r="F10" s="1904">
        <v>47118</v>
      </c>
    </row>
    <row r="11" spans="1:6" ht="24" customHeight="1">
      <c r="A11" s="3202" t="s">
        <v>1983</v>
      </c>
      <c r="B11" s="1895">
        <f ca="1">IF(C11&lt;B2,"已过期",1120100036)</f>
        <v>1120100036</v>
      </c>
      <c r="C11" s="3203">
        <v>43622</v>
      </c>
      <c r="D11" s="3202" t="s">
        <v>1983</v>
      </c>
      <c r="E11" s="1895">
        <f ca="1">IF(F11&lt;B2,"已过期",2010110070)</f>
        <v>2010110070</v>
      </c>
      <c r="F11" s="1904">
        <v>47907</v>
      </c>
    </row>
    <row r="12" spans="1:6" ht="24" customHeight="1">
      <c r="A12" s="3202"/>
      <c r="B12" s="1895"/>
      <c r="C12" s="3203"/>
      <c r="D12" s="3202"/>
      <c r="E12" s="1895"/>
      <c r="F12" s="1895"/>
    </row>
    <row r="13" spans="1:6" ht="24" customHeight="1">
      <c r="A13" s="3202" t="s">
        <v>1984</v>
      </c>
      <c r="B13" s="1895">
        <f ca="1">IF(C13&lt;B2,"已过期",1120070131)</f>
        <v>1120070131</v>
      </c>
      <c r="C13" s="3203">
        <v>43814</v>
      </c>
      <c r="D13" s="3202" t="s">
        <v>1984</v>
      </c>
      <c r="E13" s="1895">
        <v>2014110011</v>
      </c>
      <c r="F13" s="1904">
        <v>49302</v>
      </c>
    </row>
    <row r="14" spans="1:6" ht="24" customHeight="1">
      <c r="A14" s="3202" t="s">
        <v>1985</v>
      </c>
      <c r="B14" s="1895">
        <f ca="1">IF(C14&lt;B2,"已过期",1120130020)</f>
        <v>1120130020</v>
      </c>
      <c r="C14" s="3203">
        <v>43622</v>
      </c>
      <c r="D14" s="3202"/>
      <c r="E14" s="1895"/>
      <c r="F14" s="1895"/>
    </row>
    <row r="15" spans="1:6" ht="24" customHeight="1">
      <c r="A15" s="3204" t="s">
        <v>2707</v>
      </c>
      <c r="B15" s="1895">
        <v>1120070085</v>
      </c>
      <c r="C15" s="3203">
        <v>43814</v>
      </c>
      <c r="D15" s="3204" t="s">
        <v>2707</v>
      </c>
      <c r="E15" s="1895">
        <v>2004110128</v>
      </c>
      <c r="F15" s="1896">
        <v>47118</v>
      </c>
    </row>
    <row r="16" spans="1:6" ht="24" customHeight="1">
      <c r="A16" s="3202" t="s">
        <v>1986</v>
      </c>
      <c r="B16" s="1895" t="str">
        <f ca="1">IF(C16&lt;B2,"已过期",1120140022)</f>
        <v>已过期</v>
      </c>
      <c r="C16" s="3203">
        <v>42987</v>
      </c>
      <c r="D16" s="3202" t="s">
        <v>1986</v>
      </c>
      <c r="E16" s="1895">
        <f ca="1">IF(F16&lt;B2,"已过期",2008110059)</f>
        <v>2008110059</v>
      </c>
      <c r="F16" s="1904">
        <v>47177</v>
      </c>
    </row>
    <row r="17" spans="1:7" ht="24" customHeight="1">
      <c r="A17" s="3202" t="s">
        <v>1987</v>
      </c>
      <c r="B17" s="1895" t="str">
        <f ca="1">IF(C17&lt;B2,"已过期",1120140020)</f>
        <v>已过期</v>
      </c>
      <c r="C17" s="3203">
        <v>42987</v>
      </c>
      <c r="D17" s="3202"/>
      <c r="E17" s="1895"/>
      <c r="F17" s="1904"/>
    </row>
    <row r="18" spans="1:7" ht="24" customHeight="1">
      <c r="A18" s="3202" t="s">
        <v>1988</v>
      </c>
      <c r="B18" s="1895" t="str">
        <f ca="1">IF(C18&lt;B2,"已过期",1120140024)</f>
        <v>已过期</v>
      </c>
      <c r="C18" s="3203">
        <v>42987</v>
      </c>
      <c r="D18" s="3202" t="s">
        <v>1988</v>
      </c>
      <c r="E18" s="1895">
        <f ca="1">IF(F18&lt;B2,"已过期",2011110048)</f>
        <v>2011110048</v>
      </c>
      <c r="F18" s="1904">
        <v>48302</v>
      </c>
    </row>
    <row r="19" spans="1:7" ht="24" customHeight="1">
      <c r="A19" s="3202" t="s">
        <v>1989</v>
      </c>
      <c r="B19" s="1895" t="str">
        <f ca="1">IF(C19&lt;B2,"已过期",1120140019)</f>
        <v>已过期</v>
      </c>
      <c r="C19" s="3203">
        <v>42987</v>
      </c>
      <c r="D19" s="3202"/>
      <c r="E19" s="1895"/>
      <c r="F19" s="1895"/>
    </row>
    <row r="20" spans="1:7" ht="24" customHeight="1">
      <c r="A20" s="3202" t="s">
        <v>1990</v>
      </c>
      <c r="B20" s="1895" t="str">
        <f ca="1">IF(C20&lt;B2,"已过期",1120140023)</f>
        <v>已过期</v>
      </c>
      <c r="C20" s="3203">
        <v>42987</v>
      </c>
      <c r="D20" s="3202"/>
      <c r="E20" s="1895"/>
      <c r="F20" s="1895"/>
    </row>
    <row r="21" spans="1:7" ht="24" customHeight="1">
      <c r="A21" s="3202"/>
      <c r="B21" s="1895"/>
      <c r="C21" s="3203"/>
      <c r="D21" s="3202" t="s">
        <v>1991</v>
      </c>
      <c r="E21" s="1895">
        <f ca="1">IF(F21&lt;B2,"已过期",2011110090)</f>
        <v>2011110090</v>
      </c>
      <c r="F21" s="1904">
        <v>48302</v>
      </c>
    </row>
    <row r="22" spans="1:7" ht="24" customHeight="1">
      <c r="A22" s="3202" t="s">
        <v>1992</v>
      </c>
      <c r="B22" s="1895">
        <f ca="1">IF(C22&lt;B2,"已过期",1120020033)</f>
        <v>1120020033</v>
      </c>
      <c r="C22" s="3203">
        <v>43304</v>
      </c>
      <c r="D22" s="3202" t="s">
        <v>1992</v>
      </c>
      <c r="E22" s="1895">
        <f ca="1">IF(F22&lt;B2,"已过期",2000110137)</f>
        <v>2000110137</v>
      </c>
      <c r="F22" s="1904">
        <v>46387</v>
      </c>
    </row>
    <row r="23" spans="1:7" ht="24" customHeight="1">
      <c r="A23" s="3202" t="s">
        <v>1993</v>
      </c>
      <c r="B23" s="1895">
        <f ca="1">IF(C23&lt;B2,"已过期",1120130048)</f>
        <v>1120130048</v>
      </c>
      <c r="C23" s="3203">
        <v>43686</v>
      </c>
      <c r="D23" s="3202"/>
      <c r="E23" s="1895"/>
      <c r="F23" s="1895"/>
    </row>
    <row r="24" spans="1:7" s="1897" customFormat="1" ht="24" customHeight="1">
      <c r="A24" s="3204" t="s">
        <v>2941</v>
      </c>
      <c r="B24" s="3204" t="s">
        <v>2941</v>
      </c>
      <c r="C24" s="3204" t="s">
        <v>2941</v>
      </c>
      <c r="D24" s="3204" t="s">
        <v>2941</v>
      </c>
      <c r="E24" s="3204" t="s">
        <v>2941</v>
      </c>
      <c r="F24" s="3204" t="s">
        <v>2941</v>
      </c>
    </row>
    <row r="25" spans="1:7" ht="24" customHeight="1">
      <c r="A25" s="3420" t="s">
        <v>1994</v>
      </c>
      <c r="B25" s="3420"/>
      <c r="C25" s="3420"/>
      <c r="D25" s="3420"/>
      <c r="E25" s="3420"/>
      <c r="F25" s="3420"/>
      <c r="G25" s="3420"/>
    </row>
    <row r="26" spans="1:7" s="1899" customFormat="1" ht="24" customHeight="1">
      <c r="A26" s="3421" t="s">
        <v>1995</v>
      </c>
      <c r="B26" s="3421"/>
      <c r="C26" s="3421"/>
      <c r="D26" s="1898"/>
      <c r="E26" s="3421" t="s">
        <v>1996</v>
      </c>
      <c r="F26" s="3421"/>
      <c r="G26" s="3421"/>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8" t="s">
        <v>3053</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19" priority="55">
      <formula>AND($C28-TODAY()&lt;30,TODAY()&lt;$C28)</formula>
    </cfRule>
  </conditionalFormatting>
  <conditionalFormatting sqref="C28:D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G28">
    <cfRule type="expression" dxfId="183" priority="12">
      <formula>AND($F28-TODAY()&lt;30,TODAY()&lt;$F28)</formula>
    </cfRule>
  </conditionalFormatting>
  <conditionalFormatting sqref="G28">
    <cfRule type="cellIs" dxfId="182" priority="13" stopIfTrue="1" operator="lessThan">
      <formula>$B$2</formula>
    </cfRule>
  </conditionalFormatting>
  <conditionalFormatting sqref="G29">
    <cfRule type="expression" dxfId="181" priority="8" stopIfTrue="1">
      <formula>AND($F29-TODAY()&lt;30,TODAY()&lt;$F29)</formula>
    </cfRule>
  </conditionalFormatting>
  <conditionalFormatting sqref="G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169</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假设开发法</vt:lpstr>
      <vt:lpstr>收益法</vt:lpstr>
      <vt:lpstr>收益法 (元)</vt:lpstr>
      <vt:lpstr>收益法（汇总）</vt:lpstr>
      <vt:lpstr>酒店收入计算</vt:lpstr>
      <vt:lpstr>比较法-洋房</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'比较法-高层'!Print_Area</vt:lpstr>
      <vt:lpstr>'比较法-小高层'!Print_Area</vt:lpstr>
      <vt:lpstr>'比较法-洋房'!Print_Area</vt:lpstr>
      <vt:lpstr>成本法!Print_Area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'比较法-洋房'!住宅朝向</vt:lpstr>
      <vt:lpstr>住宅朝向</vt:lpstr>
      <vt:lpstr>'比较法-小高层'!住宅房型</vt:lpstr>
      <vt:lpstr>'比较法-洋房'!住宅房型</vt:lpstr>
      <vt:lpstr>住宅房型</vt:lpstr>
      <vt:lpstr>'比较法-小高层'!住宅公共部分装修</vt:lpstr>
      <vt:lpstr>'比较法-洋房'!住宅公共部分装修</vt:lpstr>
      <vt:lpstr>住宅公共部分装修</vt:lpstr>
      <vt:lpstr>'比较法-小高层'!住宅基础设施水平</vt:lpstr>
      <vt:lpstr>'比较法-洋房'!住宅基础设施水平</vt:lpstr>
      <vt:lpstr>住宅基础设施水平</vt:lpstr>
      <vt:lpstr>'比较法-小高层'!住宅建筑结构</vt:lpstr>
      <vt:lpstr>'比较法-洋房'!住宅建筑结构</vt:lpstr>
      <vt:lpstr>住宅建筑结构</vt:lpstr>
      <vt:lpstr>'比较法-小高层'!住宅建筑类型</vt:lpstr>
      <vt:lpstr>'比较法-洋房'!住宅建筑类型</vt:lpstr>
      <vt:lpstr>住宅建筑类型</vt:lpstr>
      <vt:lpstr>'比较法-小高层'!住宅建筑品质</vt:lpstr>
      <vt:lpstr>'比较法-洋房'!住宅建筑品质</vt:lpstr>
      <vt:lpstr>住宅建筑品质</vt:lpstr>
      <vt:lpstr>'比较法-小高层'!住宅交易情况</vt:lpstr>
      <vt:lpstr>'比较法-洋房'!住宅交易情况</vt:lpstr>
      <vt:lpstr>住宅交易情况</vt:lpstr>
      <vt:lpstr>'比较法-小高层'!住宅楼层</vt:lpstr>
      <vt:lpstr>'比较法-洋房'!住宅楼层</vt:lpstr>
      <vt:lpstr>住宅楼层</vt:lpstr>
      <vt:lpstr>'比较法-小高层'!住宅内部装修</vt:lpstr>
      <vt:lpstr>'比较法-洋房'!住宅内部装修</vt:lpstr>
      <vt:lpstr>住宅内部装修</vt:lpstr>
      <vt:lpstr>'比较法-小高层'!住宅物业管理</vt:lpstr>
      <vt:lpstr>'比较法-洋房'!住宅物业管理</vt:lpstr>
      <vt:lpstr>住宅物业管理</vt:lpstr>
      <vt:lpstr>'比较法-小高层'!住宅用途</vt:lpstr>
      <vt:lpstr>'比较法-洋房'!住宅用途</vt:lpstr>
      <vt:lpstr>住宅用途</vt:lpstr>
      <vt:lpstr>'比较法-小高层'!住宅主力户型面积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2017-09-14T10:58:52Z</cp:lastPrinted>
  <dcterms:created xsi:type="dcterms:W3CDTF">2015-07-13T07:17:23Z</dcterms:created>
  <dcterms:modified xsi:type="dcterms:W3CDTF">2017-09-22T09:13:38Z</dcterms:modified>
</cp:coreProperties>
</file>