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原本土地信息" sheetId="68" r:id="rId13"/>
    <sheet name="面积指标" sheetId="69" r:id="rId14"/>
    <sheet name="面积指标最新版" sheetId="71" r:id="rId15"/>
    <sheet name="综合考虑后规划指标（测算用）" sheetId="72" r:id="rId16"/>
    <sheet name="数据-汇总表" sheetId="6" r:id="rId17"/>
    <sheet name="数据-取费表" sheetId="1" r:id="rId18"/>
    <sheet name="估价对象房地状况" sheetId="20" state="hidden" r:id="rId19"/>
    <sheet name="系统读取表" sheetId="66" r:id="rId20"/>
    <sheet name="结果表" sheetId="9" r:id="rId21"/>
    <sheet name="典型户型修正" sheetId="31" r:id="rId22"/>
    <sheet name="比较法-住宅、综合" sheetId="39" r:id="rId23"/>
    <sheet name="土地案例" sheetId="70" r:id="rId24"/>
    <sheet name="剩余法-待开发" sheetId="12"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不动产收益法" sheetId="15" state="hidden" r:id="rId36"/>
    <sheet name="酒店收入计算" sheetId="57" state="hidden" r:id="rId37"/>
    <sheet name="成本逼近法" sheetId="11" state="hidden" r:id="rId38"/>
    <sheet name="不动产比较法-住宅" sheetId="21"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存贷款利率" sheetId="65" state="hidden" r:id="rId45"/>
  </sheets>
  <externalReferences>
    <externalReference r:id="rId46"/>
    <externalReference r:id="rId47"/>
  </externalReferences>
  <definedNames>
    <definedName name="_xlnm._FilterDatabase" localSheetId="26" hidden="1">'比较法-工业'!$A$1:$L$45</definedName>
    <definedName name="_xlnm._FilterDatabase" localSheetId="22"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7" i="66" l="1"/>
  <c r="B17" i="66"/>
  <c r="D17" i="66" l="1"/>
  <c r="C16" i="66" l="1"/>
  <c r="B16" i="66"/>
  <c r="B15" i="66" l="1"/>
  <c r="C15" i="66"/>
  <c r="B25" i="31" l="1"/>
  <c r="B24" i="31"/>
  <c r="A25" i="31"/>
  <c r="A24" i="31"/>
  <c r="C11" i="21"/>
  <c r="C13" i="39"/>
  <c r="I13" i="3"/>
  <c r="A3" i="3"/>
  <c r="L25" i="71"/>
  <c r="Q25" i="71"/>
  <c r="G25" i="71"/>
  <c r="F25" i="71"/>
  <c r="E25" i="71"/>
  <c r="B25" i="71"/>
  <c r="A25" i="71"/>
  <c r="G24" i="71"/>
  <c r="F24" i="71"/>
  <c r="E24" i="71"/>
  <c r="B24" i="71"/>
  <c r="A24" i="71"/>
  <c r="G23" i="71"/>
  <c r="F23" i="71"/>
  <c r="E23" i="71"/>
  <c r="C23" i="71"/>
  <c r="B23" i="71"/>
  <c r="A23" i="71"/>
  <c r="G22" i="71"/>
  <c r="L22" i="71"/>
  <c r="E22" i="71"/>
  <c r="F22" i="71"/>
  <c r="F21" i="71"/>
  <c r="A22" i="71"/>
  <c r="Q17" i="71" l="1"/>
  <c r="Q15" i="71"/>
  <c r="Q12" i="71"/>
  <c r="R4" i="71"/>
  <c r="P19" i="71" l="1"/>
  <c r="E19" i="71"/>
  <c r="G17" i="71"/>
  <c r="G15" i="71"/>
  <c r="G14" i="71"/>
  <c r="G13" i="71"/>
  <c r="G12" i="71"/>
  <c r="G11" i="71"/>
  <c r="G9" i="71"/>
  <c r="G8" i="71"/>
  <c r="G6" i="71"/>
  <c r="G5" i="71"/>
  <c r="G4" i="71"/>
  <c r="G19" i="71" l="1"/>
  <c r="I47" i="21" l="1"/>
  <c r="G47" i="21"/>
  <c r="E47" i="21"/>
  <c r="F6" i="69" l="1"/>
  <c r="D4" i="31" l="1"/>
  <c r="E4" i="31"/>
  <c r="F4" i="31"/>
  <c r="G4" i="31"/>
  <c r="H4" i="31"/>
  <c r="I4" i="31"/>
  <c r="J4" i="31"/>
  <c r="K4" i="31"/>
  <c r="C4" i="31"/>
  <c r="D3" i="31"/>
  <c r="E3" i="31"/>
  <c r="F3" i="31"/>
  <c r="G3" i="31"/>
  <c r="H3" i="31"/>
  <c r="I3" i="31"/>
  <c r="J3" i="31"/>
  <c r="K3" i="31"/>
  <c r="L3" i="31"/>
  <c r="C3" i="31"/>
  <c r="C7" i="39" l="1"/>
  <c r="C19" i="6"/>
  <c r="G10" i="69"/>
  <c r="F10" i="69" s="1"/>
  <c r="E10" i="69"/>
  <c r="G9" i="69"/>
  <c r="G8" i="69"/>
  <c r="G7" i="69"/>
  <c r="G5" i="69"/>
  <c r="G3" i="69"/>
  <c r="G4" i="69"/>
  <c r="G2" i="69"/>
  <c r="B3" i="4"/>
  <c r="F19" i="6" l="1"/>
  <c r="C23" i="68"/>
  <c r="C21" i="68"/>
  <c r="C14" i="68"/>
  <c r="C13" i="68"/>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c r="D10" i="59"/>
  <c r="AH8" i="59"/>
  <c r="AG8" i="59"/>
  <c r="AE8" i="59"/>
  <c r="AF8" i="59" s="1"/>
  <c r="AD8" i="59"/>
  <c r="AE9" i="59"/>
  <c r="AF9" i="59"/>
  <c r="AG9" i="59"/>
  <c r="AH9" i="59"/>
  <c r="AD9" i="59"/>
  <c r="Q9" i="59"/>
  <c r="P9" i="59"/>
  <c r="O9" i="59"/>
  <c r="N9" i="59"/>
  <c r="N10" i="59"/>
  <c r="Q10" i="59"/>
  <c r="P10" i="59"/>
  <c r="O10" i="59"/>
  <c r="K59" i="15"/>
  <c r="P62" i="15"/>
  <c r="P75" i="15"/>
  <c r="Q74" i="44"/>
  <c r="Q61" i="44"/>
  <c r="Q60" i="44"/>
  <c r="Q53" i="44"/>
  <c r="J51" i="44"/>
  <c r="J52" i="44" s="1"/>
  <c r="M48" i="44"/>
  <c r="A16" i="55"/>
  <c r="B67" i="63" s="1"/>
  <c r="A15" i="55"/>
  <c r="A14" i="55"/>
  <c r="A11" i="55"/>
  <c r="A10" i="55"/>
  <c r="A9" i="55"/>
  <c r="A8" i="55"/>
  <c r="A6" i="54"/>
  <c r="A8" i="54"/>
  <c r="B53" i="63" s="1"/>
  <c r="A7" i="54"/>
  <c r="A27" i="51"/>
  <c r="Q11" i="59"/>
  <c r="O11" i="59"/>
  <c r="N12" i="59"/>
  <c r="O12" i="59"/>
  <c r="P12" i="59"/>
  <c r="Q12" i="59"/>
  <c r="N11" i="59"/>
  <c r="P11" i="59"/>
  <c r="K75" i="9"/>
  <c r="K6" i="4"/>
  <c r="O76" i="9" s="1"/>
  <c r="L76" i="9"/>
  <c r="B22" i="31"/>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1" i="63"/>
  <c r="A46" i="9"/>
  <c r="K41" i="9" s="1"/>
  <c r="B8" i="63"/>
  <c r="A21" i="55"/>
  <c r="B71" i="63"/>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s="1"/>
  <c r="E5" i="54"/>
  <c r="B32" i="63"/>
  <c r="R2" i="54"/>
  <c r="B24" i="63"/>
  <c r="B49" i="50"/>
  <c r="B5" i="63" s="1"/>
  <c r="B40" i="50"/>
  <c r="B3" i="63" s="1"/>
  <c r="N4" i="63"/>
  <c r="I19" i="46"/>
  <c r="Q13" i="59"/>
  <c r="P13" i="59"/>
  <c r="E13" i="59" s="1"/>
  <c r="O13" i="59"/>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c r="E36" i="59" s="1"/>
  <c r="E37" i="59" s="1"/>
  <c r="U37" i="59" s="1"/>
  <c r="O34" i="59"/>
  <c r="C35" i="59"/>
  <c r="D35" i="59" s="1"/>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C32" i="59" s="1"/>
  <c r="D32" i="59" s="1"/>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c r="Z24" i="59" s="1"/>
  <c r="N24" i="59"/>
  <c r="X24" i="59" s="1"/>
  <c r="Q23" i="59"/>
  <c r="AB23" i="59" s="1"/>
  <c r="P23" i="59"/>
  <c r="O23" i="59"/>
  <c r="Y23" i="59" s="1"/>
  <c r="Z23" i="59" s="1"/>
  <c r="N23" i="59"/>
  <c r="Q22" i="59"/>
  <c r="AB22" i="59" s="1"/>
  <c r="P22" i="59"/>
  <c r="AA22" i="59" s="1"/>
  <c r="O22" i="59"/>
  <c r="Y22" i="59" s="1"/>
  <c r="Z22" i="59" s="1"/>
  <c r="C23" i="59"/>
  <c r="C24" i="59" s="1"/>
  <c r="C25" i="59" s="1"/>
  <c r="T25" i="59" s="1"/>
  <c r="N22" i="59"/>
  <c r="B23" i="59"/>
  <c r="B24" i="59" s="1"/>
  <c r="B25" i="59" s="1"/>
  <c r="S25" i="59" s="1"/>
  <c r="D22" i="59"/>
  <c r="Q21" i="59"/>
  <c r="AB21" i="59" s="1"/>
  <c r="P21" i="59"/>
  <c r="AA21" i="59" s="1"/>
  <c r="O21" i="59"/>
  <c r="N21" i="59"/>
  <c r="X21" i="59" s="1"/>
  <c r="Q20" i="59"/>
  <c r="P20" i="59"/>
  <c r="AA20" i="59" s="1"/>
  <c r="O20" i="59"/>
  <c r="Y20" i="59" s="1"/>
  <c r="Z20" i="59" s="1"/>
  <c r="N20" i="59"/>
  <c r="X20" i="59" s="1"/>
  <c r="Q19" i="59"/>
  <c r="AB19" i="59" s="1"/>
  <c r="P19" i="59"/>
  <c r="AA19" i="59" s="1"/>
  <c r="O19" i="59"/>
  <c r="N19" i="59"/>
  <c r="X19" i="59" s="1"/>
  <c r="Q18" i="59"/>
  <c r="F19" i="59"/>
  <c r="P18" i="59"/>
  <c r="AA18" i="59" s="1"/>
  <c r="E19" i="59"/>
  <c r="E20" i="59" s="1"/>
  <c r="E21" i="59" s="1"/>
  <c r="U21" i="59" s="1"/>
  <c r="O18" i="59"/>
  <c r="Y18" i="59" s="1"/>
  <c r="Z18" i="59" s="1"/>
  <c r="N18" i="59"/>
  <c r="X18" i="59" s="1"/>
  <c r="D18" i="59"/>
  <c r="Q17" i="59"/>
  <c r="AB17" i="59" s="1"/>
  <c r="P17" i="59"/>
  <c r="O17" i="59"/>
  <c r="Y17" i="59" s="1"/>
  <c r="Z17" i="59" s="1"/>
  <c r="N17" i="59"/>
  <c r="X17" i="59" s="1"/>
  <c r="Q16" i="59"/>
  <c r="AB16" i="59" s="1"/>
  <c r="P16" i="59"/>
  <c r="AA16" i="59" s="1"/>
  <c r="O16" i="59"/>
  <c r="Y16" i="59" s="1"/>
  <c r="Z16" i="59" s="1"/>
  <c r="N16" i="59"/>
  <c r="Q15" i="59"/>
  <c r="AB15" i="59" s="1"/>
  <c r="P15" i="59"/>
  <c r="O15" i="59"/>
  <c r="Y15" i="59" s="1"/>
  <c r="Z15" i="59" s="1"/>
  <c r="N15" i="59"/>
  <c r="X15" i="59" s="1"/>
  <c r="Q14" i="59"/>
  <c r="AB14" i="59" s="1"/>
  <c r="P14" i="59"/>
  <c r="AA14" i="59" s="1"/>
  <c r="O14" i="59"/>
  <c r="C15" i="59"/>
  <c r="C16" i="59" s="1"/>
  <c r="C17" i="59" s="1"/>
  <c r="T17" i="59" s="1"/>
  <c r="N14" i="59"/>
  <c r="B15" i="59"/>
  <c r="B16" i="59" s="1"/>
  <c r="B17" i="59" s="1"/>
  <c r="S17" i="59" s="1"/>
  <c r="D14" i="59"/>
  <c r="X3" i="59"/>
  <c r="X11" i="59"/>
  <c r="X13" i="59"/>
  <c r="AA10" i="59"/>
  <c r="AA12" i="59"/>
  <c r="Y10" i="59"/>
  <c r="Z10" i="59" s="1"/>
  <c r="Y11" i="59"/>
  <c r="Z11" i="59" s="1"/>
  <c r="Y12" i="59"/>
  <c r="Z12" i="59" s="1"/>
  <c r="Y13" i="59"/>
  <c r="Z13" i="59" s="1"/>
  <c r="Y3" i="59"/>
  <c r="Z3" i="59" s="1"/>
  <c r="AB13" i="59"/>
  <c r="AB10" i="59"/>
  <c r="AB12" i="59"/>
  <c r="E15" i="59"/>
  <c r="E16" i="59" s="1"/>
  <c r="E17" i="59" s="1"/>
  <c r="U17" i="59" s="1"/>
  <c r="B36" i="59"/>
  <c r="B37" i="59" s="1"/>
  <c r="S37" i="59" s="1"/>
  <c r="S53" i="59"/>
  <c r="AA24" i="59"/>
  <c r="F20" i="59"/>
  <c r="F21" i="59" s="1"/>
  <c r="V21" i="59" s="1"/>
  <c r="F28" i="59"/>
  <c r="F29" i="59" s="1"/>
  <c r="V29" i="59" s="1"/>
  <c r="F44" i="59"/>
  <c r="F45" i="59"/>
  <c r="V45" i="59" s="1"/>
  <c r="D15" i="59"/>
  <c r="D23" i="59"/>
  <c r="C36" i="59"/>
  <c r="C37" i="59" s="1"/>
  <c r="T37" i="59" s="1"/>
  <c r="C40" i="59"/>
  <c r="C41" i="59" s="1"/>
  <c r="T41" i="59" s="1"/>
  <c r="D39" i="59"/>
  <c r="C48" i="59"/>
  <c r="C49" i="59" s="1"/>
  <c r="T49" i="59" s="1"/>
  <c r="D47" i="59"/>
  <c r="Q52" i="59"/>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O16" i="4"/>
  <c r="M16" i="4"/>
  <c r="K16" i="4"/>
  <c r="C71" i="59"/>
  <c r="D71" i="59" s="1"/>
  <c r="D64" i="59"/>
  <c r="C63" i="59"/>
  <c r="D63" i="59"/>
  <c r="D56" i="59"/>
  <c r="C55" i="59"/>
  <c r="D55" i="59" s="1"/>
  <c r="C51" i="59"/>
  <c r="O51" i="59" s="1"/>
  <c r="O52" i="59"/>
  <c r="D52" i="59"/>
  <c r="D68" i="59"/>
  <c r="C67" i="59"/>
  <c r="D67" i="59" s="1"/>
  <c r="D60" i="59"/>
  <c r="C59" i="59"/>
  <c r="D59" i="59"/>
  <c r="D48" i="59"/>
  <c r="D40" i="59"/>
  <c r="D36" i="59"/>
  <c r="D16" i="59"/>
  <c r="D25" i="59"/>
  <c r="D37" i="59"/>
  <c r="D49" i="59"/>
  <c r="D51"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s="1"/>
  <c r="G20" i="20"/>
  <c r="B85" i="46" s="1"/>
  <c r="C22" i="20"/>
  <c r="B65" i="46" s="1"/>
  <c r="S18" i="36"/>
  <c r="S18" i="35"/>
  <c r="S21" i="37"/>
  <c r="S21" i="34"/>
  <c r="S27" i="40"/>
  <c r="C31" i="39"/>
  <c r="B74" i="46"/>
  <c r="E66" i="36"/>
  <c r="H18" i="35"/>
  <c r="J18" i="35"/>
  <c r="H21" i="37"/>
  <c r="J21" i="37"/>
  <c r="E84" i="34"/>
  <c r="F84" i="34" s="1"/>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7" i="31"/>
  <c r="R28" i="31"/>
  <c r="S28" i="31" s="1"/>
  <c r="R29" i="31"/>
  <c r="S29" i="31" s="1"/>
  <c r="R30" i="31"/>
  <c r="S30" i="31" s="1"/>
  <c r="R31" i="31"/>
  <c r="R32" i="31"/>
  <c r="S32" i="31" s="1"/>
  <c r="R33" i="31"/>
  <c r="R34" i="31"/>
  <c r="S34" i="31" s="1"/>
  <c r="R35" i="31"/>
  <c r="S35" i="31" s="1"/>
  <c r="R36" i="31"/>
  <c r="S36" i="31" s="1"/>
  <c r="R37" i="31"/>
  <c r="R38" i="31"/>
  <c r="S38" i="31" s="1"/>
  <c r="R39" i="31"/>
  <c r="R40" i="31"/>
  <c r="S40" i="31" s="1"/>
  <c r="R41" i="31"/>
  <c r="R42" i="31"/>
  <c r="S42" i="31" s="1"/>
  <c r="R43" i="31"/>
  <c r="S43" i="31" s="1"/>
  <c r="R44" i="31"/>
  <c r="S44" i="31" s="1"/>
  <c r="R45" i="31"/>
  <c r="R46" i="31"/>
  <c r="S46" i="31" s="1"/>
  <c r="R47" i="31"/>
  <c r="R48" i="31"/>
  <c r="S48" i="31" s="1"/>
  <c r="R49" i="31"/>
  <c r="R50" i="31"/>
  <c r="S50" i="31" s="1"/>
  <c r="R51" i="31"/>
  <c r="S51" i="31" s="1"/>
  <c r="R52" i="31"/>
  <c r="S52" i="31" s="1"/>
  <c r="R53" i="31"/>
  <c r="R54" i="31"/>
  <c r="S54" i="31" s="1"/>
  <c r="R55" i="31"/>
  <c r="R56" i="31"/>
  <c r="S56" i="31" s="1"/>
  <c r="R57" i="31"/>
  <c r="R58" i="31"/>
  <c r="S58" i="31" s="1"/>
  <c r="R59" i="31"/>
  <c r="R60" i="31"/>
  <c r="S60" i="31" s="1"/>
  <c r="R61" i="31"/>
  <c r="S61" i="31" s="1"/>
  <c r="R62" i="31"/>
  <c r="S62" i="31" s="1"/>
  <c r="R63" i="31"/>
  <c r="R64" i="31"/>
  <c r="S64" i="31" s="1"/>
  <c r="R65" i="31"/>
  <c r="R66" i="31"/>
  <c r="S66" i="31" s="1"/>
  <c r="R67" i="31"/>
  <c r="R68" i="31"/>
  <c r="S68" i="31" s="1"/>
  <c r="R69" i="31"/>
  <c r="S69" i="31" s="1"/>
  <c r="R70" i="31"/>
  <c r="S70" i="31" s="1"/>
  <c r="R71" i="31"/>
  <c r="R72" i="31"/>
  <c r="S72" i="31" s="1"/>
  <c r="R73" i="31"/>
  <c r="R74" i="31"/>
  <c r="S74" i="31" s="1"/>
  <c r="R75" i="31"/>
  <c r="R76" i="31"/>
  <c r="S76" i="31" s="1"/>
  <c r="R77" i="31"/>
  <c r="S77" i="31" s="1"/>
  <c r="R78" i="31"/>
  <c r="S78" i="31" s="1"/>
  <c r="R79" i="31"/>
  <c r="R80" i="31"/>
  <c r="S80" i="31" s="1"/>
  <c r="R81" i="31"/>
  <c r="R82" i="31"/>
  <c r="S82" i="31" s="1"/>
  <c r="R83" i="31"/>
  <c r="S83" i="31" s="1"/>
  <c r="R84" i="31"/>
  <c r="S84" i="31" s="1"/>
  <c r="R85" i="31"/>
  <c r="R86" i="31"/>
  <c r="S86" i="31" s="1"/>
  <c r="R87" i="31"/>
  <c r="R88" i="31"/>
  <c r="S88" i="31" s="1"/>
  <c r="R89" i="31"/>
  <c r="R90" i="31"/>
  <c r="S90" i="31" s="1"/>
  <c r="R91" i="31"/>
  <c r="S91" i="31" s="1"/>
  <c r="R92" i="31"/>
  <c r="S92" i="31" s="1"/>
  <c r="R93" i="31"/>
  <c r="R94" i="31"/>
  <c r="S94" i="31" s="1"/>
  <c r="R95" i="31"/>
  <c r="R96" i="31"/>
  <c r="S96" i="31" s="1"/>
  <c r="R97" i="31"/>
  <c r="R98" i="31"/>
  <c r="S98" i="31" s="1"/>
  <c r="R99" i="31"/>
  <c r="R100" i="31"/>
  <c r="S100" i="31" s="1"/>
  <c r="R101" i="31"/>
  <c r="S101" i="31" s="1"/>
  <c r="R102" i="31"/>
  <c r="S102" i="31" s="1"/>
  <c r="R103" i="31"/>
  <c r="R104" i="31"/>
  <c r="S104" i="31" s="1"/>
  <c r="R105" i="3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R120" i="31"/>
  <c r="S120" i="31" s="1"/>
  <c r="R121" i="31"/>
  <c r="R122" i="31"/>
  <c r="S122" i="31" s="1"/>
  <c r="R123" i="31"/>
  <c r="R124" i="31"/>
  <c r="S124" i="31" s="1"/>
  <c r="R125" i="31"/>
  <c r="S125" i="31" s="1"/>
  <c r="R126" i="31"/>
  <c r="S126" i="31" s="1"/>
  <c r="R127" i="31"/>
  <c r="R128" i="31"/>
  <c r="S128" i="31" s="1"/>
  <c r="R129" i="31"/>
  <c r="R130" i="31"/>
  <c r="S130" i="31" s="1"/>
  <c r="R131" i="3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R146" i="31"/>
  <c r="S146" i="31" s="1"/>
  <c r="R147" i="31"/>
  <c r="R148" i="31"/>
  <c r="S148" i="31" s="1"/>
  <c r="R149" i="31"/>
  <c r="S149" i="31" s="1"/>
  <c r="R150" i="31"/>
  <c r="S150" i="31" s="1"/>
  <c r="R151" i="31"/>
  <c r="R152" i="31"/>
  <c r="S152" i="31" s="1"/>
  <c r="R153" i="31"/>
  <c r="R154" i="31"/>
  <c r="S154" i="31" s="1"/>
  <c r="R155" i="31"/>
  <c r="R156" i="31"/>
  <c r="S156" i="31" s="1"/>
  <c r="R157" i="31"/>
  <c r="S157" i="31" s="1"/>
  <c r="R158" i="31"/>
  <c r="S158" i="31" s="1"/>
  <c r="R159" i="31"/>
  <c r="R160" i="31"/>
  <c r="S160" i="31" s="1"/>
  <c r="R161" i="31"/>
  <c r="R162" i="31"/>
  <c r="S162" i="31" s="1"/>
  <c r="R163" i="31"/>
  <c r="R164" i="31"/>
  <c r="S164" i="31" s="1"/>
  <c r="R165" i="31"/>
  <c r="S165" i="31" s="1"/>
  <c r="R166" i="31"/>
  <c r="S166" i="31" s="1"/>
  <c r="R167" i="31"/>
  <c r="R168" i="31"/>
  <c r="S168" i="31" s="1"/>
  <c r="R169" i="31"/>
  <c r="R170" i="31"/>
  <c r="S170" i="31" s="1"/>
  <c r="R171" i="31"/>
  <c r="R172" i="31"/>
  <c r="S172" i="31" s="1"/>
  <c r="R173" i="31"/>
  <c r="S173" i="31" s="1"/>
  <c r="R174" i="31"/>
  <c r="S174" i="31" s="1"/>
  <c r="R175" i="31"/>
  <c r="R176" i="31"/>
  <c r="S176" i="31" s="1"/>
  <c r="R177" i="31"/>
  <c r="R178" i="31"/>
  <c r="S178" i="31" s="1"/>
  <c r="R179" i="31"/>
  <c r="R180" i="31"/>
  <c r="S180" i="31" s="1"/>
  <c r="R181" i="31"/>
  <c r="S181" i="31" s="1"/>
  <c r="R182" i="31"/>
  <c r="S182" i="31" s="1"/>
  <c r="R183" i="31"/>
  <c r="R184" i="31"/>
  <c r="S184" i="31" s="1"/>
  <c r="R185" i="31"/>
  <c r="R186" i="31"/>
  <c r="S186" i="31" s="1"/>
  <c r="R187" i="31"/>
  <c r="R188" i="31"/>
  <c r="S188" i="31" s="1"/>
  <c r="R189" i="31"/>
  <c r="S189" i="31" s="1"/>
  <c r="R190" i="31"/>
  <c r="S190" i="31" s="1"/>
  <c r="R191" i="31"/>
  <c r="R192" i="31"/>
  <c r="S192" i="31" s="1"/>
  <c r="R193" i="31"/>
  <c r="R194" i="31"/>
  <c r="S194" i="31" s="1"/>
  <c r="R195" i="3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R210" i="31"/>
  <c r="S210" i="31" s="1"/>
  <c r="R211" i="31"/>
  <c r="R212" i="31"/>
  <c r="S212" i="31" s="1"/>
  <c r="R213" i="31"/>
  <c r="S213" i="31" s="1"/>
  <c r="R214" i="31"/>
  <c r="S214" i="31" s="1"/>
  <c r="R215" i="31"/>
  <c r="R216" i="31"/>
  <c r="S216" i="31" s="1"/>
  <c r="R217" i="3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S431" i="31" s="1"/>
  <c r="R432" i="31"/>
  <c r="S432" i="31" s="1"/>
  <c r="R433" i="31"/>
  <c r="R434" i="31"/>
  <c r="S434" i="31" s="1"/>
  <c r="R435" i="31"/>
  <c r="R436" i="31"/>
  <c r="S436" i="31" s="1"/>
  <c r="R437" i="31"/>
  <c r="R438" i="31"/>
  <c r="S438" i="31" s="1"/>
  <c r="R439" i="31"/>
  <c r="S439" i="31" s="1"/>
  <c r="R440" i="31"/>
  <c r="S440" i="31" s="1"/>
  <c r="R441" i="31"/>
  <c r="R442" i="31"/>
  <c r="S442" i="31" s="1"/>
  <c r="R443" i="31"/>
  <c r="R444" i="31"/>
  <c r="S444" i="31" s="1"/>
  <c r="R445" i="31"/>
  <c r="S445" i="31" s="1"/>
  <c r="R446" i="31"/>
  <c r="S446" i="31" s="1"/>
  <c r="R447" i="31"/>
  <c r="R448" i="31"/>
  <c r="S448" i="31" s="1"/>
  <c r="R449" i="31"/>
  <c r="R450" i="31"/>
  <c r="S450" i="31" s="1"/>
  <c r="R451" i="31"/>
  <c r="R452" i="31"/>
  <c r="S452" i="31" s="1"/>
  <c r="R453" i="31"/>
  <c r="R454" i="31"/>
  <c r="S454" i="31" s="1"/>
  <c r="R455" i="31"/>
  <c r="S455" i="31" s="1"/>
  <c r="R456" i="31"/>
  <c r="S456" i="31" s="1"/>
  <c r="R457" i="31"/>
  <c r="R458" i="31"/>
  <c r="S458" i="31" s="1"/>
  <c r="R459" i="31"/>
  <c r="R460" i="31"/>
  <c r="S460" i="31" s="1"/>
  <c r="R461" i="31"/>
  <c r="R462" i="31"/>
  <c r="S462" i="31" s="1"/>
  <c r="R463" i="31"/>
  <c r="S463" i="31" s="1"/>
  <c r="R464" i="31"/>
  <c r="S464" i="31" s="1"/>
  <c r="R465" i="31"/>
  <c r="R466" i="31"/>
  <c r="S466" i="31" s="1"/>
  <c r="R467" i="3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R514" i="31"/>
  <c r="S514" i="31" s="1"/>
  <c r="R515" i="31"/>
  <c r="R516" i="31"/>
  <c r="S516" i="31" s="1"/>
  <c r="R517" i="31"/>
  <c r="S517" i="31" s="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s="1"/>
  <c r="A7" i="46"/>
  <c r="F41" i="4"/>
  <c r="J52" i="40"/>
  <c r="H61" i="49"/>
  <c r="H39" i="46"/>
  <c r="H38" i="46"/>
  <c r="H37" i="46"/>
  <c r="H36" i="46"/>
  <c r="H35" i="46"/>
  <c r="H34" i="46"/>
  <c r="H33" i="46"/>
  <c r="J20" i="46"/>
  <c r="C18" i="46"/>
  <c r="G17"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7" i="31"/>
  <c r="S215" i="31"/>
  <c r="S211" i="31"/>
  <c r="S209" i="31"/>
  <c r="S207" i="31"/>
  <c r="S203" i="31"/>
  <c r="S201" i="31"/>
  <c r="S199" i="31"/>
  <c r="S195" i="31"/>
  <c r="S193" i="31"/>
  <c r="S191" i="31"/>
  <c r="S187" i="31"/>
  <c r="S185" i="31"/>
  <c r="S183" i="31"/>
  <c r="S179" i="31"/>
  <c r="S177" i="31"/>
  <c r="S175" i="31"/>
  <c r="S171" i="31"/>
  <c r="S169" i="31"/>
  <c r="S167" i="31"/>
  <c r="S163" i="31"/>
  <c r="S161" i="31"/>
  <c r="S159" i="31"/>
  <c r="S155" i="31"/>
  <c r="S153" i="31"/>
  <c r="S151" i="31"/>
  <c r="S147" i="31"/>
  <c r="S145" i="31"/>
  <c r="S143" i="31"/>
  <c r="S139" i="31"/>
  <c r="S137" i="31"/>
  <c r="S135" i="31"/>
  <c r="S131" i="31"/>
  <c r="S129" i="31"/>
  <c r="S127" i="31"/>
  <c r="S123" i="31"/>
  <c r="S497" i="31"/>
  <c r="S495" i="31"/>
  <c r="S493" i="31"/>
  <c r="S491" i="31"/>
  <c r="S489" i="31"/>
  <c r="S487" i="31"/>
  <c r="S485" i="31"/>
  <c r="S483" i="31"/>
  <c r="S481" i="31"/>
  <c r="S479" i="31"/>
  <c r="S477" i="31"/>
  <c r="S475" i="31"/>
  <c r="S473" i="31"/>
  <c r="S469" i="31"/>
  <c r="S443" i="31"/>
  <c r="S441" i="31"/>
  <c r="S437" i="31"/>
  <c r="S435" i="31"/>
  <c r="S433" i="31"/>
  <c r="S121" i="31"/>
  <c r="S119" i="31"/>
  <c r="S117" i="31"/>
  <c r="S113" i="31"/>
  <c r="S467" i="31"/>
  <c r="S465" i="31"/>
  <c r="S461" i="31"/>
  <c r="S459" i="31"/>
  <c r="S457" i="31"/>
  <c r="S453" i="31"/>
  <c r="S451" i="31"/>
  <c r="S53" i="31"/>
  <c r="S49" i="31"/>
  <c r="S47" i="31"/>
  <c r="S45" i="31"/>
  <c r="S41" i="31"/>
  <c r="S39" i="31"/>
  <c r="S37" i="31"/>
  <c r="S33" i="31"/>
  <c r="S75" i="31"/>
  <c r="S73" i="31"/>
  <c r="S71" i="31"/>
  <c r="S67" i="31"/>
  <c r="S65" i="31"/>
  <c r="S63" i="31"/>
  <c r="S59" i="31"/>
  <c r="S57" i="31"/>
  <c r="S55" i="31"/>
  <c r="S97" i="31"/>
  <c r="S95" i="31"/>
  <c r="S93" i="31"/>
  <c r="S89" i="31"/>
  <c r="S87" i="31"/>
  <c r="S85" i="31"/>
  <c r="S81" i="31"/>
  <c r="S79" i="31"/>
  <c r="S31" i="31"/>
  <c r="S99" i="31"/>
  <c r="S103" i="31"/>
  <c r="S105" i="31"/>
  <c r="S107" i="31"/>
  <c r="S111" i="31"/>
  <c r="S447" i="31"/>
  <c r="S449" i="31"/>
  <c r="S507"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D81" i="21"/>
  <c r="E81" i="21" s="1"/>
  <c r="F81" i="21" s="1"/>
  <c r="G81" i="21" s="1"/>
  <c r="D77" i="21"/>
  <c r="E77" i="21" s="1"/>
  <c r="F77" i="21" s="1"/>
  <c r="G77" i="21" s="1"/>
  <c r="B130" i="21"/>
  <c r="B128" i="21"/>
  <c r="B126" i="21"/>
  <c r="B98" i="21"/>
  <c r="B96" i="21"/>
  <c r="B94" i="21"/>
  <c r="B92" i="21"/>
  <c r="B90" i="21"/>
  <c r="B74" i="21"/>
  <c r="B72" i="21"/>
  <c r="B70" i="21"/>
  <c r="F12"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s="1"/>
  <c r="H43" i="21"/>
  <c r="AB43" i="21"/>
  <c r="F32" i="21"/>
  <c r="S32" i="21" s="1"/>
  <c r="F38" i="21"/>
  <c r="S38" i="21" s="1"/>
  <c r="F36" i="21"/>
  <c r="S36" i="21" s="1"/>
  <c r="F39" i="21"/>
  <c r="AA39" i="21" s="1"/>
  <c r="J40" i="21"/>
  <c r="W40" i="21" s="1"/>
  <c r="H35" i="21"/>
  <c r="AB35" i="21" s="1"/>
  <c r="J8" i="21"/>
  <c r="AC8" i="21" s="1"/>
  <c r="J9" i="21"/>
  <c r="AC9" i="21" s="1"/>
  <c r="H8" i="21"/>
  <c r="H9" i="21"/>
  <c r="AB9" i="21" s="1"/>
  <c r="H39" i="21"/>
  <c r="AB39" i="21" s="1"/>
  <c r="J34" i="21"/>
  <c r="W34" i="21" s="1"/>
  <c r="H36" i="21"/>
  <c r="U36" i="21" s="1"/>
  <c r="F35" i="21"/>
  <c r="AA35" i="21" s="1"/>
  <c r="H26" i="21"/>
  <c r="F19" i="21"/>
  <c r="AA19" i="21" s="1"/>
  <c r="H19" i="21"/>
  <c r="AB19" i="21" s="1"/>
  <c r="J19" i="21"/>
  <c r="W19" i="21" s="1"/>
  <c r="J12" i="21"/>
  <c r="H12" i="21"/>
  <c r="U12" i="21" s="1"/>
  <c r="J26" i="21"/>
  <c r="W26" i="21" s="1"/>
  <c r="F26" i="21"/>
  <c r="AA26" i="21" s="1"/>
  <c r="AB41" i="21"/>
  <c r="AA41" i="21"/>
  <c r="W41" i="21"/>
  <c r="S10" i="39"/>
  <c r="U30" i="37"/>
  <c r="E103" i="37"/>
  <c r="F103" i="37" s="1"/>
  <c r="F39" i="37"/>
  <c r="S39" i="37" s="1"/>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33" i="33"/>
  <c r="W38" i="33"/>
  <c r="S40" i="33"/>
  <c r="S33" i="33"/>
  <c r="W33" i="33"/>
  <c r="U38" i="33"/>
  <c r="W8" i="21"/>
  <c r="H39" i="37"/>
  <c r="AB39" i="37" s="1"/>
  <c r="AB27" i="35"/>
  <c r="S10" i="40"/>
  <c r="W10" i="40"/>
  <c r="S11" i="40"/>
  <c r="U11" i="40"/>
  <c r="S36" i="40"/>
  <c r="U36" i="40"/>
  <c r="AC35" i="21"/>
  <c r="C29" i="39"/>
  <c r="C23" i="39"/>
  <c r="S42" i="39"/>
  <c r="H32" i="33"/>
  <c r="AB32" i="33"/>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36" i="33"/>
  <c r="S36" i="33"/>
  <c r="F19" i="33"/>
  <c r="S19" i="33" s="1"/>
  <c r="J19" i="33"/>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S46" i="33"/>
  <c r="U36" i="37"/>
  <c r="AC13" i="36"/>
  <c r="AB45" i="33"/>
  <c r="AB31"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s="1"/>
  <c r="AA23" i="37"/>
  <c r="AB44" i="33"/>
  <c r="G107" i="37"/>
  <c r="H107" i="37"/>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AC26" i="36"/>
  <c r="W25" i="35"/>
  <c r="AZ300"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W9" i="21"/>
  <c r="J32" i="21"/>
  <c r="AC32" i="21" s="1"/>
  <c r="G13" i="3"/>
  <c r="G5" i="3" s="1"/>
  <c r="B3" i="3" s="1"/>
  <c r="AC5" i="3"/>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E58" i="39"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AA23" i="39" s="1"/>
  <c r="F15" i="40"/>
  <c r="AA15" i="40"/>
  <c r="J15" i="40"/>
  <c r="H15" i="40"/>
  <c r="AB15" i="40" s="1"/>
  <c r="E92" i="40"/>
  <c r="F92" i="40" s="1"/>
  <c r="H23" i="40"/>
  <c r="U23" i="40" s="1"/>
  <c r="H41" i="40"/>
  <c r="AB41" i="40" s="1"/>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AB38" i="39" s="1"/>
  <c r="J16" i="40"/>
  <c r="W16" i="40"/>
  <c r="J14" i="40"/>
  <c r="W14" i="40"/>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34" i="44"/>
  <c r="F66" i="9"/>
  <c r="P72" i="9" s="1"/>
  <c r="F72" i="9"/>
  <c r="AC14" i="40"/>
  <c r="W35" i="40"/>
  <c r="S33" i="40"/>
  <c r="AB32" i="40"/>
  <c r="AC47" i="39"/>
  <c r="S47" i="39"/>
  <c r="U37" i="34"/>
  <c r="AB37" i="34"/>
  <c r="AC41" i="40"/>
  <c r="W41" i="40"/>
  <c r="U41" i="40"/>
  <c r="J23" i="40"/>
  <c r="AC23" i="40" s="1"/>
  <c r="G92" i="40"/>
  <c r="F23" i="40"/>
  <c r="S23" i="40"/>
  <c r="AC15" i="40"/>
  <c r="W15" i="40"/>
  <c r="AB16"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AB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B44" i="39"/>
  <c r="U11" i="36"/>
  <c r="F80" i="35"/>
  <c r="G80" i="35" s="1"/>
  <c r="H80" i="35" s="1"/>
  <c r="I80" i="35" s="1"/>
  <c r="J80" i="35" s="1"/>
  <c r="K80" i="35" s="1"/>
  <c r="L80" i="35" s="1"/>
  <c r="M80" i="35" s="1"/>
  <c r="W14" i="35"/>
  <c r="F90" i="34"/>
  <c r="G90" i="34"/>
  <c r="H90" i="34" s="1"/>
  <c r="I90" i="34" s="1"/>
  <c r="J90" i="34" s="1"/>
  <c r="K90" i="34" s="1"/>
  <c r="L90" i="34" s="1"/>
  <c r="M90" i="34" s="1"/>
  <c r="F27" i="34"/>
  <c r="S27" i="34"/>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s="1"/>
  <c r="K9" i="1"/>
  <c r="M9" i="1" s="1"/>
  <c r="O9" i="1" s="1"/>
  <c r="B7" i="1"/>
  <c r="E7" i="1" s="1"/>
  <c r="K7" i="1"/>
  <c r="M7" i="1" s="1"/>
  <c r="C20" i="43"/>
  <c r="F6" i="1"/>
  <c r="AP6" i="1" s="1"/>
  <c r="G11" i="1"/>
  <c r="M22" i="44"/>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43" i="21"/>
  <c r="W28" i="21"/>
  <c r="AC46" i="21"/>
  <c r="AC26" i="21"/>
  <c r="F15" i="21"/>
  <c r="S15" i="21" s="1"/>
  <c r="J15" i="21"/>
  <c r="W15" i="21" s="1"/>
  <c r="H15" i="21"/>
  <c r="U15" i="21" s="1"/>
  <c r="W13" i="21"/>
  <c r="AC21" i="21"/>
  <c r="W21" i="21"/>
  <c r="W44" i="21"/>
  <c r="AC19"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A21" i="39"/>
  <c r="AC19" i="39"/>
  <c r="AC38" i="39"/>
  <c r="AB15" i="39"/>
  <c r="U11" i="39"/>
  <c r="U31" i="39"/>
  <c r="AB31" i="39"/>
  <c r="S38" i="39"/>
  <c r="M20" i="15"/>
  <c r="D96" i="9"/>
  <c r="F28" i="15"/>
  <c r="A18" i="64"/>
  <c r="B74" i="63" s="1"/>
  <c r="C53" i="10"/>
  <c r="A25" i="64" s="1"/>
  <c r="A18" i="51"/>
  <c r="B14" i="63" s="1"/>
  <c r="BA16" i="3"/>
  <c r="BA17" i="3"/>
  <c r="AZ17" i="3"/>
  <c r="F3" i="35"/>
  <c r="K1" i="43"/>
  <c r="K1" i="12"/>
  <c r="G1" i="44"/>
  <c r="I4" i="6"/>
  <c r="AZ15" i="3"/>
  <c r="BK5" i="3"/>
  <c r="BO5" i="3"/>
  <c r="BP5" i="3"/>
  <c r="BN5" i="3"/>
  <c r="BL18" i="3"/>
  <c r="AZ18" i="3"/>
  <c r="BC5" i="3"/>
  <c r="BD5" i="3"/>
  <c r="BR5" i="3"/>
  <c r="G28"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6" i="63"/>
  <c r="L5" i="54"/>
  <c r="B39" i="63"/>
  <c r="K5" i="54"/>
  <c r="B38" i="63"/>
  <c r="T41" i="4"/>
  <c r="A17" i="64"/>
  <c r="B46" i="50"/>
  <c r="B4" i="63" s="1"/>
  <c r="C46" i="36"/>
  <c r="D46" i="36" s="1"/>
  <c r="E46" i="36" s="1"/>
  <c r="F46" i="36" s="1"/>
  <c r="G46" i="36" s="1"/>
  <c r="H46" i="36" s="1"/>
  <c r="I46" i="36" s="1"/>
  <c r="C59" i="34"/>
  <c r="D59" i="34" s="1"/>
  <c r="E59" i="34" s="1"/>
  <c r="F59" i="34" s="1"/>
  <c r="G59" i="34" s="1"/>
  <c r="H59" i="34" s="1"/>
  <c r="I59" i="34" s="1"/>
  <c r="J59" i="34" s="1"/>
  <c r="C48" i="35"/>
  <c r="D48" i="35" s="1"/>
  <c r="C52" i="37"/>
  <c r="D52" i="37" s="1"/>
  <c r="E52" i="37" s="1"/>
  <c r="F7" i="33"/>
  <c r="AA7" i="33" s="1"/>
  <c r="J7" i="33"/>
  <c r="C67" i="40"/>
  <c r="D65" i="40"/>
  <c r="H7" i="33"/>
  <c r="AB7" i="33" s="1"/>
  <c r="O19" i="46"/>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c r="S10" i="1"/>
  <c r="B8" i="1"/>
  <c r="E8" i="1" s="1"/>
  <c r="B12" i="1"/>
  <c r="E12" i="1" s="1"/>
  <c r="S12" i="1"/>
  <c r="K6" i="1"/>
  <c r="M6" i="1" s="1"/>
  <c r="O11" i="1"/>
  <c r="O12" i="1"/>
  <c r="P12"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A29" i="21"/>
  <c r="U27" i="21"/>
  <c r="W31" i="21"/>
  <c r="S27" i="21"/>
  <c r="AC27" i="21"/>
  <c r="W29" i="21"/>
  <c r="G96" i="40"/>
  <c r="J27" i="40"/>
  <c r="W37" i="40"/>
  <c r="S17" i="40"/>
  <c r="W30" i="40"/>
  <c r="S34" i="40"/>
  <c r="U17" i="40"/>
  <c r="U38" i="40"/>
  <c r="S40" i="40"/>
  <c r="S42" i="40"/>
  <c r="G105" i="39"/>
  <c r="J31" i="39"/>
  <c r="W31" i="39" s="1"/>
  <c r="S45" i="39"/>
  <c r="AB43" i="39"/>
  <c r="AC46" i="39"/>
  <c r="W42" i="39"/>
  <c r="AC37" i="39"/>
  <c r="W16" i="39"/>
  <c r="S15" i="39"/>
  <c r="W25" i="39"/>
  <c r="W45" i="39"/>
  <c r="AA46" i="39"/>
  <c r="W10" i="39"/>
  <c r="W11" i="39"/>
  <c r="U42" i="39"/>
  <c r="S32" i="40"/>
  <c r="C27" i="39"/>
  <c r="C17" i="40"/>
  <c r="C19" i="40"/>
  <c r="C17" i="39"/>
  <c r="C19" i="39"/>
  <c r="C21" i="39"/>
  <c r="C23" i="40"/>
  <c r="B48" i="46"/>
  <c r="B51" i="46"/>
  <c r="B55" i="46"/>
  <c r="B59" i="46"/>
  <c r="B62" i="46"/>
  <c r="B66" i="46"/>
  <c r="B53" i="46"/>
  <c r="B64" i="46"/>
  <c r="D24" i="15"/>
  <c r="G6" i="1"/>
  <c r="F29" i="6"/>
  <c r="F28" i="6"/>
  <c r="F30" i="6" s="1"/>
  <c r="AO6" i="3"/>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283" i="3"/>
  <c r="E535" i="3"/>
  <c r="A17" i="51"/>
  <c r="B13" i="63" s="1"/>
  <c r="AN6" i="3"/>
  <c r="E280" i="3"/>
  <c r="E59" i="3"/>
  <c r="E270" i="3"/>
  <c r="E464" i="3"/>
  <c r="E157" i="3"/>
  <c r="E209" i="3"/>
  <c r="E161" i="3"/>
  <c r="E450" i="3"/>
  <c r="E53" i="40"/>
  <c r="E5" i="6"/>
  <c r="D12" i="11" s="1"/>
  <c r="C12" i="11" s="1"/>
  <c r="E492" i="3"/>
  <c r="E186" i="3"/>
  <c r="E311" i="3"/>
  <c r="E263" i="3"/>
  <c r="E424" i="3"/>
  <c r="E82" i="3"/>
  <c r="E164" i="3"/>
  <c r="E99" i="3"/>
  <c r="E262" i="3"/>
  <c r="E101" i="3"/>
  <c r="E274" i="3"/>
  <c r="E32" i="3"/>
  <c r="E547" i="3"/>
  <c r="E447" i="3"/>
  <c r="E33" i="3"/>
  <c r="Q6" i="3"/>
  <c r="E119" i="3"/>
  <c r="E500" i="3"/>
  <c r="E97" i="3"/>
  <c r="AE6" i="3"/>
  <c r="E289" i="3"/>
  <c r="E113" i="3"/>
  <c r="E425" i="3"/>
  <c r="E257" i="3"/>
  <c r="E166" i="3"/>
  <c r="O6" i="3"/>
  <c r="E204"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2" i="6"/>
  <c r="E64" i="39" s="1"/>
  <c r="BA5" i="3"/>
  <c r="E27" i="6" s="1"/>
  <c r="AZ13" i="3"/>
  <c r="G29" i="6"/>
  <c r="E29" i="6" s="1"/>
  <c r="K15" i="1" s="1"/>
  <c r="AZ16" i="3"/>
  <c r="E14" i="6"/>
  <c r="E66" i="39" s="1"/>
  <c r="E10" i="6"/>
  <c r="E15" i="6"/>
  <c r="E62" i="40" s="1"/>
  <c r="E13" i="6"/>
  <c r="E65" i="39" s="1"/>
  <c r="E11" i="6"/>
  <c r="E63" i="39" s="1"/>
  <c r="H70" i="46"/>
  <c r="H72" i="46"/>
  <c r="A9" i="64"/>
  <c r="A9" i="51"/>
  <c r="B9" i="63" s="1"/>
  <c r="A25" i="51"/>
  <c r="B18" i="63" s="1"/>
  <c r="A3" i="55"/>
  <c r="B56" i="63"/>
  <c r="F52" i="37"/>
  <c r="G52" i="37" s="1"/>
  <c r="H52" i="37" s="1"/>
  <c r="E48" i="35"/>
  <c r="F48" i="35" s="1"/>
  <c r="G48" i="35" s="1"/>
  <c r="W7" i="33"/>
  <c r="AC7" i="33"/>
  <c r="V48" i="33"/>
  <c r="I48" i="33" s="1"/>
  <c r="I52" i="33" s="1"/>
  <c r="J52" i="33" s="1"/>
  <c r="U7" i="33"/>
  <c r="T48" i="33"/>
  <c r="G48" i="33" s="1"/>
  <c r="D67" i="40"/>
  <c r="E65" i="40"/>
  <c r="S7" i="33"/>
  <c r="R48" i="33"/>
  <c r="G66" i="36"/>
  <c r="J18" i="36"/>
  <c r="W18" i="36" s="1"/>
  <c r="AE8" i="1"/>
  <c r="AE7" i="1"/>
  <c r="AE6" i="1"/>
  <c r="AC18" i="36"/>
  <c r="AG6" i="1"/>
  <c r="L20" i="6"/>
  <c r="L19" i="6"/>
  <c r="E61" i="40"/>
  <c r="G52" i="33"/>
  <c r="H52" i="33" s="1"/>
  <c r="E67" i="40"/>
  <c r="F65" i="40"/>
  <c r="F67" i="40" s="1"/>
  <c r="S7" i="1"/>
  <c r="S8" i="1"/>
  <c r="S9" i="1"/>
  <c r="G65" i="40"/>
  <c r="H65" i="40" s="1"/>
  <c r="G67" i="40"/>
  <c r="R9" i="1"/>
  <c r="R7" i="1"/>
  <c r="R8" i="1"/>
  <c r="C45" i="9"/>
  <c r="H14" i="66"/>
  <c r="B7" i="66" s="1"/>
  <c r="C44" i="9"/>
  <c r="G14" i="66" s="1"/>
  <c r="B6" i="66" s="1"/>
  <c r="O40" i="9"/>
  <c r="K31" i="9"/>
  <c r="K32" i="9"/>
  <c r="R7" i="54"/>
  <c r="B52" i="63"/>
  <c r="O39" i="9"/>
  <c r="K29" i="9"/>
  <c r="K30" i="9"/>
  <c r="R6" i="54"/>
  <c r="B50" i="63" s="1"/>
  <c r="N76" i="9"/>
  <c r="C46" i="9"/>
  <c r="K33" i="9"/>
  <c r="K34" i="9" s="1"/>
  <c r="O41" i="9"/>
  <c r="I14" i="66"/>
  <c r="B8" i="66"/>
  <c r="R8" i="54"/>
  <c r="B54" i="63" s="1"/>
  <c r="F8" i="67"/>
  <c r="B10" i="67"/>
  <c r="J17" i="44"/>
  <c r="F15" i="44"/>
  <c r="B13" i="67"/>
  <c r="N5" i="65"/>
  <c r="F14" i="67"/>
  <c r="F40" i="44"/>
  <c r="J4" i="65"/>
  <c r="M24" i="15"/>
  <c r="J5" i="65"/>
  <c r="I6" i="65"/>
  <c r="M11" i="44"/>
  <c r="M28" i="15"/>
  <c r="F37" i="15"/>
  <c r="F18" i="44"/>
  <c r="M30" i="44"/>
  <c r="B12" i="67"/>
  <c r="F46" i="44"/>
  <c r="F10" i="44"/>
  <c r="F26" i="15"/>
  <c r="F38" i="15"/>
  <c r="E13" i="67"/>
  <c r="N6" i="65"/>
  <c r="F13" i="15"/>
  <c r="B14" i="67"/>
  <c r="M23" i="15"/>
  <c r="F7" i="15"/>
  <c r="M27" i="15"/>
  <c r="F8" i="15"/>
  <c r="N4" i="65"/>
  <c r="M29" i="44"/>
  <c r="E14" i="67"/>
  <c r="E9" i="67"/>
  <c r="N7" i="65"/>
  <c r="J36" i="15"/>
  <c r="I7" i="65"/>
  <c r="B9" i="67"/>
  <c r="I4" i="65"/>
  <c r="M23" i="44"/>
  <c r="M31" i="44"/>
  <c r="F6" i="15"/>
  <c r="M29" i="15"/>
  <c r="F36" i="15"/>
  <c r="F39" i="44"/>
  <c r="B8" i="67"/>
  <c r="F9" i="44"/>
  <c r="B11" i="67"/>
  <c r="M26" i="44"/>
  <c r="C19" i="44"/>
  <c r="F28" i="44"/>
  <c r="I3" i="65"/>
  <c r="F11" i="44"/>
  <c r="E12" i="67"/>
  <c r="F42" i="15"/>
  <c r="E8" i="67"/>
  <c r="F45" i="44"/>
  <c r="L48" i="15"/>
  <c r="F38" i="44"/>
  <c r="M22" i="15"/>
  <c r="M8" i="44"/>
  <c r="L48" i="44"/>
  <c r="M21" i="15"/>
  <c r="F11" i="67"/>
  <c r="M28" i="44"/>
  <c r="F13" i="67"/>
  <c r="F37" i="44"/>
  <c r="M24" i="44"/>
  <c r="M25" i="44"/>
  <c r="M9" i="15"/>
  <c r="M10" i="44"/>
  <c r="E11" i="67"/>
  <c r="F43" i="44"/>
  <c r="F35" i="15"/>
  <c r="N3" i="65"/>
  <c r="J15" i="15"/>
  <c r="F16" i="15"/>
  <c r="F9" i="15"/>
  <c r="F43" i="15"/>
  <c r="J3" i="65"/>
  <c r="M26" i="15"/>
  <c r="M6" i="15"/>
  <c r="F9" i="67"/>
  <c r="F40" i="15"/>
  <c r="F10" i="67"/>
  <c r="F12" i="67"/>
  <c r="F41" i="15"/>
  <c r="M8" i="15"/>
  <c r="L49" i="44"/>
  <c r="I5" i="65"/>
  <c r="J6" i="65"/>
  <c r="L47" i="15"/>
  <c r="F8" i="44"/>
  <c r="J7" i="65"/>
  <c r="E10" i="67"/>
  <c r="L16" i="4" l="1"/>
  <c r="N16" i="4"/>
  <c r="L27" i="6"/>
  <c r="AB44" i="21"/>
  <c r="E60" i="40"/>
  <c r="E59" i="40"/>
  <c r="E476" i="3"/>
  <c r="C33" i="21"/>
  <c r="E23"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G3" i="46"/>
  <c r="H101" i="46" s="1"/>
  <c r="I7" i="6"/>
  <c r="G22" i="46"/>
  <c r="Y11" i="46"/>
  <c r="Y13" i="46" s="1"/>
  <c r="AJ11" i="46"/>
  <c r="AJ13" i="46" s="1"/>
  <c r="W23" i="39"/>
  <c r="W34" i="39"/>
  <c r="AA44" i="39"/>
  <c r="C18" i="9"/>
  <c r="AB33" i="39"/>
  <c r="AB25" i="39"/>
  <c r="AB17" i="39"/>
  <c r="U41" i="39"/>
  <c r="AA40" i="21"/>
  <c r="H113" i="21"/>
  <c r="J37" i="21"/>
  <c r="F37" i="21"/>
  <c r="H37" i="21"/>
  <c r="F66" i="21"/>
  <c r="G66" i="21" s="1"/>
  <c r="H66" i="21" s="1"/>
  <c r="I66" i="21" s="1"/>
  <c r="F10" i="21"/>
  <c r="H10" i="21"/>
  <c r="J10" i="21"/>
  <c r="AC10" i="21" s="1"/>
  <c r="U35" i="21"/>
  <c r="AC40" i="21"/>
  <c r="AC38" i="21"/>
  <c r="AA38" i="21"/>
  <c r="AA36" i="21"/>
  <c r="AB32" i="21"/>
  <c r="U42" i="21"/>
  <c r="W42" i="21"/>
  <c r="S42" i="21"/>
  <c r="U40" i="21"/>
  <c r="U39" i="21"/>
  <c r="S39" i="21"/>
  <c r="U38" i="21"/>
  <c r="AB36" i="21"/>
  <c r="AB34" i="21"/>
  <c r="W32" i="21"/>
  <c r="F85" i="21"/>
  <c r="G85" i="21" s="1"/>
  <c r="J23" i="21"/>
  <c r="F23" i="21"/>
  <c r="S23" i="21" s="1"/>
  <c r="H23" i="21"/>
  <c r="AA23" i="21"/>
  <c r="S21" i="21"/>
  <c r="U19" i="21"/>
  <c r="S19" i="21"/>
  <c r="W17" i="21"/>
  <c r="U17" i="21"/>
  <c r="F79" i="21"/>
  <c r="G79" i="21" s="1"/>
  <c r="F17" i="21"/>
  <c r="S17" i="21" s="1"/>
  <c r="U9" i="21"/>
  <c r="AA9" i="21"/>
  <c r="S8" i="21"/>
  <c r="W10" i="21"/>
  <c r="AC15" i="21"/>
  <c r="AB15" i="21"/>
  <c r="AA15" i="21"/>
  <c r="C16" i="46"/>
  <c r="C5" i="46" s="1"/>
  <c r="S41" i="39"/>
  <c r="J36" i="39"/>
  <c r="AC36" i="39" s="1"/>
  <c r="F36" i="39"/>
  <c r="AA36" i="39" s="1"/>
  <c r="H36" i="39"/>
  <c r="AB36" i="39" s="1"/>
  <c r="S34" i="39"/>
  <c r="AA33" i="39"/>
  <c r="S29" i="39"/>
  <c r="E14" i="52"/>
  <c r="S36" i="39"/>
  <c r="U34" i="39"/>
  <c r="AC33" i="39"/>
  <c r="W29" i="39"/>
  <c r="F101" i="39"/>
  <c r="G101" i="39" s="1"/>
  <c r="H27" i="39"/>
  <c r="F27" i="39"/>
  <c r="J27" i="39"/>
  <c r="AC27" i="39" s="1"/>
  <c r="S25" i="39"/>
  <c r="S23" i="39"/>
  <c r="S17" i="39"/>
  <c r="U14" i="39"/>
  <c r="W14" i="39"/>
  <c r="U38" i="39"/>
  <c r="AC31" i="39"/>
  <c r="S31" i="39"/>
  <c r="AB29" i="39"/>
  <c r="W27" i="39"/>
  <c r="S14" i="39"/>
  <c r="U23" i="39"/>
  <c r="AC21" i="39"/>
  <c r="AB21" i="39"/>
  <c r="AA19" i="39"/>
  <c r="AC17" i="39"/>
  <c r="W43" i="39"/>
  <c r="W41" i="39"/>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F27" i="6"/>
  <c r="F31" i="6" s="1"/>
  <c r="E296" i="3"/>
  <c r="E94" i="3"/>
  <c r="E158" i="3"/>
  <c r="E104" i="3"/>
  <c r="E390" i="3"/>
  <c r="E278" i="3"/>
  <c r="E337" i="3"/>
  <c r="E193" i="3"/>
  <c r="E78" i="3"/>
  <c r="E427" i="3"/>
  <c r="AM6" i="3"/>
  <c r="E49" i="3"/>
  <c r="E194" i="3"/>
  <c r="E381" i="3"/>
  <c r="E265" i="3"/>
  <c r="E156" i="3"/>
  <c r="E443" i="3"/>
  <c r="E250" i="3"/>
  <c r="E395" i="3"/>
  <c r="E411" i="3"/>
  <c r="I101" i="46"/>
  <c r="I102" i="46" s="1"/>
  <c r="M101" i="46"/>
  <c r="E22" i="46"/>
  <c r="AG11" i="46"/>
  <c r="AG13" i="46" s="1"/>
  <c r="AF11" i="46"/>
  <c r="AF13" i="46" s="1"/>
  <c r="M18" i="15"/>
  <c r="F31" i="43"/>
  <c r="D86" i="9"/>
  <c r="F29" i="12"/>
  <c r="F32" i="15"/>
  <c r="F59" i="15" s="1"/>
  <c r="F71" i="9"/>
  <c r="Q16" i="1"/>
  <c r="F24" i="43" s="1"/>
  <c r="C26" i="43" s="1"/>
  <c r="D24" i="43" s="1"/>
  <c r="E58" i="40"/>
  <c r="D21" i="12"/>
  <c r="C21" i="12" s="1"/>
  <c r="G16" i="1"/>
  <c r="H12" i="39" s="1"/>
  <c r="AB12" i="39" s="1"/>
  <c r="O6" i="1"/>
  <c r="P6" i="1" s="1"/>
  <c r="E67" i="39"/>
  <c r="E16" i="6"/>
  <c r="H16" i="1"/>
  <c r="D58" i="21"/>
  <c r="E58" i="21" s="1"/>
  <c r="F58" i="21" s="1"/>
  <c r="G58" i="21" s="1"/>
  <c r="H58" i="21" s="1"/>
  <c r="I58" i="21" s="1"/>
  <c r="J58" i="21" s="1"/>
  <c r="K58" i="21" s="1"/>
  <c r="L58" i="21" s="1"/>
  <c r="M58" i="21" s="1"/>
  <c r="N58" i="21" s="1"/>
  <c r="O58" i="21" s="1"/>
  <c r="H7" i="21"/>
  <c r="C72" i="39"/>
  <c r="D70" i="39"/>
  <c r="C25" i="12"/>
  <c r="C15" i="43"/>
  <c r="C15" i="12"/>
  <c r="C27" i="43"/>
  <c r="C31" i="43"/>
  <c r="C28" i="15"/>
  <c r="AP16" i="1"/>
  <c r="F22" i="11" s="1"/>
  <c r="C30" i="44"/>
  <c r="I65" i="40"/>
  <c r="H67" i="40"/>
  <c r="J46" i="36"/>
  <c r="K46" i="36" s="1"/>
  <c r="L46" i="36" s="1"/>
  <c r="M46" i="36" s="1"/>
  <c r="N46" i="36" s="1"/>
  <c r="O46" i="36" s="1"/>
  <c r="J7" i="36"/>
  <c r="H48" i="35"/>
  <c r="I48" i="35" s="1"/>
  <c r="J48" i="35" s="1"/>
  <c r="K48" i="35" s="1"/>
  <c r="L48" i="35" s="1"/>
  <c r="M48" i="35" s="1"/>
  <c r="N48" i="35" s="1"/>
  <c r="O48" i="35" s="1"/>
  <c r="J7" i="35"/>
  <c r="H7" i="35"/>
  <c r="K59" i="34"/>
  <c r="L59" i="34" s="1"/>
  <c r="M59" i="34" s="1"/>
  <c r="N59" i="34" s="1"/>
  <c r="O59" i="34" s="1"/>
  <c r="J7" i="34"/>
  <c r="I52" i="37"/>
  <c r="J52" i="37" s="1"/>
  <c r="K52" i="37" s="1"/>
  <c r="L52" i="37" s="1"/>
  <c r="M52" i="37" s="1"/>
  <c r="N52" i="37" s="1"/>
  <c r="O52" i="37" s="1"/>
  <c r="F7" i="37"/>
  <c r="H7" i="37"/>
  <c r="F18" i="11"/>
  <c r="C18" i="11" s="1"/>
  <c r="F7" i="36"/>
  <c r="G30" i="6"/>
  <c r="G31" i="6" s="1"/>
  <c r="E28" i="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I11" i="46"/>
  <c r="AI13" i="46" s="1"/>
  <c r="AA11" i="46"/>
  <c r="AA13" i="46" s="1"/>
  <c r="C23" i="46"/>
  <c r="C21" i="46" s="1"/>
  <c r="AH11" i="46"/>
  <c r="AD11" i="46"/>
  <c r="Z11" i="46"/>
  <c r="Z13" i="46" s="1"/>
  <c r="F101" i="46"/>
  <c r="N101" i="46"/>
  <c r="K101" i="46"/>
  <c r="Z7" i="46"/>
  <c r="E101" i="46"/>
  <c r="F22" i="46"/>
  <c r="L101" i="46"/>
  <c r="N104" i="45"/>
  <c r="B113" i="46"/>
  <c r="J101" i="46"/>
  <c r="G101" i="46"/>
  <c r="C101" i="46"/>
  <c r="H22" i="46"/>
  <c r="AB11" i="46"/>
  <c r="AB13" i="46" s="1"/>
  <c r="O7" i="1"/>
  <c r="P7" i="1" s="1"/>
  <c r="P9" i="1"/>
  <c r="P11" i="1"/>
  <c r="N69" i="9"/>
  <c r="G53" i="33"/>
  <c r="H53" i="33" s="1"/>
  <c r="F33" i="12"/>
  <c r="C34" i="12" s="1"/>
  <c r="D33" i="12" s="1"/>
  <c r="R49" i="33"/>
  <c r="E48" i="33"/>
  <c r="H7" i="36"/>
  <c r="H7" i="34"/>
  <c r="J12" i="40"/>
  <c r="H12" i="40"/>
  <c r="F12" i="40"/>
  <c r="J12" i="39"/>
  <c r="U18" i="36"/>
  <c r="I105" i="46"/>
  <c r="I103" i="46"/>
  <c r="M107" i="46"/>
  <c r="M102" i="46"/>
  <c r="M109" i="46"/>
  <c r="M106" i="46"/>
  <c r="D5" i="46"/>
  <c r="AZ520" i="3"/>
  <c r="J7" i="37"/>
  <c r="F7" i="35"/>
  <c r="F7" i="34"/>
  <c r="H69" i="46"/>
  <c r="H77" i="46"/>
  <c r="H76" i="46"/>
  <c r="U25" i="33"/>
  <c r="H47" i="46"/>
  <c r="AC39" i="37"/>
  <c r="W39" i="37"/>
  <c r="AZ392" i="3"/>
  <c r="AZ397" i="3"/>
  <c r="AZ408" i="3"/>
  <c r="AZ413" i="3"/>
  <c r="AZ424" i="3"/>
  <c r="S10" i="35"/>
  <c r="AC41" i="34"/>
  <c r="S45" i="21"/>
  <c r="AA27" i="33"/>
  <c r="W31" i="34"/>
  <c r="AB13" i="21"/>
  <c r="AB40" i="37"/>
  <c r="W46" i="33"/>
  <c r="W35" i="35"/>
  <c r="S28" i="34"/>
  <c r="AA28" i="34"/>
  <c r="W24" i="36"/>
  <c r="AC24" i="36"/>
  <c r="AZ432" i="3"/>
  <c r="F9" i="33"/>
  <c r="H9" i="33"/>
  <c r="F9" i="36"/>
  <c r="H9" i="36"/>
  <c r="H24" i="36"/>
  <c r="A30" i="51"/>
  <c r="B22" i="63" s="1"/>
  <c r="A30" i="64"/>
  <c r="AZ451" i="3"/>
  <c r="AZ457" i="3"/>
  <c r="AZ470" i="3"/>
  <c r="AZ473" i="3"/>
  <c r="AZ318" i="3"/>
  <c r="AZ334" i="3"/>
  <c r="AZ350" i="3"/>
  <c r="AZ208" i="3"/>
  <c r="AZ211" i="3"/>
  <c r="AZ219" i="3"/>
  <c r="AZ235" i="3"/>
  <c r="AZ248" i="3"/>
  <c r="AZ251" i="3"/>
  <c r="AZ264" i="3"/>
  <c r="AZ267" i="3"/>
  <c r="AZ271" i="3"/>
  <c r="AZ283" i="3"/>
  <c r="AZ287" i="3"/>
  <c r="AZ156" i="3"/>
  <c r="AZ159" i="3"/>
  <c r="AZ172" i="3"/>
  <c r="AZ175" i="3"/>
  <c r="AZ202" i="3"/>
  <c r="AZ21" i="3"/>
  <c r="AZ28" i="3"/>
  <c r="AZ34" i="3"/>
  <c r="AZ37" i="3"/>
  <c r="AZ44" i="3"/>
  <c r="AZ50" i="3"/>
  <c r="AZ53" i="3"/>
  <c r="AZ60" i="3"/>
  <c r="AZ72" i="3"/>
  <c r="AZ76" i="3"/>
  <c r="AZ80" i="3"/>
  <c r="AZ83" i="3"/>
  <c r="AZ96" i="3"/>
  <c r="AZ100" i="3"/>
  <c r="AZ103" i="3"/>
  <c r="AZ105" i="3"/>
  <c r="I21" i="57"/>
  <c r="D1" i="57"/>
  <c r="E10" i="57" s="1"/>
  <c r="AZ109" i="3"/>
  <c r="D41" i="59"/>
  <c r="D17" i="59"/>
  <c r="D24" i="59"/>
  <c r="D27" i="59"/>
  <c r="C28" i="59"/>
  <c r="C44" i="59"/>
  <c r="D43" i="59"/>
  <c r="E51" i="59"/>
  <c r="P52" i="59"/>
  <c r="B54" i="46"/>
  <c r="C27" i="40"/>
  <c r="Q51" i="59"/>
  <c r="Q50" i="59"/>
  <c r="O50" i="59"/>
  <c r="D31" i="59"/>
  <c r="AB11" i="59"/>
  <c r="AB3" i="59"/>
  <c r="AA13" i="59"/>
  <c r="AA11" i="59"/>
  <c r="AA3" i="59"/>
  <c r="X12" i="59"/>
  <c r="X10" i="59"/>
  <c r="X14" i="59"/>
  <c r="Y14" i="59"/>
  <c r="Z14" i="59" s="1"/>
  <c r="F15" i="59"/>
  <c r="F16" i="59" s="1"/>
  <c r="F17" i="59" s="1"/>
  <c r="V17" i="59" s="1"/>
  <c r="AA15" i="59"/>
  <c r="X16" i="59"/>
  <c r="AA17" i="59"/>
  <c r="B19" i="59"/>
  <c r="B20" i="59" s="1"/>
  <c r="B21" i="59" s="1"/>
  <c r="S21" i="59" s="1"/>
  <c r="C19" i="59"/>
  <c r="AB18" i="59"/>
  <c r="Y19" i="59"/>
  <c r="Z19" i="59" s="1"/>
  <c r="AB20" i="59"/>
  <c r="Y21" i="59"/>
  <c r="Z21" i="59" s="1"/>
  <c r="X22" i="59"/>
  <c r="E23" i="59"/>
  <c r="E24" i="59" s="1"/>
  <c r="E25" i="59" s="1"/>
  <c r="U25" i="59" s="1"/>
  <c r="F23" i="59"/>
  <c r="F24" i="59" s="1"/>
  <c r="F25" i="59" s="1"/>
  <c r="V25" i="59" s="1"/>
  <c r="X23" i="59"/>
  <c r="AA23" i="59"/>
  <c r="Y9" i="59"/>
  <c r="Z9" i="59" s="1"/>
  <c r="C13" i="59"/>
  <c r="AB9" i="59"/>
  <c r="F13" i="59"/>
  <c r="A28" i="64"/>
  <c r="AH10" i="46"/>
  <c r="AH12" i="46"/>
  <c r="AH13" i="46" s="1"/>
  <c r="AD10" i="46"/>
  <c r="AD12" i="46"/>
  <c r="C8" i="59"/>
  <c r="D9" i="59"/>
  <c r="X8" i="59"/>
  <c r="Y6" i="59"/>
  <c r="Z6" i="59" s="1"/>
  <c r="AB6" i="59"/>
  <c r="X6" i="59"/>
  <c r="AA6" i="59"/>
  <c r="B52" i="59"/>
  <c r="S13" i="59"/>
  <c r="B12" i="59"/>
  <c r="B11" i="59" s="1"/>
  <c r="U13" i="59"/>
  <c r="E12" i="59"/>
  <c r="E11" i="59" s="1"/>
  <c r="AA7" i="59"/>
  <c r="V9" i="59"/>
  <c r="K76" i="9"/>
  <c r="K77" i="9" s="1"/>
  <c r="K79" i="9" s="1"/>
  <c r="K81" i="9" s="1"/>
  <c r="AA9" i="59"/>
  <c r="X9" i="59"/>
  <c r="Y8" i="59"/>
  <c r="Z8" i="59" s="1"/>
  <c r="AA8" i="59"/>
  <c r="AB8" i="59"/>
  <c r="X7" i="59"/>
  <c r="X5" i="59"/>
  <c r="AA5" i="59"/>
  <c r="Y7" i="59"/>
  <c r="Z7" i="59" s="1"/>
  <c r="AB7"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8"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F33" i="44"/>
  <c r="M19" i="44"/>
  <c r="F58" i="15"/>
  <c r="M17" i="15"/>
  <c r="C16" i="15"/>
  <c r="E2" i="65"/>
  <c r="C17" i="15"/>
  <c r="C18" i="44"/>
  <c r="E3" i="65"/>
  <c r="K17" i="4" l="1"/>
  <c r="A22" i="51" s="1"/>
  <c r="B16" i="63" s="1"/>
  <c r="H107" i="46"/>
  <c r="H102" i="46"/>
  <c r="H103" i="46"/>
  <c r="J33" i="21"/>
  <c r="F33" i="21"/>
  <c r="H33" i="21"/>
  <c r="H11" i="21"/>
  <c r="F11" i="21"/>
  <c r="J11" i="21"/>
  <c r="AE11" i="46"/>
  <c r="AE13" i="46" s="1"/>
  <c r="D101" i="46"/>
  <c r="AC11" i="46"/>
  <c r="AC13" i="46" s="1"/>
  <c r="H105" i="46"/>
  <c r="H109" i="46"/>
  <c r="H104" i="46"/>
  <c r="H106" i="46"/>
  <c r="D18" i="9"/>
  <c r="M44" i="9" s="1"/>
  <c r="M43" i="9"/>
  <c r="U36" i="39"/>
  <c r="U37" i="21"/>
  <c r="AB37" i="21"/>
  <c r="W37" i="21"/>
  <c r="AC37" i="21"/>
  <c r="S37" i="21"/>
  <c r="AA37" i="21"/>
  <c r="AA10" i="21"/>
  <c r="S10" i="21"/>
  <c r="U10" i="21"/>
  <c r="AB10" i="21"/>
  <c r="AB23" i="21"/>
  <c r="U23" i="21"/>
  <c r="W23" i="21"/>
  <c r="AC23" i="21"/>
  <c r="AA17" i="21"/>
  <c r="W36" i="39"/>
  <c r="AB27" i="39"/>
  <c r="U27" i="39"/>
  <c r="AA27" i="39"/>
  <c r="S27" i="39"/>
  <c r="AD13" i="46"/>
  <c r="I106" i="46"/>
  <c r="I104" i="46"/>
  <c r="D22" i="46"/>
  <c r="I107" i="46"/>
  <c r="I109" i="46"/>
  <c r="M103" i="46"/>
  <c r="M105" i="46"/>
  <c r="M104" i="46"/>
  <c r="AC6" i="3"/>
  <c r="H6" i="3"/>
  <c r="U12" i="39"/>
  <c r="F12" i="39"/>
  <c r="AA12" i="39" s="1"/>
  <c r="E70" i="39"/>
  <c r="D72" i="39"/>
  <c r="J7" i="21"/>
  <c r="F7" i="21"/>
  <c r="AB7" i="21"/>
  <c r="U7" i="21"/>
  <c r="C29" i="59"/>
  <c r="D28" i="59"/>
  <c r="B51" i="59"/>
  <c r="N52" i="59"/>
  <c r="C20" i="59"/>
  <c r="D19" i="59"/>
  <c r="P51" i="59"/>
  <c r="P50" i="59"/>
  <c r="D44" i="59"/>
  <c r="C45" i="59"/>
  <c r="AZ5" i="3"/>
  <c r="AB24" i="36"/>
  <c r="U24" i="36"/>
  <c r="AA9" i="36"/>
  <c r="S9" i="36"/>
  <c r="AA9" i="33"/>
  <c r="S9" i="33"/>
  <c r="S7" i="35"/>
  <c r="AA7" i="35"/>
  <c r="R38" i="35" s="1"/>
  <c r="S12" i="40"/>
  <c r="AA12" i="40"/>
  <c r="AC12" i="40"/>
  <c r="W12" i="40"/>
  <c r="AB7" i="36"/>
  <c r="T36" i="36" s="1"/>
  <c r="G36" i="36" s="1"/>
  <c r="U7" i="36"/>
  <c r="C48" i="33"/>
  <c r="C49" i="33"/>
  <c r="B3" i="33" s="1"/>
  <c r="B2" i="33" s="1"/>
  <c r="M86" i="9"/>
  <c r="N86" i="9" s="1"/>
  <c r="M84" i="9"/>
  <c r="N84" i="9" s="1"/>
  <c r="M88" i="9"/>
  <c r="N88" i="9" s="1"/>
  <c r="M87" i="9"/>
  <c r="N87" i="9" s="1"/>
  <c r="M85" i="9"/>
  <c r="N85" i="9" s="1"/>
  <c r="M83" i="9"/>
  <c r="N83" i="9" s="1"/>
  <c r="N89" i="9" s="1"/>
  <c r="O89" i="9" s="1"/>
  <c r="G103" i="46"/>
  <c r="G106" i="46"/>
  <c r="G107" i="46"/>
  <c r="G109" i="46"/>
  <c r="G104" i="46"/>
  <c r="G102" i="46"/>
  <c r="G105"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B115" i="46"/>
  <c r="B116" i="46"/>
  <c r="C116" i="46" s="1"/>
  <c r="D117" i="46"/>
  <c r="E117" i="46" s="1"/>
  <c r="F117" i="46" s="1"/>
  <c r="G117" i="46" s="1"/>
  <c r="H117" i="46" s="1"/>
  <c r="I116" i="46"/>
  <c r="J116" i="46" s="1"/>
  <c r="K116" i="46" s="1"/>
  <c r="L116" i="46" s="1"/>
  <c r="M116" i="46" s="1"/>
  <c r="I117" i="46"/>
  <c r="J117" i="46" s="1"/>
  <c r="K117" i="46" s="1"/>
  <c r="L117" i="46" s="1"/>
  <c r="M117" i="46" s="1"/>
  <c r="G118" i="46"/>
  <c r="H118" i="46" s="1"/>
  <c r="L106" i="46"/>
  <c r="L107" i="46"/>
  <c r="L109" i="46"/>
  <c r="L103" i="46"/>
  <c r="L105" i="46"/>
  <c r="L102" i="46"/>
  <c r="L104" i="46"/>
  <c r="E103" i="46"/>
  <c r="E107" i="46"/>
  <c r="E102" i="46"/>
  <c r="E104" i="46"/>
  <c r="E105" i="46"/>
  <c r="E106" i="46"/>
  <c r="E109" i="46"/>
  <c r="K107" i="46"/>
  <c r="K102" i="46"/>
  <c r="K106" i="46"/>
  <c r="K109" i="46"/>
  <c r="K104" i="46"/>
  <c r="K103" i="46"/>
  <c r="K105" i="46"/>
  <c r="F106" i="46"/>
  <c r="F103" i="46"/>
  <c r="F104" i="46"/>
  <c r="F109" i="46"/>
  <c r="F102" i="46"/>
  <c r="F107" i="46"/>
  <c r="F105" i="46"/>
  <c r="U7" i="37"/>
  <c r="AB7" i="37"/>
  <c r="T42" i="37" s="1"/>
  <c r="G42" i="37" s="1"/>
  <c r="AB7" i="35"/>
  <c r="T38" i="35" s="1"/>
  <c r="G38" i="35" s="1"/>
  <c r="U7" i="35"/>
  <c r="J65" i="40"/>
  <c r="I67" i="40"/>
  <c r="C7" i="59"/>
  <c r="D8" i="59"/>
  <c r="F12" i="59"/>
  <c r="F11" i="59" s="1"/>
  <c r="V13" i="59"/>
  <c r="D13" i="59"/>
  <c r="T13" i="59"/>
  <c r="C12" i="59"/>
  <c r="AB9" i="36"/>
  <c r="U9" i="36"/>
  <c r="AB9" i="33"/>
  <c r="U9" i="33"/>
  <c r="AA7" i="34"/>
  <c r="R49" i="34" s="1"/>
  <c r="S7" i="34"/>
  <c r="AC7" i="37"/>
  <c r="V42" i="37" s="1"/>
  <c r="I42" i="37" s="1"/>
  <c r="W7" i="37"/>
  <c r="W12" i="39"/>
  <c r="AC12" i="39"/>
  <c r="U12" i="40"/>
  <c r="AB12" i="40"/>
  <c r="AB7" i="34"/>
  <c r="T49" i="34" s="1"/>
  <c r="G49" i="34" s="1"/>
  <c r="U7" i="34"/>
  <c r="E53" i="33"/>
  <c r="F53" i="33" s="1"/>
  <c r="E52" i="33"/>
  <c r="F52" i="33" s="1"/>
  <c r="I53" i="33"/>
  <c r="J53" i="33" s="1"/>
  <c r="C104" i="46"/>
  <c r="C107" i="46"/>
  <c r="C109" i="46"/>
  <c r="C103" i="46"/>
  <c r="C106" i="46"/>
  <c r="C105" i="46"/>
  <c r="C102" i="46"/>
  <c r="J107" i="46"/>
  <c r="J106" i="46"/>
  <c r="J104" i="46"/>
  <c r="J105" i="46"/>
  <c r="J109" i="46"/>
  <c r="J102" i="46"/>
  <c r="J103" i="46"/>
  <c r="N103" i="46"/>
  <c r="N104" i="46"/>
  <c r="N106" i="46"/>
  <c r="N105" i="46"/>
  <c r="N107" i="46"/>
  <c r="N109" i="46"/>
  <c r="N102" i="46"/>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19" i="6"/>
  <c r="S6" i="1" s="1"/>
  <c r="S16" i="1" s="1"/>
  <c r="K14" i="1"/>
  <c r="K20" i="6"/>
  <c r="M20" i="6" s="1"/>
  <c r="I20" i="6" s="1"/>
  <c r="S20" i="6" s="1"/>
  <c r="S7" i="36"/>
  <c r="AA7" i="36"/>
  <c r="R36" i="36" s="1"/>
  <c r="AA7" i="37"/>
  <c r="R42" i="37" s="1"/>
  <c r="S7" i="37"/>
  <c r="AC7" i="34"/>
  <c r="V49" i="34" s="1"/>
  <c r="I49" i="34" s="1"/>
  <c r="W7" i="34"/>
  <c r="AC7" i="35"/>
  <c r="V38" i="35" s="1"/>
  <c r="I38" i="35" s="1"/>
  <c r="W7" i="35"/>
  <c r="W7" i="36"/>
  <c r="AC7" i="36"/>
  <c r="V36" i="36" s="1"/>
  <c r="I36" i="36" s="1"/>
  <c r="C48" i="15"/>
  <c r="L47" i="44"/>
  <c r="F17" i="11"/>
  <c r="C17" i="11" s="1"/>
  <c r="C19" i="11" s="1"/>
  <c r="B40" i="1"/>
  <c r="O17" i="46"/>
  <c r="G20" i="46" s="1"/>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S33" i="21" l="1"/>
  <c r="AA33" i="21"/>
  <c r="U33" i="21"/>
  <c r="AB33" i="21"/>
  <c r="W33" i="21"/>
  <c r="AC33" i="21"/>
  <c r="S11" i="21"/>
  <c r="AA11" i="21"/>
  <c r="D103" i="46"/>
  <c r="D102" i="46"/>
  <c r="D109" i="46"/>
  <c r="D105" i="46"/>
  <c r="D104" i="46"/>
  <c r="D106" i="46"/>
  <c r="D107" i="46"/>
  <c r="W11" i="21"/>
  <c r="AC11" i="21"/>
  <c r="U11" i="21"/>
  <c r="AB11" i="21"/>
  <c r="T48" i="21" s="1"/>
  <c r="G48" i="21" s="1"/>
  <c r="G52" i="21" s="1"/>
  <c r="H52" i="21" s="1"/>
  <c r="E41" i="46"/>
  <c r="C41" i="46" s="1"/>
  <c r="C20" i="46"/>
  <c r="E6" i="3"/>
  <c r="S12" i="39"/>
  <c r="S7" i="46"/>
  <c r="S6" i="46"/>
  <c r="S2" i="46"/>
  <c r="S5" i="46"/>
  <c r="S3" i="46"/>
  <c r="S4" i="46"/>
  <c r="S7" i="21"/>
  <c r="AA7" i="21"/>
  <c r="W7" i="21"/>
  <c r="AC7" i="21"/>
  <c r="V48" i="21" s="1"/>
  <c r="I48" i="21" s="1"/>
  <c r="F70" i="39"/>
  <c r="E72" i="39"/>
  <c r="I42" i="35"/>
  <c r="J42" i="35" s="1"/>
  <c r="I53" i="34"/>
  <c r="J53" i="34" s="1"/>
  <c r="E42" i="37"/>
  <c r="I47" i="37" s="1"/>
  <c r="J47" i="37" s="1"/>
  <c r="R43" i="37"/>
  <c r="M14" i="1"/>
  <c r="K16" i="1"/>
  <c r="D12" i="59"/>
  <c r="C11" i="59"/>
  <c r="D11" i="59" s="1"/>
  <c r="D7" i="59"/>
  <c r="C6" i="59"/>
  <c r="G46" i="37"/>
  <c r="H46" i="37" s="1"/>
  <c r="G47" i="37"/>
  <c r="H47" i="37" s="1"/>
  <c r="G40" i="36"/>
  <c r="H40" i="36" s="1"/>
  <c r="G41" i="36"/>
  <c r="H41" i="36" s="1"/>
  <c r="T45" i="59"/>
  <c r="D45" i="59"/>
  <c r="I40" i="36"/>
  <c r="J40" i="36" s="1"/>
  <c r="E36" i="36"/>
  <c r="I41" i="36" s="1"/>
  <c r="J41" i="36" s="1"/>
  <c r="R37" i="36"/>
  <c r="K27" i="6"/>
  <c r="M19" i="6"/>
  <c r="G53" i="34"/>
  <c r="H53" i="34" s="1"/>
  <c r="G54" i="34"/>
  <c r="H54" i="34" s="1"/>
  <c r="I46" i="37"/>
  <c r="J46" i="37" s="1"/>
  <c r="R50" i="34"/>
  <c r="E49" i="34"/>
  <c r="I54" i="34" s="1"/>
  <c r="J54" i="34" s="1"/>
  <c r="K65" i="40"/>
  <c r="J67" i="40"/>
  <c r="G42" i="35"/>
  <c r="H42" i="35" s="1"/>
  <c r="G43" i="35"/>
  <c r="H43" i="35" s="1"/>
  <c r="C115" i="46"/>
  <c r="D113" i="46" s="1"/>
  <c r="J22" i="46" s="1"/>
  <c r="E38" i="35"/>
  <c r="R39" i="35"/>
  <c r="AY6" i="3"/>
  <c r="E3" i="6"/>
  <c r="C21" i="59"/>
  <c r="D20" i="59"/>
  <c r="N51" i="59"/>
  <c r="N50" i="59"/>
  <c r="T29" i="59"/>
  <c r="D29" i="59"/>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9" i="15" s="1"/>
  <c r="J24" i="15"/>
  <c r="J18" i="15"/>
  <c r="L52" i="44"/>
  <c r="R48" i="21" l="1"/>
  <c r="R49" i="21" s="1"/>
  <c r="I52" i="21"/>
  <c r="J52" i="21" s="1"/>
  <c r="G53" i="21"/>
  <c r="H53" i="21" s="1"/>
  <c r="F72" i="39"/>
  <c r="G70" i="39"/>
  <c r="T21" i="59"/>
  <c r="D21" i="59"/>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504" i="3"/>
  <c r="AY537" i="3"/>
  <c r="AY100" i="3"/>
  <c r="AY53" i="3"/>
  <c r="AY83" i="3"/>
  <c r="AY73" i="3"/>
  <c r="AY47" i="3"/>
  <c r="AY74" i="3"/>
  <c r="AY182" i="3"/>
  <c r="AY144" i="3"/>
  <c r="AY126" i="3"/>
  <c r="AY98" i="3"/>
  <c r="AY4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43" i="35"/>
  <c r="F43" i="35" s="1"/>
  <c r="E42" i="35"/>
  <c r="F42" i="35" s="1"/>
  <c r="L65" i="40"/>
  <c r="K67" i="40"/>
  <c r="C50" i="34"/>
  <c r="B3" i="34" s="1"/>
  <c r="B2" i="34" s="1"/>
  <c r="C49" i="34"/>
  <c r="E40" i="36"/>
  <c r="F40" i="36" s="1"/>
  <c r="E41" i="36"/>
  <c r="F41" i="36" s="1"/>
  <c r="C43" i="37"/>
  <c r="B3" i="37" s="1"/>
  <c r="B2" i="37" s="1"/>
  <c r="C42" i="37"/>
  <c r="I43" i="35"/>
  <c r="J43" i="35" s="1"/>
  <c r="D16" i="12"/>
  <c r="E6" i="6"/>
  <c r="L38" i="9"/>
  <c r="B14" i="66" s="1"/>
  <c r="B1" i="66" s="1"/>
  <c r="D45" i="9"/>
  <c r="D16" i="43"/>
  <c r="C16" i="43" s="1"/>
  <c r="C21" i="4"/>
  <c r="O5" i="54" s="1"/>
  <c r="B45" i="63" s="1"/>
  <c r="D10" i="11"/>
  <c r="D44" i="9"/>
  <c r="D46" i="9"/>
  <c r="C38" i="35"/>
  <c r="C39" i="35"/>
  <c r="B3" i="35" s="1"/>
  <c r="B2" i="35" s="1"/>
  <c r="E54" i="34"/>
  <c r="F54" i="34" s="1"/>
  <c r="E53" i="34"/>
  <c r="F53" i="34" s="1"/>
  <c r="I19" i="6"/>
  <c r="M27" i="6"/>
  <c r="C37" i="36"/>
  <c r="B3" i="36" s="1"/>
  <c r="B2" i="36" s="1"/>
  <c r="C36" i="36"/>
  <c r="C5" i="59"/>
  <c r="D6" i="59"/>
  <c r="T13" i="1"/>
  <c r="M16" i="1"/>
  <c r="T10" i="1"/>
  <c r="T6" i="1"/>
  <c r="T8" i="1"/>
  <c r="O14" i="1"/>
  <c r="O16" i="1" s="1"/>
  <c r="T7" i="1"/>
  <c r="T9" i="1"/>
  <c r="T11" i="1"/>
  <c r="T12" i="1"/>
  <c r="E46" i="37"/>
  <c r="F46" i="37" s="1"/>
  <c r="E47" i="37"/>
  <c r="F47" i="37" s="1"/>
  <c r="Q69" i="44"/>
  <c r="L58" i="44"/>
  <c r="L61" i="44" s="1"/>
  <c r="C32" i="15"/>
  <c r="C38" i="15"/>
  <c r="B5" i="11"/>
  <c r="B3" i="11"/>
  <c r="B4" i="11"/>
  <c r="C59" i="15"/>
  <c r="C65" i="15"/>
  <c r="C27" i="12"/>
  <c r="D26" i="12" s="1"/>
  <c r="C32" i="12" s="1"/>
  <c r="D30" i="12" s="1"/>
  <c r="Q49" i="44"/>
  <c r="Q55" i="44" s="1"/>
  <c r="Q67" i="44"/>
  <c r="Q58" i="44"/>
  <c r="C14" i="15"/>
  <c r="C16" i="44"/>
  <c r="E48" i="21" l="1"/>
  <c r="E52" i="21" s="1"/>
  <c r="F52" i="21" s="1"/>
  <c r="F40" i="39"/>
  <c r="H40" i="39"/>
  <c r="J40" i="39"/>
  <c r="T16" i="1"/>
  <c r="C48" i="21"/>
  <c r="C49" i="21"/>
  <c r="B3" i="21" s="1"/>
  <c r="H70" i="39"/>
  <c r="G72" i="39"/>
  <c r="C18" i="15"/>
  <c r="C15" i="15"/>
  <c r="C20" i="44"/>
  <c r="C17" i="44"/>
  <c r="D5" i="59"/>
  <c r="M20" i="46"/>
  <c r="C19" i="46" s="1"/>
  <c r="P14" i="1"/>
  <c r="P16" i="1" s="1"/>
  <c r="C13" i="12" s="1"/>
  <c r="C13" i="43"/>
  <c r="N16" i="1"/>
  <c r="C29" i="43" s="1"/>
  <c r="L16" i="1"/>
  <c r="S19" i="6"/>
  <c r="S27" i="6" s="1"/>
  <c r="I27" i="6"/>
  <c r="D22" i="12"/>
  <c r="C22" i="12" s="1"/>
  <c r="C20" i="12" s="1"/>
  <c r="D13" i="11"/>
  <c r="C13" i="11" s="1"/>
  <c r="E68" i="39"/>
  <c r="H19" i="6"/>
  <c r="K38" i="9"/>
  <c r="C14" i="66" s="1"/>
  <c r="B2" i="66" s="1"/>
  <c r="D24" i="6"/>
  <c r="D26" i="6"/>
  <c r="D22" i="6"/>
  <c r="D11" i="6"/>
  <c r="D12" i="6"/>
  <c r="H20" i="6"/>
  <c r="H25" i="6"/>
  <c r="D9" i="6"/>
  <c r="D5" i="6"/>
  <c r="D29" i="6"/>
  <c r="H22" i="6"/>
  <c r="D15" i="6"/>
  <c r="H26" i="6"/>
  <c r="F46" i="9"/>
  <c r="E46" i="9"/>
  <c r="E63" i="40"/>
  <c r="C22" i="4"/>
  <c r="D19" i="6"/>
  <c r="D21" i="6"/>
  <c r="D25" i="6"/>
  <c r="D10" i="6"/>
  <c r="D13" i="6"/>
  <c r="H21" i="6"/>
  <c r="H24" i="6"/>
  <c r="D6" i="6"/>
  <c r="D23" i="6"/>
  <c r="D14" i="6"/>
  <c r="D28" i="6"/>
  <c r="D30" i="6" s="1"/>
  <c r="D20" i="6"/>
  <c r="D8" i="6"/>
  <c r="H23" i="6"/>
  <c r="E45" i="9"/>
  <c r="F45" i="9"/>
  <c r="F44" i="9"/>
  <c r="E44" i="9"/>
  <c r="C8" i="66"/>
  <c r="C6" i="66"/>
  <c r="C7" i="66"/>
  <c r="D19" i="12"/>
  <c r="C19" i="12" s="1"/>
  <c r="C16" i="12"/>
  <c r="L67" i="40"/>
  <c r="M65" i="40"/>
  <c r="Q68" i="44"/>
  <c r="Q77" i="44" s="1"/>
  <c r="Q59" i="44"/>
  <c r="Q64" i="44" s="1"/>
  <c r="E53" i="21" l="1"/>
  <c r="F53" i="21" s="1"/>
  <c r="I53" i="21"/>
  <c r="J53" i="21" s="1"/>
  <c r="B2" i="21"/>
  <c r="C10" i="12" s="1"/>
  <c r="C6" i="12" s="1"/>
  <c r="C8" i="12"/>
  <c r="D16" i="6"/>
  <c r="AB40" i="39"/>
  <c r="U40" i="39"/>
  <c r="AC40" i="39"/>
  <c r="W40" i="39"/>
  <c r="AA40" i="39"/>
  <c r="S40" i="39"/>
  <c r="H27" i="6"/>
  <c r="R20" i="6"/>
  <c r="R23" i="6"/>
  <c r="R25" i="6"/>
  <c r="H72" i="39"/>
  <c r="I70" i="39"/>
  <c r="C21" i="44"/>
  <c r="C22" i="44" s="1"/>
  <c r="C25" i="44" s="1"/>
  <c r="C19" i="15"/>
  <c r="C20" i="15" s="1"/>
  <c r="C26" i="15" s="1"/>
  <c r="R19" i="6"/>
  <c r="D27" i="6"/>
  <c r="D31" i="6" s="1"/>
  <c r="R22" i="6"/>
  <c r="R24" i="6"/>
  <c r="C17" i="43"/>
  <c r="C14" i="43"/>
  <c r="C39" i="46"/>
  <c r="T7" i="46"/>
  <c r="V7" i="46" s="1"/>
  <c r="T9" i="46"/>
  <c r="V9" i="46" s="1"/>
  <c r="C37" i="46"/>
  <c r="T8" i="46"/>
  <c r="V8" i="46" s="1"/>
  <c r="T13" i="46"/>
  <c r="V13" i="46" s="1"/>
  <c r="C34" i="46"/>
  <c r="T15" i="46"/>
  <c r="V15" i="46" s="1"/>
  <c r="T5" i="46"/>
  <c r="V5" i="46" s="1"/>
  <c r="T10" i="46"/>
  <c r="V10" i="46" s="1"/>
  <c r="T2" i="46"/>
  <c r="V2" i="46" s="1"/>
  <c r="C38" i="46"/>
  <c r="C35" i="46"/>
  <c r="T12" i="46"/>
  <c r="V12" i="46" s="1"/>
  <c r="T3" i="46"/>
  <c r="V3" i="46" s="1"/>
  <c r="C33" i="46"/>
  <c r="T16" i="46"/>
  <c r="V16" i="46" s="1"/>
  <c r="C36" i="46"/>
  <c r="T4" i="46"/>
  <c r="V4" i="46" s="1"/>
  <c r="T11" i="46"/>
  <c r="V11" i="46" s="1"/>
  <c r="T14" i="46"/>
  <c r="V14" i="46" s="1"/>
  <c r="T6" i="46"/>
  <c r="V6" i="46" s="1"/>
  <c r="C29" i="46"/>
  <c r="N65" i="40"/>
  <c r="N67" i="40" s="1"/>
  <c r="F9" i="40" s="1"/>
  <c r="M67" i="40"/>
  <c r="J9" i="40" s="1"/>
  <c r="R21" i="6"/>
  <c r="A6" i="64"/>
  <c r="A6" i="51"/>
  <c r="B7" i="63" s="1"/>
  <c r="A20" i="64"/>
  <c r="A20" i="51"/>
  <c r="B15" i="63" s="1"/>
  <c r="N5" i="54"/>
  <c r="B43" i="63" s="1"/>
  <c r="R26" i="6"/>
  <c r="D6" i="66"/>
  <c r="D8" i="66"/>
  <c r="D7" i="66"/>
  <c r="C14" i="12"/>
  <c r="C17" i="12"/>
  <c r="C24" i="12" l="1"/>
  <c r="C29" i="12"/>
  <c r="R27" i="6"/>
  <c r="R6" i="1"/>
  <c r="R16" i="1" s="1"/>
  <c r="I72" i="39"/>
  <c r="J70" i="39"/>
  <c r="C18" i="12"/>
  <c r="C23" i="12" s="1"/>
  <c r="C18" i="43"/>
  <c r="C19" i="43" s="1"/>
  <c r="C25" i="43" s="1"/>
  <c r="C24" i="43" s="1"/>
  <c r="C28" i="44"/>
  <c r="C31" i="44" s="1"/>
  <c r="W9" i="40"/>
  <c r="AC9" i="40"/>
  <c r="V44" i="40" s="1"/>
  <c r="I44" i="40" s="1"/>
  <c r="S9" i="40"/>
  <c r="AA9" i="40"/>
  <c r="R44" i="40" s="1"/>
  <c r="E29" i="46"/>
  <c r="C30" i="46"/>
  <c r="E30" i="46" s="1"/>
  <c r="E35" i="46"/>
  <c r="G35" i="46"/>
  <c r="I35" i="46" s="1"/>
  <c r="G39" i="46"/>
  <c r="I39" i="46" s="1"/>
  <c r="E39" i="46"/>
  <c r="I6" i="6"/>
  <c r="I5" i="6"/>
  <c r="E36" i="46"/>
  <c r="G36" i="46"/>
  <c r="I36" i="46" s="1"/>
  <c r="E33" i="46"/>
  <c r="G33" i="46"/>
  <c r="I33" i="46" s="1"/>
  <c r="E38" i="46"/>
  <c r="G38" i="46"/>
  <c r="I38" i="46" s="1"/>
  <c r="G37" i="46"/>
  <c r="I37" i="46" s="1"/>
  <c r="E37" i="46"/>
  <c r="C23" i="15"/>
  <c r="C29" i="15" s="1"/>
  <c r="E34" i="46"/>
  <c r="G34" i="46"/>
  <c r="I34" i="46" s="1"/>
  <c r="H9" i="40"/>
  <c r="F7" i="67"/>
  <c r="C35" i="12" l="1"/>
  <c r="C33" i="12" s="1"/>
  <c r="H13" i="39"/>
  <c r="J13" i="39"/>
  <c r="F13" i="39"/>
  <c r="K70" i="39"/>
  <c r="J72" i="39"/>
  <c r="E4" i="67"/>
  <c r="U9" i="40"/>
  <c r="AB9" i="40"/>
  <c r="T44" i="40" s="1"/>
  <c r="G44" i="40" s="1"/>
  <c r="Q51" i="44"/>
  <c r="J21" i="44"/>
  <c r="J19" i="44" s="1"/>
  <c r="C35" i="44"/>
  <c r="C33" i="44" s="1"/>
  <c r="C38" i="44"/>
  <c r="C15" i="44"/>
  <c r="J16" i="44"/>
  <c r="C27" i="46"/>
  <c r="C22" i="43"/>
  <c r="C21" i="43" s="1"/>
  <c r="C28" i="43" s="1"/>
  <c r="C30" i="43" s="1"/>
  <c r="C32" i="43" s="1"/>
  <c r="B2" i="43" s="1"/>
  <c r="R45" i="40"/>
  <c r="E44" i="40"/>
  <c r="I49" i="40" s="1"/>
  <c r="J49" i="40" s="1"/>
  <c r="C28" i="12"/>
  <c r="C26" i="12" s="1"/>
  <c r="C31" i="12" s="1"/>
  <c r="C30" i="12" s="1"/>
  <c r="I48" i="40"/>
  <c r="J48" i="40" s="1"/>
  <c r="C36" i="15"/>
  <c r="Q50" i="15"/>
  <c r="C56" i="15"/>
  <c r="J59" i="15"/>
  <c r="J60" i="15" s="1"/>
  <c r="J14" i="15"/>
  <c r="C13" i="15"/>
  <c r="J19" i="15"/>
  <c r="J17" i="15" s="1"/>
  <c r="C33" i="15"/>
  <c r="C31" i="15" s="1"/>
  <c r="C26" i="46"/>
  <c r="E7" i="67"/>
  <c r="C36" i="12" l="1"/>
  <c r="B2" i="12" s="1"/>
  <c r="B5" i="12" s="1"/>
  <c r="AC13" i="39"/>
  <c r="W13" i="39"/>
  <c r="AA13" i="39"/>
  <c r="S13" i="39"/>
  <c r="AB13" i="39"/>
  <c r="U13" i="39"/>
  <c r="L70" i="39"/>
  <c r="K72" i="39"/>
  <c r="E3" i="67"/>
  <c r="J35" i="15"/>
  <c r="C37" i="15"/>
  <c r="C30" i="15" s="1"/>
  <c r="C39" i="15" s="1"/>
  <c r="C55" i="15"/>
  <c r="C64" i="15" s="1"/>
  <c r="Q71" i="15"/>
  <c r="Q49" i="15"/>
  <c r="L46" i="15"/>
  <c r="C44" i="40"/>
  <c r="C45" i="40"/>
  <c r="Q72" i="44"/>
  <c r="C39" i="44"/>
  <c r="C32" i="44" s="1"/>
  <c r="C42" i="44" s="1"/>
  <c r="C43" i="44"/>
  <c r="B2" i="46"/>
  <c r="J22" i="15"/>
  <c r="J13" i="15"/>
  <c r="J23" i="15" s="1"/>
  <c r="C60" i="15"/>
  <c r="C58" i="15" s="1"/>
  <c r="C63" i="15"/>
  <c r="E48" i="40"/>
  <c r="F48" i="40" s="1"/>
  <c r="E49" i="40"/>
  <c r="F49" i="40" s="1"/>
  <c r="B4" i="43"/>
  <c r="B5" i="43"/>
  <c r="B3" i="43"/>
  <c r="J24" i="44"/>
  <c r="J15" i="44"/>
  <c r="J25" i="44" s="1"/>
  <c r="G48" i="40"/>
  <c r="H48" i="40" s="1"/>
  <c r="G49" i="40"/>
  <c r="H49" i="40" s="1"/>
  <c r="D19" i="9"/>
  <c r="B7" i="67"/>
  <c r="L44" i="9" l="1"/>
  <c r="B4" i="12"/>
  <c r="B3" i="12"/>
  <c r="M70" i="39"/>
  <c r="L72" i="39"/>
  <c r="J18" i="44"/>
  <c r="J27" i="44" s="1"/>
  <c r="C57" i="15"/>
  <c r="C66" i="15" s="1"/>
  <c r="C67" i="15" s="1"/>
  <c r="C70" i="15" s="1"/>
  <c r="B2" i="67"/>
  <c r="B54" i="40"/>
  <c r="F54" i="40" s="1"/>
  <c r="B56" i="40"/>
  <c r="F56" i="40" s="1"/>
  <c r="B55" i="40"/>
  <c r="F55" i="40" s="1"/>
  <c r="B60" i="40"/>
  <c r="F60" i="40" s="1"/>
  <c r="B62" i="40"/>
  <c r="F62" i="40" s="1"/>
  <c r="B61" i="40"/>
  <c r="F61" i="40" s="1"/>
  <c r="B53" i="40"/>
  <c r="F53" i="40" s="1"/>
  <c r="B58" i="40"/>
  <c r="F58" i="40" s="1"/>
  <c r="B57" i="40"/>
  <c r="F57" i="40" s="1"/>
  <c r="B59" i="40"/>
  <c r="F59" i="40" s="1"/>
  <c r="F63" i="40"/>
  <c r="B2" i="40" s="1"/>
  <c r="C40" i="15"/>
  <c r="Q70" i="15"/>
  <c r="Q69" i="15" s="1"/>
  <c r="J16" i="15"/>
  <c r="J25" i="15" s="1"/>
  <c r="D4" i="46"/>
  <c r="B3" i="46"/>
  <c r="B4" i="46"/>
  <c r="J39" i="15"/>
  <c r="J40" i="15" s="1"/>
  <c r="Q71" i="44"/>
  <c r="Q70" i="44" s="1"/>
  <c r="C44" i="44"/>
  <c r="C45" i="44" s="1"/>
  <c r="B2" i="44" s="1"/>
  <c r="L51" i="15"/>
  <c r="D20" i="9"/>
  <c r="D21" i="9"/>
  <c r="N70" i="39" l="1"/>
  <c r="N72" i="39" s="1"/>
  <c r="H9" i="39" s="1"/>
  <c r="M72" i="39"/>
  <c r="J9" i="39" s="1"/>
  <c r="Q68" i="15"/>
  <c r="L57" i="15"/>
  <c r="L60" i="15" s="1"/>
  <c r="B3" i="44"/>
  <c r="B5" i="44"/>
  <c r="B4" i="44"/>
  <c r="B2" i="15"/>
  <c r="B3" i="15" s="1"/>
  <c r="Q66" i="15"/>
  <c r="C43" i="15"/>
  <c r="Q48" i="15"/>
  <c r="Q54" i="15" s="1"/>
  <c r="Q57" i="15"/>
  <c r="J42" i="15"/>
  <c r="J43" i="15" s="1"/>
  <c r="B5" i="40"/>
  <c r="B4" i="40"/>
  <c r="B3" i="40"/>
  <c r="C46" i="15"/>
  <c r="B4" i="67"/>
  <c r="B3" i="67"/>
  <c r="AC9" i="39" l="1"/>
  <c r="V49" i="39" s="1"/>
  <c r="I49" i="39" s="1"/>
  <c r="W9" i="39"/>
  <c r="F9" i="39"/>
  <c r="AB9" i="39"/>
  <c r="T49" i="39" s="1"/>
  <c r="G49" i="39" s="1"/>
  <c r="U9" i="39"/>
  <c r="Q58" i="15"/>
  <c r="Q63" i="15" s="1"/>
  <c r="Q67" i="15"/>
  <c r="Q76" i="15" s="1"/>
  <c r="G54" i="39" l="1"/>
  <c r="H54" i="39" s="1"/>
  <c r="G53" i="39"/>
  <c r="H53" i="39" s="1"/>
  <c r="S9" i="39"/>
  <c r="AA9" i="39"/>
  <c r="R49" i="39" s="1"/>
  <c r="I53" i="39"/>
  <c r="J53" i="39" s="1"/>
  <c r="E49" i="39" l="1"/>
  <c r="E51" i="39" s="1"/>
  <c r="R50" i="39"/>
  <c r="C50" i="39" l="1"/>
  <c r="C49" i="39"/>
  <c r="E53" i="39"/>
  <c r="F53" i="39" s="1"/>
  <c r="E54" i="39"/>
  <c r="F54" i="39" s="1"/>
  <c r="I54" i="39"/>
  <c r="J54" i="39" s="1"/>
  <c r="B62" i="39" l="1"/>
  <c r="F62" i="39" s="1"/>
  <c r="B64" i="39"/>
  <c r="F64" i="39" s="1"/>
  <c r="B66" i="39"/>
  <c r="F66" i="39" s="1"/>
  <c r="B58" i="39"/>
  <c r="F58" i="39" s="1"/>
  <c r="B61" i="39"/>
  <c r="F61" i="39" s="1"/>
  <c r="B67" i="39"/>
  <c r="F67" i="39" s="1"/>
  <c r="B65" i="39"/>
  <c r="F65" i="39" s="1"/>
  <c r="B60" i="39"/>
  <c r="F60" i="39" s="1"/>
  <c r="B59" i="39"/>
  <c r="F59" i="39" s="1"/>
  <c r="B63" i="39"/>
  <c r="F63" i="39" s="1"/>
  <c r="F68" i="39" l="1"/>
  <c r="B2" i="39" s="1"/>
  <c r="B3" i="39" s="1"/>
  <c r="C19" i="9"/>
  <c r="C20" i="9"/>
  <c r="B4" i="39" l="1"/>
  <c r="B5" i="39"/>
  <c r="D22" i="9"/>
  <c r="L43" i="9"/>
  <c r="G19" i="9"/>
  <c r="C32" i="9" s="1"/>
  <c r="G20" i="9"/>
  <c r="C21" i="9"/>
  <c r="G21" i="9" l="1"/>
  <c r="G22" i="9"/>
  <c r="N43" i="9"/>
  <c r="O38" i="9"/>
  <c r="O43" i="9"/>
  <c r="C34" i="9"/>
  <c r="C42" i="9"/>
  <c r="C33" i="9"/>
  <c r="C35" i="9"/>
  <c r="F42" i="9" s="1"/>
  <c r="R26" i="31" l="1"/>
  <c r="S26" i="31" s="1"/>
  <c r="R24" i="31"/>
  <c r="S24" i="31" s="1"/>
  <c r="D14" i="66"/>
  <c r="N68" i="9"/>
  <c r="D63" i="9"/>
  <c r="R5" i="54"/>
  <c r="B48" i="63" s="1"/>
  <c r="N38" i="9"/>
  <c r="K28" i="9" s="1"/>
  <c r="D42" i="9"/>
  <c r="Q5" i="54" s="1"/>
  <c r="B47" i="63" s="1"/>
  <c r="M38" i="9"/>
  <c r="K27" i="9" s="1"/>
  <c r="E42" i="9"/>
  <c r="P5" i="54" s="1"/>
  <c r="B46" i="63" s="1"/>
  <c r="K25" i="9"/>
  <c r="K26" i="9"/>
  <c r="R25" i="31" l="1"/>
  <c r="S25" i="31" s="1"/>
  <c r="D15" i="66" s="1"/>
  <c r="D71" i="9"/>
  <c r="D66" i="9" s="1"/>
  <c r="N72" i="9" s="1"/>
  <c r="D77" i="9"/>
  <c r="N75" i="9" s="1"/>
  <c r="C111" i="9"/>
  <c r="C104" i="9" s="1"/>
  <c r="C103" i="9"/>
  <c r="D70" i="9"/>
  <c r="C90" i="9"/>
  <c r="C82" i="9"/>
  <c r="C81" i="9" s="1"/>
  <c r="C85" i="9" s="1"/>
  <c r="C86" i="9" s="1"/>
  <c r="D72" i="9" s="1"/>
  <c r="C96" i="9"/>
  <c r="C91" i="9" s="1"/>
  <c r="E14" i="66"/>
  <c r="F14" i="66"/>
  <c r="S22" i="31" l="1"/>
  <c r="R22" i="31" s="1"/>
  <c r="B21" i="31" s="1"/>
  <c r="C97" i="9"/>
  <c r="C113" i="9"/>
  <c r="B20" i="31" l="1"/>
  <c r="F15" i="66"/>
  <c r="E15" i="66"/>
  <c r="C114" i="9"/>
  <c r="E114" i="9" s="1"/>
  <c r="E115" i="9" s="1"/>
  <c r="C98" i="9"/>
  <c r="E98" i="9" s="1"/>
  <c r="E99" i="9" s="1"/>
  <c r="C99" i="9" l="1"/>
  <c r="C115" i="9"/>
  <c r="D76" i="9" s="1"/>
  <c r="D74" i="9" s="1"/>
  <c r="N74" i="9" s="1"/>
  <c r="O77" i="9" s="1"/>
  <c r="Q77" i="9" s="1"/>
  <c r="O79" i="9" l="1"/>
  <c r="O81" i="9" s="1"/>
  <c r="O78" i="9"/>
  <c r="O80" i="9" l="1"/>
  <c r="D16" i="66" l="1"/>
  <c r="E16" i="66" l="1"/>
  <c r="F16"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<sst xmlns="http://schemas.openxmlformats.org/spreadsheetml/2006/main" count="7954" uniqueCount="3518">
  <si>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</si>
  <si>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</si>
  <si>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</si>
  <si>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</si>
  <si>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</si>
  <si>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</si>
  <si>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</si>
  <si>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</si>
  <si>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</si>
  <si>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</si>
  <si>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</si>
  <si>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</si>
  <si>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</si>
  <si>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</si>
  <si>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</si>
  <si>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</si>
  <si>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</si>
  <si>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</si>
  <si>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</si>
  <si>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</si>
  <si>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</si>
  <si>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</si>
  <si>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</si>
  <si>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</si>
  <si>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</si>
  <si>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</si>
  <si>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</si>
  <si>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</si>
  <si>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</si>
  <si>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</si>
  <si>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</si>
  <si>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</si>
  <si>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</si>
  <si>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</si>
  <si>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</si>
  <si>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</si>
  <si>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</si>
  <si>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</si>
  <si>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</si>
  <si>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</si>
  <si>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</si>
  <si>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</si>
  <si>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</si>
  <si>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</si>
  <si>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</si>
  <si>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</si>
  <si>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</si>
  <si>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</si>
  <si>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</si>
  <si>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</si>
  <si>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</si>
  <si>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</si>
  <si>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</si>
  <si>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</si>
  <si>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</si>
  <si>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</si>
  <si>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</si>
  <si>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</si>
  <si>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</si>
  <si>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</si>
  <si>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</si>
  <si>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</si>
  <si>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</si>
  <si>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</si>
  <si>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</si>
  <si>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</si>
  <si>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</si>
  <si>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</si>
  <si>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</si>
  <si>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</si>
  <si>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</si>
  <si>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</si>
  <si>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</si>
  <si>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</si>
  <si>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</si>
  <si>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</si>
  <si>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</si>
  <si>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</si>
  <si>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</si>
  <si>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</si>
  <si>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</si>
  <si>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</si>
  <si>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</si>
  <si>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</si>
  <si>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</si>
  <si>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</si>
  <si>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</si>
  <si>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</si>
  <si>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</si>
  <si>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</si>
  <si>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</si>
  <si>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</si>
  <si>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</si>
  <si>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</si>
  <si>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</si>
  <si>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</si>
  <si>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</si>
  <si>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</si>
  <si>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</si>
  <si>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</si>
  <si>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</si>
  <si>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</si>
  <si>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</si>
  <si>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</si>
  <si>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</si>
  <si>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</si>
  <si>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</si>
  <si>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</si>
  <si>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</si>
  <si>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</si>
  <si>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</si>
  <si>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</si>
  <si>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</si>
  <si>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</si>
  <si>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</si>
  <si>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</si>
  <si>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</si>
  <si>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</si>
  <si>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</si>
  <si>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</si>
  <si>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</si>
  <si>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</si>
  <si>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</si>
  <si>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</si>
  <si>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</si>
  <si>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</si>
  <si>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</si>
  <si>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</si>
  <si>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</si>
  <si>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</si>
  <si>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</si>
  <si>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</si>
  <si>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</si>
  <si>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</si>
  <si>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</si>
  <si>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</si>
  <si>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</si>
  <si>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</si>
  <si>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</si>
  <si>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</si>
  <si>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</si>
  <si>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</si>
  <si>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</si>
  <si>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</si>
  <si>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</si>
  <si>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</si>
  <si>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</si>
  <si>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</si>
  <si>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</si>
  <si>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</si>
  <si>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</si>
  <si>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</si>
  <si>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</si>
  <si>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</si>
  <si>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</si>
  <si>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</si>
  <si>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</si>
  <si>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</si>
  <si>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</si>
  <si>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</si>
  <si>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</si>
  <si>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</si>
  <si>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</si>
  <si>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</si>
  <si>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</si>
  <si>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</si>
  <si>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</si>
  <si>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</si>
  <si>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</si>
  <si>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</si>
  <si>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</si>
  <si>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</si>
  <si>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</si>
  <si>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</si>
  <si>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</si>
  <si>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</si>
  <si>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</si>
  <si>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</si>
  <si>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</si>
  <si>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</si>
  <si>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</si>
  <si>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</si>
  <si>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</si>
  <si>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</si>
  <si>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</si>
  <si>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</si>
  <si>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</si>
  <si>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</si>
  <si>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</si>
  <si>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</si>
  <si>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</si>
  <si>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</si>
  <si>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</si>
  <si>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</si>
  <si>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</si>
  <si>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</si>
  <si>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</si>
  <si>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</si>
  <si>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</si>
  <si>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</si>
  <si>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</si>
  <si>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</si>
  <si>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</si>
  <si>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</si>
  <si>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</si>
  <si>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</si>
  <si>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</si>
  <si>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</si>
  <si>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</si>
  <si>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</si>
  <si>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</si>
  <si>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</si>
  <si>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</si>
  <si>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</si>
  <si>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</si>
  <si>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</si>
  <si>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</si>
  <si>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</si>
  <si>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</si>
  <si>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</si>
  <si>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</si>
  <si>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</si>
  <si>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</si>
  <si>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</si>
  <si>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</si>
  <si>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</si>
  <si>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</si>
  <si>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</si>
  <si>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</si>
  <si>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</si>
  <si>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</si>
  <si>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</si>
  <si>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</si>
  <si>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</si>
  <si>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</si>
  <si>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</si>
  <si>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</si>
  <si>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</si>
  <si>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</si>
  <si>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</si>
  <si>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</si>
  <si>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</si>
  <si>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</si>
  <si>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</si>
  <si>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</si>
  <si>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</si>
  <si>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</si>
  <si>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</si>
  <si>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</si>
  <si>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</si>
  <si>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</si>
  <si>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</si>
  <si>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</si>
  <si>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</si>
  <si>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</si>
  <si>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</si>
  <si>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</si>
  <si>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</si>
  <si>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</si>
  <si>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</si>
  <si>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</si>
  <si>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</si>
  <si>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</si>
  <si>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</si>
  <si>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</si>
  <si>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</si>
  <si>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</si>
  <si>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</si>
  <si>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</si>
  <si>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</si>
  <si>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</si>
  <si>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</si>
  <si>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</si>
  <si>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</si>
  <si>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</si>
  <si>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</si>
  <si>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</si>
  <si>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</si>
  <si>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</si>
  <si>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</si>
  <si>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</si>
  <si>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</si>
  <si>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</si>
  <si>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</si>
  <si>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</si>
  <si>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</si>
  <si>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</si>
  <si>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</si>
  <si>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</si>
  <si>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</si>
  <si>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</si>
  <si>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</si>
  <si>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</si>
  <si>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</si>
  <si>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</si>
  <si>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</si>
  <si>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</si>
  <si>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</si>
  <si>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</si>
  <si>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</si>
  <si>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</si>
  <si>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</si>
  <si>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</si>
  <si>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</si>
  <si>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</si>
  <si>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</si>
  <si>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</si>
  <si>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</si>
  <si>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</si>
  <si>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</si>
  <si>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</si>
  <si>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</si>
  <si>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</si>
  <si>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</si>
  <si>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</si>
  <si>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</si>
  <si>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</si>
  <si>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</si>
  <si>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</si>
  <si>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</si>
  <si>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</si>
  <si>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</si>
  <si>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</si>
  <si>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</si>
  <si>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</si>
  <si>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</si>
  <si>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</si>
  <si>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</si>
  <si>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</si>
  <si>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</si>
  <si>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</si>
  <si>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</si>
  <si>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</si>
  <si>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</si>
  <si>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</si>
  <si>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</si>
  <si>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</si>
  <si>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</si>
  <si>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</si>
  <si>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</si>
  <si>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</si>
  <si>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</si>
  <si>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</si>
  <si>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</si>
  <si>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</si>
  <si>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</si>
  <si>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</si>
  <si>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</si>
  <si>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</si>
  <si>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</si>
  <si>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</si>
  <si>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</si>
  <si>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</si>
  <si>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</si>
  <si>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</si>
  <si>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</si>
  <si>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</si>
  <si>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</si>
  <si>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</si>
  <si>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</si>
  <si>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</si>
  <si>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</si>
  <si>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</si>
  <si>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</si>
  <si>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</si>
  <si>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</si>
  <si>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</si>
  <si>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</si>
  <si>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</si>
  <si>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</si>
  <si>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</si>
  <si>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</si>
  <si>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</si>
  <si>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</si>
  <si>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</si>
  <si>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</si>
  <si>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</si>
  <si>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</si>
  <si>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</si>
  <si>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</si>
  <si>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</si>
  <si>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</si>
  <si>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</si>
  <si>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</si>
  <si>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</si>
  <si>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</si>
  <si>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</si>
  <si>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</si>
  <si>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</si>
  <si>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</si>
  <si>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</si>
  <si>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</si>
  <si>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</si>
  <si>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</si>
  <si>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</si>
  <si>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</si>
  <si>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</si>
  <si>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</si>
  <si>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</si>
  <si>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</si>
  <si>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</si>
  <si>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</si>
  <si>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</si>
  <si>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</si>
  <si>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</si>
  <si>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</si>
  <si>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</si>
  <si>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</si>
  <si>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</si>
  <si>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</si>
  <si>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</si>
  <si>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</si>
  <si>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</si>
  <si>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</si>
  <si>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</si>
  <si>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</si>
  <si>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</si>
  <si>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</si>
  <si>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</si>
  <si>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</si>
  <si>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</si>
  <si>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</si>
  <si>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</si>
  <si>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</si>
  <si>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</si>
  <si>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</si>
  <si>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</si>
  <si>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</si>
  <si>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</si>
  <si>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</si>
  <si>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</si>
  <si>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</si>
  <si>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</si>
  <si>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</si>
  <si>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</si>
  <si>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</si>
  <si>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</si>
  <si>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</si>
  <si>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</si>
  <si>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</si>
  <si>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</si>
  <si>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</si>
  <si>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</si>
  <si>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</si>
  <si>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</si>
  <si>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</si>
  <si>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</si>
  <si>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</si>
  <si>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</si>
  <si>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</si>
  <si>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</si>
  <si>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</si>
  <si>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</si>
  <si>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</si>
  <si>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</si>
  <si>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</si>
  <si>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</si>
  <si>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</si>
  <si>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</si>
  <si>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</si>
  <si>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</si>
  <si>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</si>
  <si>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</si>
  <si>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</si>
  <si>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</si>
  <si>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</si>
  <si>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</si>
  <si>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</si>
  <si>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</si>
  <si>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</si>
  <si>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</si>
  <si>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</si>
  <si>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</si>
  <si>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</si>
  <si>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</si>
  <si>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</si>
  <si>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</si>
  <si>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</si>
  <si>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</si>
  <si>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</si>
  <si>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</si>
  <si>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</si>
  <si>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</si>
  <si>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</si>
  <si>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</si>
  <si>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</si>
  <si>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</si>
  <si>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</si>
  <si>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</si>
  <si>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</si>
  <si>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</si>
  <si>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</si>
  <si>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</si>
  <si>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</si>
  <si>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</si>
  <si>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</si>
  <si>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</si>
  <si>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</si>
  <si>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</si>
  <si>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</si>
  <si>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</si>
  <si>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</si>
  <si>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</si>
  <si>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</si>
  <si>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</si>
  <si>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</si>
  <si>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</si>
  <si>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</si>
  <si>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</si>
  <si>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</si>
  <si>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</si>
  <si>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</si>
  <si>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</si>
  <si>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</si>
  <si>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</si>
  <si>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</si>
  <si>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</si>
  <si>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</si>
  <si>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</si>
  <si>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</si>
  <si>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</si>
  <si>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</si>
  <si>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</si>
  <si>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</si>
  <si>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</si>
  <si>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</si>
  <si>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</si>
  <si>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</si>
  <si>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</si>
  <si>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</si>
  <si>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</si>
  <si>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</si>
  <si>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</si>
  <si>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</si>
  <si>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</si>
  <si>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</si>
  <si>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</si>
  <si>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</si>
  <si>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</si>
  <si>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</si>
  <si>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</si>
  <si>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</si>
  <si>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</si>
  <si>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</si>
  <si>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</si>
  <si>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</si>
  <si>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</si>
  <si>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</si>
  <si>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</si>
  <si>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</si>
  <si>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</si>
  <si>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</si>
  <si>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</si>
  <si>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</si>
  <si>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</si>
  <si>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</si>
  <si>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</si>
  <si>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</si>
  <si>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</si>
  <si>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</si>
  <si>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</si>
  <si>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</si>
  <si>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</si>
  <si>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</si>
  <si>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</si>
  <si>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</si>
  <si>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</si>
  <si>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</si>
  <si>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</si>
  <si>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</si>
  <si>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</si>
  <si>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</si>
  <si>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</si>
  <si>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</si>
  <si>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</si>
  <si>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</si>
  <si>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</si>
  <si>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</si>
  <si>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</si>
  <si>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</si>
  <si>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</si>
  <si>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</si>
  <si>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</si>
  <si>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</si>
  <si>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</si>
  <si>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</si>
  <si>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</si>
  <si>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</si>
  <si>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</si>
  <si>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</si>
  <si>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</si>
  <si>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</si>
  <si>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</si>
  <si>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</si>
  <si>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</si>
  <si>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</si>
  <si>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</si>
  <si>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</si>
  <si>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</si>
  <si>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</si>
  <si>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</si>
  <si>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</si>
  <si>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</si>
  <si>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</si>
  <si>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</si>
  <si>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</si>
  <si>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</si>
  <si>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</si>
  <si>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</si>
  <si>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</si>
  <si>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</si>
  <si>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</si>
  <si>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</si>
  <si>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</si>
  <si>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</si>
  <si>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</si>
  <si>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</si>
  <si>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</si>
  <si>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</si>
  <si>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</si>
  <si>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</si>
  <si>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</si>
  <si>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</si>
  <si>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</si>
  <si>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</si>
  <si>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</si>
  <si>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</si>
  <si>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</si>
  <si>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</si>
  <si>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</si>
  <si>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</si>
  <si>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</si>
  <si>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</si>
  <si>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</si>
  <si>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</si>
  <si>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</si>
  <si>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</si>
  <si>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</si>
  <si>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</si>
  <si>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</si>
  <si>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</si>
  <si>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</si>
  <si>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</si>
  <si>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</si>
  <si>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</si>
  <si>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</si>
  <si>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</si>
  <si>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</si>
  <si>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</si>
  <si>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</si>
  <si>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</si>
  <si>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</si>
  <si>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</si>
  <si>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</si>
  <si>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</si>
  <si>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</si>
  <si>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</si>
  <si>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</si>
  <si>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</si>
  <si>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</si>
  <si>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</si>
  <si>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</si>
  <si>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</si>
  <si>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</si>
  <si>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</si>
  <si>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</si>
  <si>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</si>
  <si>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</si>
  <si>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</si>
  <si>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</si>
  <si>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</si>
  <si>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</si>
  <si>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</si>
  <si>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</si>
  <si>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</si>
  <si>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</si>
  <si>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</si>
  <si>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</si>
  <si>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</si>
  <si>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</si>
  <si>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</si>
  <si>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</si>
  <si>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</si>
  <si>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</si>
  <si>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</si>
  <si>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</si>
  <si>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</si>
  <si>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</si>
  <si>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</si>
  <si>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</si>
  <si>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</si>
  <si>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</si>
  <si>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</si>
  <si>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</si>
  <si>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</si>
  <si>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</si>
  <si>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</si>
  <si>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</si>
  <si>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</si>
  <si>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</si>
  <si>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</si>
  <si>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</si>
  <si>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</si>
  <si>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</si>
  <si>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</si>
  <si>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</si>
  <si>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</si>
  <si>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</si>
  <si>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</si>
  <si>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</si>
  <si>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</si>
  <si>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</si>
  <si>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</si>
  <si>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</si>
  <si>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</si>
  <si>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</si>
  <si>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</si>
  <si>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</si>
  <si>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</si>
  <si>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</si>
  <si>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</si>
  <si>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</si>
  <si>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</si>
  <si>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</si>
  <si>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</si>
  <si>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</si>
  <si>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</si>
  <si>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</si>
  <si>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</si>
  <si>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</si>
  <si>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</si>
  <si>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</si>
  <si>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</si>
  <si>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</si>
  <si>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</si>
  <si>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</si>
  <si>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</si>
  <si>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</si>
  <si>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</si>
  <si>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</si>
  <si>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</si>
  <si>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</si>
  <si>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</si>
  <si>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</si>
  <si>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</si>
  <si>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</si>
  <si>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</si>
  <si>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</si>
  <si>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</si>
  <si>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</si>
  <si>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</si>
  <si>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</si>
  <si>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</si>
  <si>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</si>
  <si>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</si>
  <si>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</si>
  <si>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</si>
  <si>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</si>
  <si>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</si>
  <si>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</si>
  <si>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</si>
  <si>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</si>
  <si>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</si>
  <si>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</si>
  <si>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</si>
  <si>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</si>
  <si>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</si>
  <si>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</si>
  <si>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</si>
  <si>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</si>
  <si>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</si>
  <si>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</si>
  <si>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</si>
  <si>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</si>
  <si>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</si>
  <si>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</si>
  <si>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</si>
  <si>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</si>
  <si>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</si>
  <si>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</si>
  <si>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</si>
  <si>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</si>
  <si>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</si>
  <si>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</si>
  <si>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</si>
  <si>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</si>
  <si>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</si>
  <si>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</si>
  <si>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</si>
  <si>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</si>
  <si>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</si>
  <si>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</si>
  <si>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</si>
  <si>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</si>
  <si>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</si>
  <si>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</si>
  <si>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</si>
  <si>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</si>
  <si>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</si>
  <si>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</si>
  <si>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</si>
  <si>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</si>
  <si>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</si>
  <si>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</si>
  <si>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</si>
  <si>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</si>
  <si>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</si>
  <si>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</si>
  <si>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</si>
  <si>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</si>
  <si>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</si>
  <si>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</si>
  <si>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</si>
  <si>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</si>
  <si>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</si>
  <si>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</si>
  <si>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</si>
  <si>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</si>
  <si>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</si>
  <si>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</si>
  <si>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</si>
  <si>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</si>
  <si>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</si>
  <si>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</si>
  <si>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</si>
  <si>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</si>
  <si>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</si>
  <si>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</si>
  <si>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</si>
  <si>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</si>
  <si>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</si>
  <si>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</si>
  <si>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</si>
  <si>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</si>
  <si>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</si>
  <si>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</si>
  <si>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</si>
  <si>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</si>
  <si>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</si>
  <si>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</si>
  <si>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</si>
  <si>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</si>
  <si>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</si>
  <si>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</si>
  <si>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</si>
  <si>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</si>
  <si>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</si>
  <si>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</si>
  <si>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</si>
  <si>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</si>
  <si>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</si>
  <si>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</si>
  <si>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</si>
  <si>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</si>
  <si>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</si>
  <si>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</si>
  <si>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</si>
  <si>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</si>
  <si>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</si>
  <si>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</si>
  <si>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</si>
  <si>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</si>
  <si>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</si>
  <si>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</si>
  <si>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</si>
  <si>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</si>
  <si>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</si>
  <si>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</si>
  <si>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</si>
  <si>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</si>
  <si>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</si>
  <si>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</si>
  <si>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</si>
  <si>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</si>
  <si>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</si>
  <si>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</si>
  <si>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</si>
  <si>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</si>
  <si>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</si>
  <si>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</si>
  <si>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</si>
  <si>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</si>
  <si>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</si>
  <si>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</si>
  <si>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</si>
  <si>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</si>
  <si>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</si>
  <si>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</si>
  <si>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</si>
  <si>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</si>
  <si>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</si>
  <si>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</si>
  <si>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</si>
  <si>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</si>
  <si>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</si>
  <si>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</si>
  <si>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</si>
  <si>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</si>
  <si>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</si>
  <si>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</si>
  <si>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</si>
  <si>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</si>
  <si>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</si>
  <si>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</si>
  <si>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</si>
  <si>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</si>
  <si>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</si>
  <si>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</si>
  <si>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</si>
  <si>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</si>
  <si>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</si>
  <si>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</si>
  <si>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</si>
  <si>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</si>
  <si>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</si>
  <si>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</si>
  <si>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</si>
  <si>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</si>
  <si>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</si>
  <si>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</si>
  <si>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</si>
  <si>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</si>
  <si>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</si>
  <si>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</si>
  <si>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</si>
  <si>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</si>
  <si>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</si>
  <si>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</si>
  <si>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</si>
  <si>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</si>
  <si>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</si>
  <si>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</si>
  <si>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</si>
  <si>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</si>
  <si>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</si>
  <si>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</si>
  <si>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</si>
  <si>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</si>
  <si>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</si>
  <si>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</si>
  <si>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</si>
  <si>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</si>
  <si>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</si>
  <si>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</si>
  <si>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</si>
  <si>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</si>
  <si>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</si>
  <si>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</si>
  <si>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</si>
  <si>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</si>
  <si>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</si>
  <si>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</si>
  <si>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</si>
  <si>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</si>
  <si>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</si>
  <si>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</si>
  <si>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</si>
  <si>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</si>
  <si>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</si>
  <si>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</si>
  <si>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</si>
  <si>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</si>
  <si>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</si>
  <si>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</si>
  <si>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</si>
  <si>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</si>
  <si>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</si>
  <si>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</si>
  <si>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</si>
  <si>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</si>
  <si>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</si>
  <si>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</si>
  <si>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</si>
  <si>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</si>
  <si>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</si>
  <si>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</si>
  <si>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</si>
  <si>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</si>
  <si>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</si>
  <si>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</si>
  <si>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</si>
  <si>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</si>
  <si>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</si>
  <si>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</si>
  <si>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</si>
  <si>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</si>
  <si>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</si>
  <si>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</si>
  <si>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</si>
  <si>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</si>
  <si>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</si>
  <si>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</si>
  <si>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</si>
  <si>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</si>
  <si>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</si>
  <si>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</si>
  <si>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</si>
  <si>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</si>
  <si>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</si>
  <si>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</si>
  <si>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</si>
  <si>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</si>
  <si>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</si>
  <si>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</si>
  <si>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</si>
  <si>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</si>
  <si>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</si>
  <si>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</si>
  <si>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</si>
  <si>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</si>
  <si>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</si>
  <si>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</si>
  <si>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</si>
  <si>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</si>
  <si>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</si>
  <si>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</si>
  <si>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</si>
  <si>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</si>
  <si>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</si>
  <si>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</si>
  <si>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</si>
  <si>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</si>
  <si>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</si>
  <si>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</si>
  <si>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</si>
  <si>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</si>
  <si>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</si>
  <si>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</si>
  <si>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</si>
  <si>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</si>
  <si>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</si>
  <si>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</si>
  <si>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</si>
  <si>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</si>
  <si>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</si>
  <si>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</si>
  <si>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</si>
  <si>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</si>
  <si>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</si>
  <si>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</si>
  <si>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</si>
  <si>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</si>
  <si>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</si>
  <si>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</si>
  <si>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</si>
  <si>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</si>
  <si>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</si>
  <si>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</si>
  <si>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</si>
  <si>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</si>
  <si>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</si>
  <si>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</si>
  <si>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</si>
  <si>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</si>
  <si>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</si>
  <si>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</si>
  <si>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</si>
  <si>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</si>
  <si>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</si>
  <si>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</si>
  <si>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</si>
  <si>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</si>
  <si>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</si>
  <si>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</si>
  <si>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</si>
  <si>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</si>
  <si>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</si>
  <si>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</si>
  <si>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</si>
  <si>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</si>
  <si>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</si>
  <si>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</si>
  <si>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</si>
  <si>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</si>
  <si>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</si>
  <si>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</si>
  <si>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</si>
  <si>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</si>
  <si>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</si>
  <si>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</si>
  <si>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</si>
  <si>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</si>
  <si>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</si>
  <si>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</si>
  <si>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</si>
  <si>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</si>
  <si>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</si>
  <si>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</si>
  <si>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</si>
  <si>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</si>
  <si>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</si>
  <si>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</si>
  <si>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</si>
  <si>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</si>
  <si>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</si>
  <si>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</si>
  <si>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</si>
  <si>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</si>
  <si>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</si>
  <si>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</si>
  <si>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</si>
  <si>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</si>
  <si>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</si>
  <si>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</si>
  <si>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</si>
  <si>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</si>
  <si>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</si>
  <si>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</si>
  <si>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</si>
  <si>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</si>
  <si>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</si>
  <si>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</si>
  <si>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</si>
  <si>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</si>
  <si>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</si>
  <si>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</si>
  <si>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</si>
  <si>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</si>
  <si>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</si>
  <si>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</si>
  <si>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</si>
  <si>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</si>
  <si>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</si>
  <si>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</si>
  <si>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</si>
  <si>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</si>
  <si>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</si>
  <si>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</si>
  <si>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</si>
  <si>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</si>
  <si>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</si>
  <si>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</si>
  <si>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</si>
  <si>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</si>
  <si>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</si>
  <si>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</si>
  <si>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</si>
  <si>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</si>
  <si>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</si>
  <si>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</si>
  <si>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</si>
  <si>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</si>
  <si>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</si>
  <si>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</si>
  <si>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</si>
  <si>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</si>
  <si>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</si>
  <si>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</si>
  <si>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</si>
  <si>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</si>
  <si>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</si>
  <si>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</si>
  <si>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</si>
  <si>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</si>
  <si>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</si>
  <si>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</si>
  <si>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</si>
  <si>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</si>
  <si>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</si>
  <si>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</si>
  <si>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</si>
  <si>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</si>
  <si>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</si>
  <si>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</si>
  <si>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</si>
  <si>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</si>
  <si>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</si>
  <si>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</si>
  <si>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</si>
  <si>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</si>
  <si>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</si>
  <si>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</si>
  <si>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</si>
  <si>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</si>
  <si>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</si>
  <si>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</si>
  <si>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</si>
  <si>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</si>
  <si>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</si>
  <si>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</si>
  <si>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</si>
  <si>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</si>
  <si>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</si>
  <si>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</si>
  <si>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</si>
  <si>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</si>
  <si>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</si>
  <si>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</si>
  <si>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</si>
  <si>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</si>
  <si>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</si>
  <si>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</si>
  <si>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</si>
  <si>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</si>
  <si>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</si>
  <si>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</si>
  <si>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</si>
  <si>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</si>
  <si>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</si>
  <si>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</si>
  <si>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</si>
  <si>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</si>
  <si>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</si>
  <si>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</si>
  <si>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</si>
  <si>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</si>
  <si>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</si>
  <si>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</si>
  <si>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</si>
  <si>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</si>
  <si>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</si>
  <si>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</si>
  <si>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</si>
  <si>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</si>
  <si>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</si>
  <si>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</si>
  <si>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</si>
  <si>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</si>
  <si>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</si>
  <si>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</si>
  <si>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</si>
  <si>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</si>
  <si>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</si>
  <si>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</si>
  <si>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</si>
  <si>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</si>
  <si>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</si>
  <si>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</si>
  <si>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</si>
  <si>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</si>
  <si>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</si>
  <si>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</si>
  <si>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</si>
  <si>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</si>
  <si>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</si>
  <si>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</si>
  <si>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</si>
  <si>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</si>
  <si>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</si>
  <si>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</si>
  <si>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</si>
  <si>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</si>
  <si>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</si>
  <si>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</si>
  <si>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</si>
  <si>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</si>
  <si>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</si>
  <si>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</si>
  <si>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</si>
  <si>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</si>
  <si>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</si>
  <si>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</si>
  <si>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</si>
  <si>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</si>
  <si>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</si>
  <si>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</si>
  <si>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</si>
  <si>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</si>
  <si>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</si>
  <si>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</si>
  <si>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</si>
  <si>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</si>
  <si>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</si>
  <si>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</si>
  <si>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</si>
  <si>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</si>
  <si>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</si>
  <si>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</si>
  <si>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</si>
  <si>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</si>
  <si>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</si>
  <si>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</si>
  <si>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</si>
  <si>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</si>
  <si>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</si>
  <si>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</si>
  <si>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</si>
  <si>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</si>
  <si>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</si>
  <si>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</si>
  <si>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</si>
  <si>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</si>
  <si>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</si>
  <si>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</si>
  <si>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</si>
  <si>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</si>
  <si>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</si>
  <si>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</si>
  <si>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</si>
  <si>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</si>
  <si>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</si>
  <si>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</si>
  <si>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</si>
  <si>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</si>
  <si>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</si>
  <si>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</si>
  <si>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</si>
  <si>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</si>
  <si>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</si>
  <si>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</si>
  <si>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</si>
  <si>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</si>
  <si>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</si>
  <si>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</si>
  <si>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</si>
  <si>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</si>
  <si>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</si>
  <si>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</si>
  <si>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</si>
  <si>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</si>
  <si>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</si>
  <si>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</si>
  <si>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</si>
  <si>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</si>
  <si>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</si>
  <si>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</si>
  <si>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</si>
  <si>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</si>
  <si>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</si>
  <si>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</si>
  <si>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</si>
  <si>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</si>
  <si>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</si>
  <si>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</si>
  <si>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</si>
  <si>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</si>
  <si>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</si>
  <si>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</si>
  <si>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</si>
  <si>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</si>
  <si>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</si>
  <si>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</si>
  <si>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</si>
  <si>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</si>
  <si>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</si>
  <si>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</si>
  <si>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</si>
  <si>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</si>
  <si>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</si>
  <si>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</si>
  <si>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</si>
  <si>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</si>
  <si>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</si>
  <si>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</si>
  <si>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</si>
  <si>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</si>
  <si>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</si>
  <si>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</si>
  <si>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</si>
  <si>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</si>
  <si>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</si>
  <si>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</si>
  <si>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</si>
  <si>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</si>
  <si>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</si>
  <si>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</si>
  <si>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</si>
  <si>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</si>
  <si>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</si>
  <si>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</si>
  <si>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</si>
  <si>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</si>
  <si>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</si>
  <si>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</si>
  <si>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</si>
  <si>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</si>
  <si>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</si>
  <si>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</si>
  <si>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</si>
  <si>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</si>
  <si>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</si>
  <si>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</si>
  <si>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</si>
  <si>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</si>
  <si>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</si>
  <si>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</si>
  <si>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</si>
  <si>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</si>
  <si>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</si>
  <si>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</si>
  <si>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</si>
  <si>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</si>
  <si>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</si>
  <si>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</si>
  <si>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</si>
  <si>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</si>
  <si>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</si>
  <si>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</si>
  <si>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</si>
  <si>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</si>
  <si>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</si>
  <si>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</si>
  <si>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</si>
  <si>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</si>
  <si>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</si>
  <si>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</si>
  <si>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</si>
  <si>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</si>
  <si>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</si>
  <si>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</si>
  <si>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</si>
  <si>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</si>
  <si>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</si>
  <si>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</si>
  <si>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</si>
  <si>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</si>
  <si>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</si>
  <si>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</si>
  <si>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</si>
  <si>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</si>
  <si>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</si>
  <si>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</si>
  <si>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</si>
  <si>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</si>
  <si>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</si>
  <si>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</si>
  <si>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</si>
  <si>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</si>
  <si>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</si>
  <si>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</si>
  <si>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</si>
  <si>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</si>
  <si>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</si>
  <si>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</si>
  <si>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</si>
  <si>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</si>
  <si>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</si>
  <si>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</si>
  <si>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</si>
  <si>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</si>
  <si>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</si>
  <si>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</si>
  <si>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</si>
  <si>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</si>
  <si>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</si>
  <si>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</si>
  <si>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</si>
  <si>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</si>
  <si>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</si>
  <si>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</si>
  <si>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</si>
  <si>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</si>
  <si>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</si>
  <si>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</si>
  <si>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</si>
  <si>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</si>
  <si>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</si>
  <si>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</si>
  <si>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</si>
  <si>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</si>
  <si>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</si>
  <si>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</si>
  <si>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</si>
  <si>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</si>
  <si>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</si>
  <si>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</si>
  <si>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</si>
  <si>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</si>
  <si>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</si>
  <si>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</si>
  <si>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</si>
  <si>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</si>
  <si>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</si>
  <si>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</si>
  <si>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</si>
  <si>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</si>
  <si>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</si>
  <si>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</si>
  <si>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</si>
  <si>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</si>
  <si>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</si>
  <si>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</si>
  <si>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</si>
  <si>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</si>
  <si>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</si>
  <si>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</si>
  <si>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</si>
  <si>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</si>
  <si>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</si>
  <si>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</si>
  <si>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</si>
  <si>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</si>
  <si>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</si>
  <si>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</si>
  <si>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</si>
  <si>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</si>
  <si>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</si>
  <si>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</si>
  <si>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</si>
  <si>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</si>
  <si>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</si>
  <si>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</si>
  <si>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</si>
  <si>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</si>
  <si>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</si>
  <si>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</si>
  <si>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</si>
  <si>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</si>
  <si>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</si>
  <si>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</si>
  <si>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</si>
  <si>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</si>
  <si>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</si>
  <si>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</si>
  <si>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</si>
  <si>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</si>
  <si>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</si>
  <si>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</si>
  <si>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</si>
  <si>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</si>
  <si>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</si>
  <si>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</si>
  <si>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</si>
  <si>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</si>
  <si>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</si>
  <si>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</si>
  <si>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</si>
  <si>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</si>
  <si>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</si>
  <si>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</si>
  <si>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</si>
  <si>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</si>
  <si>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</si>
  <si>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</si>
  <si>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</si>
  <si>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</si>
  <si>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</si>
  <si>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</si>
  <si>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</si>
  <si>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</si>
  <si>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</si>
  <si>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</si>
  <si>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</si>
  <si>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</si>
  <si>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</si>
  <si>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</si>
  <si>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</si>
  <si>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</si>
  <si>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</si>
  <si>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</si>
  <si>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</si>
  <si>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</si>
  <si>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</si>
  <si>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</si>
  <si>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</si>
  <si>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</si>
  <si>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</si>
  <si>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</si>
  <si>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</si>
  <si>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</si>
  <si>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</si>
  <si>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</si>
  <si>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</si>
  <si>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</si>
  <si>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</si>
  <si>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</si>
  <si>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</si>
  <si>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</si>
  <si>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</si>
  <si>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</si>
  <si>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</si>
  <si>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</si>
  <si>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</si>
  <si>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</si>
  <si>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</si>
  <si>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</si>
  <si>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</si>
  <si>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</si>
  <si>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</si>
  <si>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</si>
  <si>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</si>
  <si>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</si>
  <si>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</si>
  <si>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</si>
  <si>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</si>
  <si>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</si>
  <si>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</si>
  <si>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</si>
  <si>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</si>
  <si>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</si>
  <si>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</si>
  <si>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</si>
  <si>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</si>
  <si>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</si>
  <si>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</si>
  <si>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</si>
  <si>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</si>
  <si>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</si>
  <si>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</si>
  <si>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</si>
  <si>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</si>
  <si>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</si>
  <si>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</si>
  <si>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</si>
  <si>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</si>
  <si>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</si>
  <si>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</si>
  <si>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</si>
  <si>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</si>
  <si>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</si>
  <si>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</si>
  <si>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</si>
  <si>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</si>
  <si>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</si>
  <si>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</si>
  <si>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</si>
  <si>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</si>
  <si>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</si>
  <si>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</si>
  <si>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</si>
  <si>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</si>
  <si>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</si>
  <si>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</si>
  <si>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</si>
  <si>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</si>
  <si>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</si>
  <si>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</si>
  <si>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</si>
  <si>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</si>
  <si>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</si>
  <si>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</si>
  <si>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</si>
  <si>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</si>
  <si>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</si>
  <si>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</si>
  <si>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</si>
  <si>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</si>
  <si>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</si>
  <si>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</si>
  <si>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</si>
  <si>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</si>
  <si>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</si>
  <si>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</si>
  <si>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</si>
  <si>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</si>
  <si>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</si>
  <si>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</si>
  <si>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</si>
  <si>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</si>
  <si>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</si>
  <si>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</si>
  <si>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</si>
  <si>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</si>
  <si>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</si>
  <si>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</si>
  <si>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</si>
  <si>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</si>
  <si>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</si>
  <si>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</si>
  <si>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</si>
  <si>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</si>
  <si>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</si>
  <si>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</si>
  <si>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</si>
  <si>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</si>
  <si>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</si>
  <si>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</si>
  <si>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</si>
  <si>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</si>
  <si>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</si>
  <si>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</si>
  <si>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</si>
  <si>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</si>
  <si>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</si>
  <si>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</si>
  <si>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</si>
  <si>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</si>
  <si>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</si>
  <si>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</si>
  <si>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</si>
  <si>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</si>
  <si>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</si>
  <si>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</si>
  <si>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</si>
  <si>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</si>
  <si>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</si>
  <si>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</si>
  <si>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</si>
  <si>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</si>
  <si>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</si>
  <si>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</si>
  <si>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</si>
  <si>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</si>
  <si>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</si>
  <si>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</si>
  <si>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</si>
  <si>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</si>
  <si>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</si>
  <si>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</si>
  <si>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</si>
  <si>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</si>
  <si>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</si>
  <si>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</si>
  <si>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</si>
  <si>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</si>
  <si>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</si>
  <si>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</si>
  <si>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</si>
  <si>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</si>
  <si>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</si>
  <si>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</si>
  <si>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</si>
  <si>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</si>
  <si>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</si>
  <si>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</si>
  <si>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</si>
  <si>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</si>
  <si>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</si>
  <si>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</si>
  <si>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</si>
  <si>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</si>
  <si>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</si>
  <si>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</si>
  <si>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</si>
  <si>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</si>
  <si>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</si>
  <si>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</si>
  <si>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</si>
  <si>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</si>
  <si>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</si>
  <si>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</si>
  <si>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</si>
  <si>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</si>
  <si>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</si>
  <si>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</si>
  <si>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</si>
  <si>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</si>
  <si>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</si>
  <si>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</si>
  <si>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</si>
  <si>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</si>
  <si>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</si>
  <si>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</si>
  <si>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</si>
  <si>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</si>
  <si>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</si>
  <si>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</si>
  <si>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</si>
  <si>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</si>
  <si>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</si>
  <si>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</si>
  <si>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</si>
  <si>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</si>
  <si>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</si>
  <si>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</si>
  <si>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</si>
  <si>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</si>
  <si>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</si>
  <si>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</si>
  <si>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</si>
  <si>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</si>
  <si>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</si>
  <si>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</si>
  <si>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</si>
  <si>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</si>
  <si>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</si>
  <si>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</si>
  <si>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</si>
  <si>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</si>
  <si>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</si>
  <si>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</si>
  <si>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</si>
  <si>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</si>
  <si>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</si>
  <si>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</si>
  <si>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</si>
  <si>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</si>
  <si>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</si>
  <si>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</si>
  <si>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</si>
  <si>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</si>
  <si>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</si>
  <si>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</si>
  <si>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</si>
  <si>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</si>
  <si>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</si>
  <si>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</si>
  <si>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</si>
  <si>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</si>
  <si>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</si>
  <si>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</si>
  <si>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</si>
  <si>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</si>
  <si>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</si>
  <si>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</si>
  <si>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</si>
  <si>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</si>
  <si>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</si>
  <si>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</si>
  <si>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</si>
  <si>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</si>
  <si>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</si>
  <si>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</si>
  <si>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</si>
  <si>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</si>
  <si>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</si>
  <si>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</si>
  <si>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</si>
  <si>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</si>
  <si>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</si>
  <si>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</si>
  <si>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</si>
  <si>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</si>
  <si>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</si>
  <si>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</si>
  <si>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</si>
  <si>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</si>
  <si>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</si>
  <si>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</si>
  <si>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</si>
  <si>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</si>
  <si>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</si>
  <si>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</si>
  <si>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</si>
  <si>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</si>
  <si>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</si>
  <si>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</si>
  <si>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</si>
  <si>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</si>
  <si>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</si>
  <si>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</si>
  <si>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</si>
  <si>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</si>
  <si>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</si>
  <si>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</si>
  <si>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</si>
  <si>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</si>
  <si>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</si>
  <si>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</si>
  <si>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</si>
  <si>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</si>
  <si>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</si>
  <si>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</si>
  <si>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</si>
  <si>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</si>
  <si>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</si>
  <si>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</si>
  <si>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</si>
  <si>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</si>
  <si>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</si>
  <si>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</si>
  <si>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</si>
  <si>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</si>
  <si>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</si>
  <si>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</si>
  <si>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</si>
  <si>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</si>
  <si>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</si>
  <si>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</si>
  <si>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</si>
  <si>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</si>
  <si>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</si>
  <si>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</si>
  <si>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</si>
  <si>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</si>
  <si>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</si>
  <si>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</si>
  <si>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</si>
  <si>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</si>
  <si>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</si>
  <si>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</si>
  <si>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</si>
  <si>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</si>
  <si>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</si>
  <si>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</si>
  <si>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</si>
  <si>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</si>
  <si>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</si>
  <si>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</si>
  <si>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</si>
  <si>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</si>
  <si>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</si>
  <si>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</si>
  <si>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</si>
  <si>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</si>
  <si>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</si>
  <si>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</si>
  <si>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</si>
  <si>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</si>
  <si>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</si>
  <si>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</si>
  <si>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</si>
  <si>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</si>
  <si>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</si>
  <si>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</si>
  <si>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</si>
  <si>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</si>
  <si>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</si>
  <si>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</si>
  <si>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</si>
  <si>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</si>
  <si>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</si>
  <si>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</si>
  <si>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</si>
  <si>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</si>
  <si>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</si>
  <si>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</si>
  <si>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</si>
  <si>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</si>
  <si>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</si>
  <si>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</si>
  <si>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</si>
  <si>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</si>
  <si>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</si>
  <si>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</si>
  <si>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</si>
  <si>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</si>
  <si>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</si>
  <si>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</si>
  <si>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</si>
  <si>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</si>
  <si>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</si>
  <si>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</si>
  <si>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</si>
  <si>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</si>
  <si>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</si>
  <si>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</si>
  <si>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</si>
  <si>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</si>
  <si>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</si>
  <si>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</si>
  <si>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</si>
  <si>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</si>
  <si>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</si>
  <si>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</si>
  <si>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</si>
  <si>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</si>
  <si>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</si>
  <si>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</si>
  <si>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</si>
  <si>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</si>
  <si>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</si>
  <si>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</si>
  <si>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</si>
  <si>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</si>
  <si>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</si>
  <si>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</si>
  <si>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</si>
  <si>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</si>
  <si>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</si>
  <si>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</si>
  <si>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</si>
  <si>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</si>
  <si>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</si>
  <si>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</si>
  <si>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</si>
  <si>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</si>
  <si>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</si>
  <si>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</si>
  <si>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</si>
  <si>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</si>
  <si>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</si>
  <si>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</si>
  <si>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</si>
  <si>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</si>
  <si>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</si>
  <si>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</si>
  <si>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</si>
  <si>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</si>
  <si>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</si>
  <si>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</si>
  <si>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</si>
  <si>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</si>
  <si>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</si>
  <si>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</si>
  <si>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</si>
  <si>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</si>
  <si>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</si>
  <si>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</si>
  <si>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</si>
  <si>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</si>
  <si>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</si>
  <si>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</si>
  <si>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</si>
  <si>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</si>
  <si>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</si>
  <si>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</si>
  <si>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</si>
  <si>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</si>
  <si>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</si>
  <si>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</si>
  <si>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</si>
  <si>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</si>
  <si>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</si>
  <si>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</si>
  <si>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</si>
  <si>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</si>
  <si>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</si>
  <si>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</si>
  <si>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</si>
  <si>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</si>
  <si>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</si>
  <si>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</si>
  <si>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</si>
  <si>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</si>
  <si>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</si>
  <si>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</si>
  <si>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</si>
  <si>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</si>
  <si>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</si>
  <si>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</si>
  <si>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</si>
  <si>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</si>
  <si>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</si>
  <si>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</si>
  <si>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</si>
  <si>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</si>
  <si>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</si>
  <si>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</si>
  <si>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</si>
  <si>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</si>
  <si>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</si>
  <si>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</si>
  <si>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</si>
  <si>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</si>
  <si>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</si>
  <si>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</si>
  <si>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</si>
  <si>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</si>
  <si>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</si>
  <si>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</si>
  <si>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</si>
  <si>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</si>
  <si>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</si>
  <si>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</si>
  <si>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</si>
  <si>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</si>
  <si>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</si>
  <si>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</si>
  <si>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</si>
  <si>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</si>
  <si>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</si>
  <si>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</si>
  <si>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</si>
  <si>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</si>
  <si>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</si>
  <si>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</si>
  <si>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</si>
  <si>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</si>
  <si>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</si>
  <si>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</si>
  <si>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</si>
  <si>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</si>
  <si>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</si>
  <si>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</si>
  <si>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</si>
  <si>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</si>
  <si>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</si>
  <si>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</si>
  <si>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</si>
  <si>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</si>
  <si>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</si>
  <si>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</si>
  <si>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</si>
  <si>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</si>
  <si>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</si>
  <si>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</si>
  <si>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</si>
  <si>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</si>
  <si>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</si>
  <si>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</si>
  <si>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</si>
  <si>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</si>
  <si>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</si>
  <si>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</si>
  <si>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</si>
  <si>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</si>
  <si>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</si>
  <si>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</si>
  <si>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</si>
  <si>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</si>
  <si>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</si>
  <si>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</si>
  <si>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</si>
  <si>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</si>
  <si>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</si>
  <si>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</si>
  <si>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</si>
  <si>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</si>
  <si>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</si>
  <si>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</si>
  <si>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</si>
  <si>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</si>
  <si>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</si>
  <si>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</si>
  <si>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</si>
  <si>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</si>
  <si>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</si>
  <si>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</si>
  <si>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</si>
  <si>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</si>
  <si>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</si>
  <si>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</si>
  <si>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</si>
  <si>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</si>
  <si>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</si>
  <si>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</si>
  <si>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</si>
  <si>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</si>
  <si>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</si>
  <si>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</si>
  <si>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</si>
  <si>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</si>
  <si>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</si>
  <si>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</si>
  <si>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</si>
  <si>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</si>
  <si>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</si>
  <si>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</si>
  <si>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</si>
  <si>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</si>
  <si>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</si>
  <si>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</si>
  <si>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</si>
  <si>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</si>
  <si>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</si>
  <si>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</si>
  <si>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</si>
  <si>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</si>
  <si>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</si>
  <si>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</si>
  <si>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</si>
  <si>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</si>
  <si>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</si>
  <si>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</si>
  <si>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</si>
  <si>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</si>
  <si>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</si>
  <si>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</si>
  <si>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</si>
  <si>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</si>
  <si>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</si>
  <si>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</si>
  <si>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</si>
  <si>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</si>
  <si>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</si>
  <si>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</si>
  <si>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</si>
  <si>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</si>
  <si>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</si>
  <si>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</si>
  <si>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</si>
  <si>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</si>
  <si>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</si>
  <si>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</si>
  <si>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</si>
  <si>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</si>
  <si>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</si>
  <si>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</si>
  <si>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</si>
  <si>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</si>
  <si>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</si>
  <si>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</si>
  <si>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</si>
  <si>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</si>
  <si>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</si>
  <si>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</si>
  <si>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</si>
  <si>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</si>
  <si>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</si>
  <si>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</si>
  <si>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</si>
  <si>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</si>
  <si>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</si>
  <si>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</si>
  <si>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</si>
  <si>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</si>
  <si>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</si>
  <si>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</si>
  <si>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</si>
  <si>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</si>
  <si>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</si>
  <si>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</si>
  <si>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</si>
  <si>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</si>
  <si>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</si>
  <si>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</si>
  <si>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</si>
  <si>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</si>
  <si>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</si>
  <si>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</si>
  <si>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</si>
  <si>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</si>
  <si>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</si>
  <si>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</si>
  <si>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</si>
  <si>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</si>
  <si>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</si>
  <si>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</si>
  <si>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</si>
  <si>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</si>
  <si>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</si>
  <si>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</si>
  <si>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</si>
  <si>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</si>
  <si>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</si>
  <si>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</si>
  <si>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</si>
  <si>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</si>
  <si>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</si>
  <si>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</si>
  <si>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</si>
  <si>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</si>
  <si>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</si>
  <si>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</si>
  <si>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</si>
  <si>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</si>
  <si>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</si>
  <si>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</si>
  <si>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</si>
  <si>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</si>
  <si>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</si>
  <si>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</si>
  <si>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</si>
  <si>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</si>
  <si>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</si>
  <si>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</si>
  <si>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</si>
  <si>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</si>
  <si>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</si>
  <si>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</si>
  <si>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</si>
  <si>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</si>
  <si>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</si>
  <si>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</si>
  <si>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</si>
  <si>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</si>
  <si>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</si>
  <si>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</si>
  <si>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</si>
  <si>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</si>
  <si>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</si>
  <si>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</si>
  <si>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</si>
  <si>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</si>
  <si>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</si>
  <si>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</si>
  <si>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</si>
  <si>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</si>
  <si>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</si>
  <si>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</si>
  <si>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</si>
  <si>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</si>
  <si>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</si>
  <si>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</si>
  <si>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</si>
  <si>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</si>
  <si>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</si>
  <si>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</si>
  <si>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</si>
  <si>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</si>
  <si>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</si>
  <si>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</si>
  <si>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</si>
  <si>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</si>
  <si>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</si>
  <si>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</si>
  <si>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</si>
  <si>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</si>
  <si>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</si>
  <si>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</si>
  <si>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</si>
  <si>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</si>
  <si>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</si>
  <si>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</si>
  <si>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</si>
  <si>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</si>
  <si>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</si>
  <si>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</si>
  <si>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</si>
  <si>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</si>
  <si>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</si>
  <si>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</si>
  <si>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</si>
  <si>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</si>
  <si>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</si>
  <si>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</si>
  <si>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</si>
  <si>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</si>
  <si>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</si>
  <si>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</si>
  <si>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</si>
  <si>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</si>
  <si>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</si>
  <si>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</si>
  <si>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</si>
  <si>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</si>
  <si>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</si>
  <si>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</si>
  <si>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</si>
  <si>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</si>
  <si>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</si>
  <si>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</si>
  <si>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</si>
  <si>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</si>
  <si>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</si>
  <si>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</si>
  <si>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</si>
  <si>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</si>
  <si>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</si>
  <si>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</si>
  <si>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</si>
  <si>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</si>
  <si>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</si>
  <si>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</si>
  <si>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</si>
  <si>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</si>
  <si>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</si>
  <si>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</si>
  <si>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</si>
  <si>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</si>
  <si>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</si>
  <si>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</si>
  <si>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</si>
  <si>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</si>
  <si>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</si>
  <si>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</si>
  <si>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</si>
  <si>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</si>
  <si>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</si>
  <si>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</si>
  <si>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</si>
  <si>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</si>
  <si>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</si>
  <si>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</si>
  <si>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</si>
  <si>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</si>
  <si>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</si>
  <si>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</si>
  <si>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</si>
  <si>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</si>
  <si>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</si>
  <si>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</si>
  <si>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</si>
  <si>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</si>
  <si>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</si>
  <si>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</si>
  <si>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</si>
  <si>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</si>
  <si>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</si>
  <si>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</si>
  <si>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</si>
  <si>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</si>
  <si>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</si>
  <si>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</si>
  <si>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</si>
  <si>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</si>
  <si>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</si>
  <si>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</si>
  <si>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</si>
  <si>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</si>
  <si>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</si>
  <si>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</si>
  <si>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</si>
  <si>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</si>
  <si>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</si>
  <si>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</si>
  <si>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</si>
  <si>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</si>
  <si>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</si>
  <si>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</si>
  <si>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</si>
  <si>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</si>
  <si>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</si>
  <si>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</si>
  <si>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</si>
  <si>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</si>
  <si>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</si>
  <si>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</si>
  <si>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</si>
  <si>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</si>
  <si>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</si>
  <si>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</si>
  <si>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</si>
  <si>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</si>
  <si>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</si>
  <si>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</si>
  <si>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</si>
  <si>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</si>
  <si>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</si>
  <si>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</si>
  <si>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</si>
  <si>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</si>
  <si>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</si>
  <si>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</si>
  <si>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</si>
  <si>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</si>
  <si>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</si>
  <si>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</si>
  <si>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</si>
  <si>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</si>
  <si>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</si>
  <si>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</si>
  <si>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</si>
  <si>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</si>
  <si>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</si>
  <si>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</si>
  <si>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</si>
  <si>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</si>
  <si>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</si>
  <si>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</si>
  <si>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</si>
  <si>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</si>
  <si>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</si>
  <si>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</si>
  <si>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</si>
  <si>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</si>
  <si>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</si>
  <si>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</si>
  <si>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</si>
  <si>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</si>
  <si>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</si>
  <si>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</si>
  <si>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</si>
  <si>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</si>
  <si>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</si>
  <si>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</si>
  <si>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</si>
  <si>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</si>
  <si>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</si>
  <si>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</si>
  <si>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</si>
  <si>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</si>
  <si>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</si>
  <si>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</si>
  <si>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</si>
  <si>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</si>
  <si>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</si>
  <si>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</si>
  <si>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</si>
  <si>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</si>
  <si>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</si>
  <si>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</si>
  <si>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</si>
  <si>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</si>
  <si>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</si>
  <si>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</si>
  <si>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</si>
  <si>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</si>
  <si>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</si>
  <si>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</si>
  <si>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</si>
  <si>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</si>
  <si>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</si>
  <si>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</si>
  <si>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</si>
  <si>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</si>
  <si>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</si>
  <si>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</si>
  <si>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</si>
  <si>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</si>
  <si>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</si>
  <si>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</si>
  <si>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</si>
  <si>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</si>
  <si>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</si>
  <si>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</si>
  <si>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</si>
  <si>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</si>
  <si>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</si>
  <si>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</si>
  <si>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</si>
  <si>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</si>
  <si>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</si>
  <si>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</si>
  <si>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</si>
  <si>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</si>
  <si>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</si>
  <si>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</si>
  <si>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</si>
  <si>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</si>
  <si>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</si>
  <si>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</si>
  <si>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</si>
  <si>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</si>
  <si>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</si>
  <si>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</si>
  <si>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</si>
  <si>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</si>
  <si>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</si>
  <si>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</si>
  <si>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</si>
  <si>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</si>
  <si>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</si>
  <si>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</si>
  <si>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</si>
  <si>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</si>
  <si>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</si>
  <si>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</si>
  <si>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</si>
  <si>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</si>
  <si>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</si>
  <si>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</si>
  <si>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</si>
  <si>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</si>
  <si>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</si>
  <si>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</si>
  <si>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</si>
  <si>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</si>
  <si>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</si>
  <si>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</si>
  <si>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</si>
  <si>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</si>
  <si>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</si>
  <si>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</si>
  <si>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</si>
  <si>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</si>
  <si>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</si>
  <si>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</si>
  <si>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</si>
  <si>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</si>
  <si>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</si>
  <si>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</si>
  <si>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</si>
  <si>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</si>
  <si>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</si>
  <si>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</si>
  <si>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</si>
  <si>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</si>
  <si>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</si>
  <si>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</si>
  <si>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</si>
  <si>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</si>
  <si>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</si>
  <si>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</si>
  <si>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</si>
  <si>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</si>
  <si>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</si>
  <si>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</si>
  <si>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</si>
  <si>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</si>
  <si>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</si>
  <si>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</si>
  <si>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</si>
  <si>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</si>
  <si>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</si>
  <si>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</si>
  <si>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</si>
  <si>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</si>
  <si>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</si>
  <si>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</si>
  <si>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</si>
  <si>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</si>
  <si>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</si>
  <si>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</si>
  <si>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</si>
  <si>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</si>
  <si>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</si>
  <si>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</si>
  <si>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</si>
  <si>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</si>
  <si>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</si>
  <si>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</si>
  <si>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</si>
  <si>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</si>
  <si>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</si>
  <si>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</si>
  <si>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</si>
  <si>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</si>
  <si>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</si>
  <si>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</si>
  <si>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</si>
  <si>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</si>
  <si>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</si>
  <si>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</si>
  <si>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</si>
  <si>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</si>
  <si>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</si>
  <si>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</si>
  <si>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</si>
  <si>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</si>
  <si>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</si>
  <si>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</si>
  <si>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</si>
  <si>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</si>
  <si>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</si>
  <si>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</si>
  <si>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</si>
  <si>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</si>
  <si>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</si>
  <si>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</si>
  <si>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</si>
  <si>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</si>
  <si>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</si>
  <si>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</si>
  <si>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</si>
  <si>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</si>
  <si>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</si>
  <si>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</si>
  <si>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</si>
  <si>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</si>
  <si>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</si>
  <si>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</si>
  <si>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</si>
  <si>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</si>
  <si>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</si>
  <si>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</si>
  <si>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</si>
  <si>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</si>
  <si>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</si>
  <si>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</si>
  <si>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</si>
  <si>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</si>
  <si>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</si>
  <si>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</si>
  <si>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</si>
  <si>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</si>
  <si>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</si>
  <si>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</si>
  <si>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</si>
  <si>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</si>
  <si>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</si>
  <si>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</si>
  <si>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</si>
  <si>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</si>
  <si>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</si>
  <si>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</si>
  <si>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</si>
  <si>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</si>
  <si>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</si>
  <si>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</si>
  <si>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</si>
  <si>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</si>
  <si>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</si>
  <si>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</si>
  <si>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</si>
  <si>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</si>
  <si>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</si>
  <si>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</si>
  <si>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</si>
  <si>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</si>
  <si>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</si>
  <si>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</si>
  <si>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</si>
  <si>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</si>
  <si>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</si>
  <si>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</si>
  <si>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</si>
  <si>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</si>
  <si>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</si>
  <si>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</si>
  <si>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</si>
  <si>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</si>
  <si>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</si>
  <si>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</si>
  <si>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</si>
  <si>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</si>
  <si>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</si>
  <si>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</si>
  <si>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</si>
  <si>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</si>
  <si>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</si>
  <si>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</si>
  <si>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</si>
  <si>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</si>
  <si>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</si>
  <si>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</si>
  <si>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</si>
  <si>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</si>
  <si>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</si>
  <si>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</si>
  <si>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</si>
  <si>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</si>
  <si>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</si>
  <si>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</si>
  <si>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</si>
  <si>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</si>
  <si>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</si>
  <si>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</si>
  <si>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</si>
  <si>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</si>
  <si>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</si>
  <si>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</si>
  <si>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</si>
  <si>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</si>
  <si>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</si>
  <si>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</si>
  <si>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</si>
  <si>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</si>
  <si>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</si>
  <si>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</si>
  <si>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</si>
  <si>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</si>
  <si>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</si>
  <si>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</si>
  <si>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</si>
  <si>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</si>
  <si>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</si>
  <si>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</si>
  <si>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</si>
  <si>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</si>
  <si>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</si>
  <si>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</si>
  <si>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</si>
  <si>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</si>
  <si>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</si>
  <si>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</si>
  <si>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</si>
  <si>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</si>
  <si>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</si>
  <si>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</si>
  <si>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</si>
  <si>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</si>
  <si>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</si>
  <si>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</si>
  <si>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</si>
  <si>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</si>
  <si>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</si>
  <si>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</si>
  <si>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</si>
  <si>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</si>
  <si>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</si>
  <si>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</si>
  <si>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</si>
  <si>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</si>
  <si>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</si>
  <si>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</si>
  <si>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</si>
  <si>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</si>
  <si>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</si>
  <si>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</si>
  <si>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</si>
  <si>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</si>
  <si>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</si>
  <si>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</si>
  <si>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</si>
  <si>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</si>
  <si>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</si>
  <si>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</si>
  <si>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</si>
  <si>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</si>
  <si>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</si>
  <si>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</si>
  <si>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</si>
  <si>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</si>
  <si>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</si>
  <si>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</si>
  <si>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</si>
  <si>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</si>
  <si>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</si>
  <si>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</si>
  <si>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</si>
  <si>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</si>
  <si>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</si>
  <si>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</si>
  <si>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</si>
  <si>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</si>
  <si>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</si>
  <si>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</si>
  <si>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</si>
  <si>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</si>
  <si>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</si>
  <si>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</si>
  <si>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</si>
  <si>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</si>
  <si>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</si>
  <si>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</si>
  <si>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</si>
  <si>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</si>
  <si>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</si>
  <si>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</si>
  <si>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</si>
  <si>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</si>
  <si>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</si>
  <si>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</si>
  <si>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</si>
  <si>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</si>
  <si>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</si>
  <si>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</si>
  <si>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</si>
  <si>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</si>
  <si>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</si>
  <si>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</si>
  <si>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</si>
  <si>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</si>
  <si>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</si>
  <si>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</si>
  <si>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</si>
  <si>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</si>
  <si>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</si>
  <si>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</si>
  <si>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</si>
  <si>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</si>
  <si>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</si>
  <si>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</si>
  <si>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</si>
  <si>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</si>
  <si>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</si>
  <si>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</si>
  <si>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</si>
  <si>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</si>
  <si>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</si>
  <si>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</si>
  <si>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</si>
  <si>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</si>
  <si>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</si>
  <si>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</si>
  <si>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</si>
  <si>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</si>
  <si>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</si>
  <si>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</si>
  <si>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</si>
  <si>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</si>
  <si>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</si>
  <si>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</si>
  <si>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</si>
  <si>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</si>
  <si>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</si>
  <si>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</si>
  <si>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</si>
  <si>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</si>
  <si>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</si>
  <si>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</si>
  <si>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</si>
  <si>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</si>
  <si>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</si>
  <si>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</si>
  <si>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</si>
  <si>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</si>
  <si>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</si>
  <si>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</si>
  <si>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</si>
  <si>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</si>
  <si>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</si>
  <si>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</si>
  <si>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</si>
  <si>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</si>
  <si>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</si>
  <si>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</si>
  <si>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</si>
  <si>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</si>
  <si>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</si>
  <si>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</si>
  <si>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</si>
  <si>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</si>
  <si>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</si>
  <si>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</si>
  <si>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</si>
  <si>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</si>
  <si>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</si>
  <si>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</si>
  <si>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</si>
  <si>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</si>
  <si>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</si>
  <si>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</si>
  <si>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</si>
  <si>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</si>
  <si>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</si>
  <si>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</si>
  <si>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</si>
  <si>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</si>
  <si>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</si>
  <si>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</si>
  <si>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</si>
  <si>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</si>
  <si>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</si>
  <si>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</si>
  <si>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</si>
  <si>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</si>
  <si>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</si>
  <si>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</si>
  <si>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</si>
  <si>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</si>
  <si>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</si>
  <si>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</si>
  <si>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</si>
  <si>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</si>
  <si>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</si>
  <si>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</si>
  <si>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</si>
  <si>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</si>
  <si>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</si>
  <si>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</si>
  <si>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</si>
  <si>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</si>
  <si>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</si>
  <si>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</si>
  <si>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</si>
  <si>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</si>
  <si>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</si>
  <si>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</si>
  <si>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</si>
  <si>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</si>
  <si>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</si>
  <si>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</si>
  <si>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</si>
  <si>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</si>
  <si>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</si>
  <si>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</si>
  <si>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</si>
  <si>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</si>
  <si>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</si>
  <si>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</si>
  <si>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</si>
  <si>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</si>
  <si>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</si>
  <si>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</si>
  <si>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</si>
  <si>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</si>
  <si>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</si>
  <si>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</si>
  <si>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</si>
  <si>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</si>
  <si>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</si>
  <si>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</si>
  <si>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</si>
  <si>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</si>
  <si>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</si>
  <si>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</si>
  <si>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</si>
  <si>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</si>
  <si>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</si>
  <si>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</si>
  <si>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</si>
  <si>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</si>
  <si>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</si>
  <si>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</si>
  <si>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</si>
  <si>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</si>
  <si>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</si>
  <si>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</si>
  <si>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</si>
  <si>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</si>
  <si>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</si>
  <si>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</si>
  <si>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</si>
  <si>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</si>
  <si>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</si>
  <si>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</si>
  <si>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</si>
  <si>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</si>
  <si>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</si>
  <si>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</si>
  <si>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</si>
  <si>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</si>
  <si>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</si>
  <si>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</si>
  <si>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</si>
  <si>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</si>
  <si>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</si>
  <si>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</si>
  <si>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</si>
  <si>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</si>
  <si>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</si>
  <si>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</si>
  <si>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</si>
  <si>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</si>
  <si>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</si>
  <si>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</si>
  <si>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</si>
  <si>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</si>
  <si>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</si>
  <si>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</si>
  <si>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</si>
  <si>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</si>
  <si>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</si>
  <si>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</si>
  <si>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</si>
  <si>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</si>
  <si>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</si>
  <si>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</si>
  <si>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</si>
  <si>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</si>
  <si>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</si>
  <si>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</si>
  <si>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</si>
  <si>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</si>
  <si>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</si>
  <si>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</si>
  <si>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</si>
  <si>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</si>
  <si>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</si>
  <si>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</si>
  <si>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</si>
  <si>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</si>
  <si>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</si>
  <si>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</si>
  <si>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</si>
  <si>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</si>
  <si>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</si>
  <si>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</si>
  <si>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</si>
  <si>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</si>
  <si>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</si>
  <si>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</si>
  <si>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</si>
  <si>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</si>
  <si>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</si>
  <si>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</si>
  <si>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</si>
  <si>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</si>
  <si>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</si>
  <si>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土地证编号</t>
    <phoneticPr fontId="229" type="noConversion"/>
  </si>
  <si>
    <t>土地面积</t>
    <phoneticPr fontId="229" type="noConversion"/>
  </si>
  <si>
    <t>终止日期</t>
    <phoneticPr fontId="229" type="noConversion"/>
  </si>
  <si>
    <t>京通国用（2000出）字第059号</t>
    <phoneticPr fontId="229" type="noConversion"/>
  </si>
  <si>
    <t>居住用地</t>
    <phoneticPr fontId="229" type="noConversion"/>
  </si>
  <si>
    <t>北京顺开房地产开发有限公司</t>
    <phoneticPr fontId="229" type="noConversion"/>
  </si>
  <si>
    <t>京通国用（2000出）字第060号</t>
    <phoneticPr fontId="229" type="noConversion"/>
  </si>
  <si>
    <t>商品住宅</t>
    <phoneticPr fontId="229" type="noConversion"/>
  </si>
  <si>
    <t>京通国用（2000出）字第061号</t>
    <phoneticPr fontId="229" type="noConversion"/>
  </si>
  <si>
    <t>京通国用（2000出）字第062号</t>
    <phoneticPr fontId="229" type="noConversion"/>
  </si>
  <si>
    <t>京通国用（2000出）字第063号</t>
    <phoneticPr fontId="229" type="noConversion"/>
  </si>
  <si>
    <t>京通国用（2000出）字第064号</t>
    <phoneticPr fontId="229" type="noConversion"/>
  </si>
  <si>
    <t>京通国用（2000出）字第065号</t>
    <phoneticPr fontId="229" type="noConversion"/>
  </si>
  <si>
    <t>京通国用（2001出）字第004号</t>
    <phoneticPr fontId="229" type="noConversion"/>
  </si>
  <si>
    <t>通州永顺东里（万福家园）</t>
    <phoneticPr fontId="229" type="noConversion"/>
  </si>
  <si>
    <t>京通国用（2001出）字第005号</t>
    <phoneticPr fontId="229" type="noConversion"/>
  </si>
  <si>
    <t>2071-3-1，2041-3-1</t>
    <phoneticPr fontId="229" type="noConversion"/>
  </si>
  <si>
    <t>商业用地，居住用地</t>
    <phoneticPr fontId="229" type="noConversion"/>
  </si>
  <si>
    <t>京通国用（2001出）字第006号</t>
    <phoneticPr fontId="229" type="noConversion"/>
  </si>
  <si>
    <t>合计面积</t>
    <phoneticPr fontId="229" type="noConversion"/>
  </si>
  <si>
    <t>平米</t>
    <phoneticPr fontId="229" type="noConversion"/>
  </si>
  <si>
    <t>亩</t>
    <phoneticPr fontId="229" type="noConversion"/>
  </si>
  <si>
    <t>房屋售价</t>
    <phoneticPr fontId="229" type="noConversion"/>
  </si>
  <si>
    <t>楼面价（市场评估值）</t>
    <phoneticPr fontId="229" type="noConversion"/>
  </si>
  <si>
    <t>计容面积</t>
    <phoneticPr fontId="229" type="noConversion"/>
  </si>
  <si>
    <t>土地市值</t>
    <phoneticPr fontId="229" type="noConversion"/>
  </si>
  <si>
    <t>用途</t>
    <phoneticPr fontId="229" type="noConversion"/>
  </si>
  <si>
    <t>通州区永顺地区永顺村</t>
    <phoneticPr fontId="229" type="noConversion"/>
  </si>
  <si>
    <t>座落</t>
    <phoneticPr fontId="229" type="noConversion"/>
  </si>
  <si>
    <t>土地使用者</t>
    <phoneticPr fontId="229" type="noConversion"/>
  </si>
  <si>
    <t>序号</t>
    <phoneticPr fontId="229" type="noConversion"/>
  </si>
  <si>
    <t>容积率</t>
    <phoneticPr fontId="229" type="noConversion"/>
  </si>
  <si>
    <t>住宅建筑面积</t>
    <phoneticPr fontId="229" type="noConversion"/>
  </si>
  <si>
    <t>商业建筑面积</t>
    <phoneticPr fontId="229" type="noConversion"/>
  </si>
  <si>
    <t>配套建筑面积</t>
    <phoneticPr fontId="229" type="noConversion"/>
  </si>
  <si>
    <t>地上建筑面积合计</t>
    <phoneticPr fontId="229" type="noConversion"/>
  </si>
  <si>
    <t>规划指标合计</t>
    <phoneticPr fontId="229" type="noConversion"/>
  </si>
  <si>
    <t>地下车库建筑面积</t>
    <phoneticPr fontId="229" type="noConversion"/>
  </si>
  <si>
    <t>地下配套建筑面积</t>
    <phoneticPr fontId="229" type="noConversion"/>
  </si>
  <si>
    <t>地下建筑面积合计</t>
    <phoneticPr fontId="229" type="noConversion"/>
  </si>
  <si>
    <t>规划指标部分</t>
    <phoneticPr fontId="229" type="noConversion"/>
  </si>
  <si>
    <t>项目基础情况</t>
    <phoneticPr fontId="229" type="noConversion"/>
  </si>
  <si>
    <t>已建成部分</t>
    <phoneticPr fontId="229" type="noConversion"/>
  </si>
  <si>
    <t>已建成部分建筑面积分摊土地面积</t>
    <phoneticPr fontId="229" type="noConversion"/>
  </si>
  <si>
    <t>已建成建筑面积面积</t>
    <phoneticPr fontId="229" type="noConversion"/>
  </si>
  <si>
    <t>已建成部分的用途（如住宅多少，商业多少）</t>
    <phoneticPr fontId="229" type="noConversion"/>
  </si>
  <si>
    <t>注：1. 确定10块地可评估范围，明确每块土地的已建成规划建筑面积和相对应的分摊土地面积
2. 确定每块地的规划指标（包括容积率、详细的规划指标、配建面积等）
3.所有数据都要需要以土地证为标准划分</t>
    <phoneticPr fontId="229" type="noConversion"/>
  </si>
  <si>
    <t>京杭大运河与通胡大街交汇东北角，运河文化广场公园东侧</t>
    <phoneticPr fontId="4" type="noConversion"/>
  </si>
  <si>
    <t>较好</t>
  </si>
  <si>
    <t>玉桥西路与运河西大街交汇处，通州区青少年活动中心北侧</t>
    <phoneticPr fontId="4" type="noConversion"/>
  </si>
  <si>
    <t>运河西大街，果园环岛向东两公里</t>
    <phoneticPr fontId="4" type="noConversion"/>
  </si>
  <si>
    <t>王鹏</t>
  </si>
  <si>
    <t>郑燚</t>
  </si>
  <si>
    <t>核定资产</t>
  </si>
  <si>
    <t>市场价格</t>
  </si>
  <si>
    <t>企业</t>
  </si>
  <si>
    <t>一致</t>
  </si>
  <si>
    <t>符合</t>
  </si>
  <si>
    <t>出让</t>
  </si>
  <si>
    <t>否</t>
  </si>
  <si>
    <t>地上</t>
  </si>
  <si>
    <t>平层住宅</t>
  </si>
  <si>
    <t>FXX0-0401-0005</t>
    <phoneticPr fontId="229" type="noConversion"/>
  </si>
  <si>
    <t>用地编号</t>
    <phoneticPr fontId="229" type="noConversion"/>
  </si>
  <si>
    <t>用地代码</t>
    <phoneticPr fontId="229" type="noConversion"/>
  </si>
  <si>
    <t>用地性质</t>
  </si>
  <si>
    <t>用地性质</t>
    <phoneticPr fontId="229" type="noConversion"/>
  </si>
  <si>
    <t>用地面积</t>
    <phoneticPr fontId="229" type="noConversion"/>
  </si>
  <si>
    <t>容积率</t>
    <phoneticPr fontId="229" type="noConversion"/>
  </si>
  <si>
    <t>建筑面积</t>
    <phoneticPr fontId="229" type="noConversion"/>
  </si>
  <si>
    <t>建筑高度</t>
    <phoneticPr fontId="229" type="noConversion"/>
  </si>
  <si>
    <t>建筑密度</t>
    <phoneticPr fontId="229" type="noConversion"/>
  </si>
  <si>
    <t>备注</t>
    <phoneticPr fontId="229" type="noConversion"/>
  </si>
  <si>
    <r>
      <t>F</t>
    </r>
    <r>
      <rPr>
        <sz val="11"/>
        <color theme="1"/>
        <rFont val="宋体"/>
        <family val="3"/>
        <charset val="134"/>
        <scheme val="minor"/>
      </rPr>
      <t>1</t>
    </r>
    <phoneticPr fontId="229" type="noConversion"/>
  </si>
  <si>
    <t>住宅混合公建用地</t>
    <phoneticPr fontId="229" type="noConversion"/>
  </si>
  <si>
    <t>含360平方米公共配套</t>
    <phoneticPr fontId="229" type="noConversion"/>
  </si>
  <si>
    <t>FXX0-0401-0008</t>
    <phoneticPr fontId="229" type="noConversion"/>
  </si>
  <si>
    <r>
      <t>R</t>
    </r>
    <r>
      <rPr>
        <sz val="11"/>
        <color theme="1"/>
        <rFont val="宋体"/>
        <family val="3"/>
        <charset val="134"/>
        <scheme val="minor"/>
      </rPr>
      <t>2</t>
    </r>
    <phoneticPr fontId="229" type="noConversion"/>
  </si>
  <si>
    <t>R2</t>
    <phoneticPr fontId="229" type="noConversion"/>
  </si>
  <si>
    <t>二类居住用地</t>
  </si>
  <si>
    <t>二类居住用地</t>
    <phoneticPr fontId="229" type="noConversion"/>
  </si>
  <si>
    <t>FXX0-0401-0014</t>
    <phoneticPr fontId="229" type="noConversion"/>
  </si>
  <si>
    <t>FXX0-0401-6002</t>
    <phoneticPr fontId="229" type="noConversion"/>
  </si>
  <si>
    <t>F2</t>
    <phoneticPr fontId="229" type="noConversion"/>
  </si>
  <si>
    <t>公建混合住宅用地</t>
    <phoneticPr fontId="229" type="noConversion"/>
  </si>
  <si>
    <t>FXX0-0401-6006</t>
    <phoneticPr fontId="229" type="noConversion"/>
  </si>
  <si>
    <t>FXX0-0401-6007</t>
  </si>
  <si>
    <t>FXX0-0401-6009</t>
    <phoneticPr fontId="229" type="noConversion"/>
  </si>
  <si>
    <t>含建筑面积20000平方米，含9000平方米派出所</t>
    <phoneticPr fontId="229" type="noConversion"/>
  </si>
  <si>
    <t>序号</t>
    <phoneticPr fontId="229" type="noConversion"/>
  </si>
  <si>
    <t>合计</t>
    <phoneticPr fontId="229" type="noConversion"/>
  </si>
  <si>
    <t>项目全部</t>
  </si>
  <si>
    <t>土地</t>
  </si>
  <si>
    <t>比较法-住宅、综合</t>
  </si>
  <si>
    <t>剩余法-待开发</t>
  </si>
  <si>
    <t>售价</t>
  </si>
  <si>
    <t>二类居住用地</t>
    <phoneticPr fontId="27" type="noConversion"/>
  </si>
  <si>
    <t>1级</t>
    <phoneticPr fontId="27" type="noConversion"/>
  </si>
  <si>
    <t>2级</t>
  </si>
  <si>
    <t>3级</t>
  </si>
  <si>
    <t>4级</t>
  </si>
  <si>
    <t>5级</t>
  </si>
  <si>
    <t>6级</t>
  </si>
  <si>
    <t>7级</t>
  </si>
  <si>
    <t>8级</t>
  </si>
  <si>
    <t>9级</t>
  </si>
  <si>
    <t>较规则</t>
  </si>
  <si>
    <t>较规则</t>
    <phoneticPr fontId="27" type="noConversion"/>
  </si>
  <si>
    <t>较不规则</t>
    <phoneticPr fontId="27" type="noConversion"/>
  </si>
  <si>
    <t>较适宜</t>
    <phoneticPr fontId="27" type="noConversion"/>
  </si>
  <si>
    <t>较不适宜</t>
    <phoneticPr fontId="27" type="noConversion"/>
  </si>
  <si>
    <t>七通一平</t>
    <phoneticPr fontId="27" type="noConversion"/>
  </si>
  <si>
    <t>六通一平</t>
    <phoneticPr fontId="27" type="noConversion"/>
  </si>
  <si>
    <t>较好</t>
    <phoneticPr fontId="27" type="noConversion"/>
  </si>
  <si>
    <t>一般</t>
  </si>
  <si>
    <t>无</t>
    <phoneticPr fontId="27" type="noConversion"/>
  </si>
  <si>
    <t>地块名称</t>
  </si>
  <si>
    <t>城市</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</si>
  <si>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</si>
  <si>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</si>
  <si>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</si>
  <si>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</si>
  <si>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</si>
  <si>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</si>
  <si>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</si>
  <si>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</si>
  <si>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</si>
  <si>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</si>
  <si>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</si>
  <si>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</si>
  <si>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</si>
  <si>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</si>
  <si>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</si>
  <si>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</si>
  <si>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顺义区高丽营镇于庄03-21、03-31地块R2二类居住用地</t>
  </si>
  <si>
    <t>住宅用地</t>
  </si>
  <si>
    <t>顺义区高丽营镇</t>
  </si>
  <si>
    <t>挂牌</t>
  </si>
  <si>
    <t>京土整储挂(顺)[2017]038号</t>
  </si>
  <si>
    <t>R2二类居住用地</t>
  </si>
  <si>
    <t>2017-06-22</t>
  </si>
  <si>
    <t>北京万科企业有限公司、北京华美恒升房地产开发有限公司、北京龙湖中佰置业有限公司和北京首都开发股份有限公司联合体</t>
  </si>
  <si>
    <t>居住70年、商业40年、办公50年</t>
  </si>
  <si>
    <t>3星</t>
  </si>
  <si>
    <t>北京市顺义区后沙峪镇21-18-001e地块R2二类居住用地、21-18-002地块A33基础教育用地</t>
  </si>
  <si>
    <t>综合用地(含住宅)</t>
  </si>
  <si>
    <t>顺义区后沙峪镇</t>
  </si>
  <si>
    <t>京土整储挂(顺)[2018]008号</t>
  </si>
  <si>
    <t>R2二类居住用地、A33基础教育用地</t>
  </si>
  <si>
    <t>2018-06-22</t>
  </si>
  <si>
    <t>中铁置业集团北京有限公司</t>
  </si>
  <si>
    <t>2星</t>
  </si>
  <si>
    <t>北京市顺义区后沙峪镇马头庄村SY00-0019-6005地块B1商业用地、SY00-0019-6006地块R2二类居住用地</t>
  </si>
  <si>
    <t>顺义区后沙峪镇马头庄村</t>
  </si>
  <si>
    <t>京土整储挂(顺)[2017]076号</t>
  </si>
  <si>
    <t>B1商业用地、R2二类居住用地</t>
  </si>
  <si>
    <t>2017-10-30</t>
  </si>
  <si>
    <t>中粮地产(北京)有限公司、北京天恒正同资产管理有限公司、北京旭辉企业管理有限公司和北京盛平置业有限公司联合体</t>
  </si>
  <si>
    <t>北京市顺义区后沙峪镇马头庄村SY00-0019-6007地块R2二类居住用地</t>
  </si>
  <si>
    <t>京土整储挂(顺)[2018]013号</t>
  </si>
  <si>
    <t>2018-07-04</t>
  </si>
  <si>
    <t>北京建工地产有限责任公司</t>
  </si>
  <si>
    <t>北京市顺义区后沙峪镇顺义新城第19街区SY00-0019-0075地块R2二类居住用地</t>
  </si>
  <si>
    <t>京土整储挂(顺)[2018]037号</t>
  </si>
  <si>
    <t>2018-11-26</t>
  </si>
  <si>
    <t>深圳市威卓投资咨询有限公司和北京首都开发股份有限公司联合体</t>
  </si>
  <si>
    <t>北京市通州新城0203街区TZ00-0203-6009地块R2二类居住用地、TZ00-0203-6010地块A33基础教育用地</t>
  </si>
  <si>
    <t>通州新城0203街区</t>
  </si>
  <si>
    <t>京土整储挂(通)[2018]067号</t>
  </si>
  <si>
    <t>r2=1.6,a33=0.8</t>
  </si>
  <si>
    <t>2019-02-02</t>
  </si>
  <si>
    <t>北京通州房地产开发有限责任公司</t>
  </si>
  <si>
    <t>居住70年商业40年办公50年</t>
  </si>
  <si>
    <t>北京市顺义区高丽营镇于庄SY02-0103-6004、SY02-0103-6007地块R2二类居住用地</t>
  </si>
  <si>
    <t>顺义区高丽营镇于庄</t>
  </si>
  <si>
    <t>京土整储挂(顺)[2018]045号</t>
  </si>
  <si>
    <t>2018-12-11</t>
  </si>
  <si>
    <t>北京尚恒睿信商业运营管理有限公司、北京联华基业房地产开发有限公司、北京炎焱燚商业管理有限公司和北京首都开发股份有限公司联合体</t>
  </si>
  <si>
    <t>北京市顺义区顺义新城牛栏山组团一级开发项目17-11-07地块(南侧)R2二类居住用地</t>
  </si>
  <si>
    <t>顺义区牛栏山镇</t>
  </si>
  <si>
    <t>京土整储挂(顺)[2018]044号</t>
  </si>
  <si>
    <t>北京拓景商务服务有限公司</t>
  </si>
  <si>
    <t>北京市通州区台湖镇YZ00-0405-0094等地块R2二类居住用地、YZ00-0405-0097地块A33基础教育用地</t>
  </si>
  <si>
    <t>通州区台湖镇</t>
  </si>
  <si>
    <t>京土整储挂(通)[2018]062号</t>
  </si>
  <si>
    <t>2019-01-31</t>
  </si>
  <si>
    <t>北京万科企业有限公司和深圳市创邺企业管理有限公司联合体</t>
  </si>
  <si>
    <t>4星</t>
  </si>
  <si>
    <t>北京市通州区永顺镇TZ-0104-6002地块F1住宅混合公建用地、TZ-0104-6001地块A33基础教育用地</t>
  </si>
  <si>
    <t>通州区永顺镇</t>
  </si>
  <si>
    <t>京土整储挂(通)[2018]068号</t>
  </si>
  <si>
    <t>F1住宅混合公建用地、A33基础教育用地</t>
  </si>
  <si>
    <t>f1=1.6,a33=0.8</t>
  </si>
  <si>
    <t>天津北方泽茂企业管理有限公司和北京煦腾房地产开发有限公司联合体</t>
  </si>
  <si>
    <t>北京市顺义区顺义新城第13街区SY00-0013-6022等地块R2二类居住用地、A61机构养老用地、A33基础教育用地</t>
  </si>
  <si>
    <t>顺义区顺义新城第13街区</t>
  </si>
  <si>
    <t>京土整储挂(顺)[2018]043号</t>
  </si>
  <si>
    <t>R2二类居住用地、A61机构养老设施用地、A33基础教育用地</t>
  </si>
  <si>
    <t>2018-12-04</t>
  </si>
  <si>
    <t>北京新城金郡房地产开发有限公司</t>
  </si>
  <si>
    <t>北京市顺义区顺义新城第13街区SY00-0013-6008、SY00-0013-6009地块R2二类居住用地、A33基础教育用地</t>
  </si>
  <si>
    <t>顺义新城第13街区</t>
  </si>
  <si>
    <t>京土整储挂(顺)[2018]042号</t>
  </si>
  <si>
    <t>北京润置商业运营管理有限公司</t>
  </si>
  <si>
    <t>顺义区仁和镇第5街区05-03-04-3地块</t>
  </si>
  <si>
    <t>顺义区仁和镇顺义新城第5街区</t>
  </si>
  <si>
    <t>京土整储挂(顺)[2017]027号</t>
  </si>
  <si>
    <t>2017-04-27</t>
  </si>
  <si>
    <t>河南新筑置业有限公司</t>
  </si>
  <si>
    <t>顺义区后沙峪镇SY00-0022-0614地块</t>
  </si>
  <si>
    <t>顺义新城第22街区北部</t>
  </si>
  <si>
    <t>京土整储挂(顺)[2016]010号</t>
  </si>
  <si>
    <t>F2公建混合住宅用地</t>
  </si>
  <si>
    <t>2016-06-02</t>
  </si>
  <si>
    <t>福建宏辉房地产开发有限公司</t>
  </si>
  <si>
    <t>北京市顺义区牛栏山镇SY00-0017-6001等地块B1商业用地、R2二类居住用地、F1住宅混合公建用地</t>
  </si>
  <si>
    <t>京土整储挂(顺)[2017]092号</t>
  </si>
  <si>
    <t>B1商业用地R2二类居住用地F1住宅混合公建用地</t>
  </si>
  <si>
    <t>2017-12-14</t>
  </si>
  <si>
    <t>北京亚通房地产开发有限责任公司(石榴)</t>
  </si>
  <si>
    <t>顺义区后沙峪镇SY00-0019-6001、6003地块R2二类居住用地、SY00-0019-6004地块B1商业用地</t>
  </si>
  <si>
    <t>顺义区后沙峪镇,顺义新城第19街区</t>
  </si>
  <si>
    <t>京土整储挂(顺)[2017]040号</t>
  </si>
  <si>
    <t>R2二类居住用地、B1商业用地</t>
  </si>
  <si>
    <t>r2:1.8;b1:2</t>
  </si>
  <si>
    <t>2017-07-13</t>
  </si>
  <si>
    <t>顺义区天竺镇第22街区SY00-0022-6015、6016地块</t>
  </si>
  <si>
    <t>顺义区天竺镇</t>
  </si>
  <si>
    <t>京土整储挂(顺)[2017]028号</t>
  </si>
  <si>
    <t>R2二类居住用地A33基础教育用地</t>
  </si>
  <si>
    <t>北京金隅大成开发有限公司和北京空港科技园区股份有限公司联合体</t>
  </si>
  <si>
    <t>通州区台湖镇北神树村B-30地块</t>
  </si>
  <si>
    <t>通州区台湖镇北神树组团J地块范围内</t>
  </si>
  <si>
    <t>京土整储挂(通)[2017]004号</t>
  </si>
  <si>
    <t>2017-03-28</t>
  </si>
  <si>
    <t>北京天恒正同资产管理有限公司</t>
  </si>
  <si>
    <t>北京市通州区台湖镇YZ00-0405-0078、0079、0081地块R2二类居住用地</t>
  </si>
  <si>
    <t>京土整储挂(通)[2017]118号</t>
  </si>
  <si>
    <t>2018-02-06</t>
  </si>
  <si>
    <t>北京住总置业有限公司和北京住总房地产开发有限责任公司联合体</t>
  </si>
  <si>
    <t>北京市通州区台湖镇TZ09-0100-6016地块、6019地块R2二类居住用地、TZ09-0100-6018地块A33基础教育用地</t>
  </si>
  <si>
    <t>京土整储挂(通)[2018]060号</t>
  </si>
  <si>
    <t>中建一局集团房地产开发有限公司</t>
  </si>
  <si>
    <t>北京市通州区台湖镇YZ00-0405-0099、YZ00-0405-0104地块R2二类居住用地</t>
  </si>
  <si>
    <t>京土整储挂(通)[2018]059号</t>
  </si>
  <si>
    <t>北京住总房地产开发有限责任公司、北京通州投资发展有限公司和北京住总置业有限公司联合体</t>
  </si>
  <si>
    <t>北京市顺义区后沙峪镇SY00-0019-6014地块R2二类居住用地、SY00-0019-6013地块A33基础教育用地</t>
  </si>
  <si>
    <t>京土整储挂(顺)[2018]032号</t>
  </si>
  <si>
    <t>中建一局集团建设发展有限公司</t>
  </si>
  <si>
    <t>北京市通州区通州新城0204街区TZ00-0024-0006、0007地块R2二类居住用地</t>
  </si>
  <si>
    <t>通州区宋庄镇疃里村</t>
  </si>
  <si>
    <t>京土整储挂(通)[2017]066号</t>
  </si>
  <si>
    <t>2017-09-21</t>
  </si>
  <si>
    <t>北京首都开发股份有限公司和北京新奥集团有限公司联合体</t>
  </si>
  <si>
    <t>北京市通州区西集镇西集村TZ07-0103-0019、0029地块R2二类居住用地、TZ07-0103-0020地块B1商业用地</t>
  </si>
  <si>
    <t>通州区西集镇西集村</t>
  </si>
  <si>
    <t>京土整储挂(通)[2017]068号</t>
  </si>
  <si>
    <t>2017-10-11</t>
  </si>
  <si>
    <t>北京德俊置业有限公司、北京房地置业发展有限公司、北京新奥集团有限公司和北京首都开发股份有限公司联合体</t>
  </si>
  <si>
    <t>1星</t>
  </si>
  <si>
    <t>七通</t>
  </si>
  <si>
    <t xml:space="preserve">六级VI-通2 </t>
    <phoneticPr fontId="27" type="noConversion"/>
  </si>
  <si>
    <r>
      <rPr>
        <sz val="11"/>
        <rFont val="宋体"/>
        <family val="3"/>
        <charset val="134"/>
      </rPr>
      <t>基准地价</t>
    </r>
    <r>
      <rPr>
        <sz val="11"/>
        <rFont val="Arial"/>
        <family val="2"/>
      </rPr>
      <t>9350</t>
    </r>
    <phoneticPr fontId="27" type="noConversion"/>
  </si>
  <si>
    <t>FXX0-0401-6011</t>
    <phoneticPr fontId="229" type="noConversion"/>
  </si>
  <si>
    <t>支路</t>
    <phoneticPr fontId="27" type="noConversion"/>
  </si>
  <si>
    <t>次干道</t>
  </si>
  <si>
    <t>次干道</t>
    <phoneticPr fontId="27" type="noConversion"/>
  </si>
  <si>
    <t>楼面地价</t>
  </si>
  <si>
    <t>正常</t>
  </si>
  <si>
    <t>无</t>
    <phoneticPr fontId="27" type="noConversion"/>
  </si>
  <si>
    <t>有</t>
    <phoneticPr fontId="27" type="noConversion"/>
  </si>
  <si>
    <t>居住用地（指二类居住用地）</t>
  </si>
  <si>
    <t>大兴区黄村镇DX00-0102-0702地块F1住宅混合公建用地</t>
  </si>
  <si>
    <t>大兴区黄村镇饮马井、义和庄村</t>
  </si>
  <si>
    <t>京土整储挂(兴)[2017]048号</t>
  </si>
  <si>
    <t>F1住宅混合公建用地</t>
  </si>
  <si>
    <t>2017-07-27</t>
  </si>
  <si>
    <t>北京融平企业管理服务有限公司</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</si>
  <si>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</si>
  <si>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</si>
  <si>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</si>
  <si>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</si>
  <si>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2017-08-08</t>
  </si>
  <si>
    <t>北京中瑞凯华投资管理有限公司和北京德俊置业有限公司联合体</t>
  </si>
  <si>
    <t>大兴区旧宫镇DX07-0201-0006、0007地块</t>
  </si>
  <si>
    <t>大兴区旧宫镇</t>
  </si>
  <si>
    <t>京土整储挂(兴)[2017]011号</t>
  </si>
  <si>
    <t>2017-04-13</t>
  </si>
  <si>
    <t>北京首都开发股份有限公司、北京中海地产有限公司、保利(北京)房地产开发有限公司和北京龙湖中佰置业有限公司联合体</t>
  </si>
  <si>
    <t>5星</t>
  </si>
  <si>
    <t>大兴区旧宫镇DX07-0201-0010、0011、0012地块</t>
  </si>
  <si>
    <t>京土整储挂(兴)[2017]012号</t>
  </si>
  <si>
    <t>大兴区黄村镇DX00-0102-0901地块F1住宅混合公建用地</t>
  </si>
  <si>
    <t>京土整储挂(兴)[2017]053号</t>
  </si>
  <si>
    <t>2017-08-04</t>
  </si>
  <si>
    <t>远洋地产有限公司</t>
  </si>
  <si>
    <t>北京经济技术开发区河西区X94R1地块R2二类居住用地</t>
  </si>
  <si>
    <t>北京经济技术开发区河西区X94R1地块</t>
  </si>
  <si>
    <t>京土整储挂(开)[2017]069</t>
  </si>
  <si>
    <t>京土整储挂(开)[2017]069号</t>
  </si>
  <si>
    <t>保利(北京)房地产开发有限公司、北京首都开发股份有限公司和北京创嘉兴业科技有限公司联合体</t>
  </si>
  <si>
    <t>大兴区瀛海镇YZ00-0803-0512、YZ00-0803-0514、C07-3地块R2二类居住用地、A33基础教育用地</t>
  </si>
  <si>
    <t>大兴区瀛海镇</t>
  </si>
  <si>
    <t>京土整储挂(兴)[2017]047号</t>
  </si>
  <si>
    <t>r2:2;a33:0.8</t>
  </si>
  <si>
    <t>北京中瑞凯华投资管理有限公司、北京德俊置业有限公司和上海骞乐企业管理有限公司联合体</t>
  </si>
  <si>
    <t>北京经济技术开发区河西区X90R2、X90A1地块R2二类居住用地、A33基础教育用地</t>
  </si>
  <si>
    <t>北京经济技术开发区河西区X90R2、X90A1地块</t>
  </si>
  <si>
    <t>京土整储挂(开)[2017]073号</t>
  </si>
  <si>
    <t>2017-10-25</t>
  </si>
  <si>
    <t>北京金隅大成开发有限公司</t>
  </si>
  <si>
    <t>北京经济技术开发区河西区X89R1地块R2二类居住用地</t>
  </si>
  <si>
    <t>北京经济技术开发区河西区X89R1地块</t>
  </si>
  <si>
    <t>京土整储挂(开)[2018]021号</t>
  </si>
  <si>
    <t>2018-10-19</t>
  </si>
  <si>
    <t>北京金隅兴大房地产开发有限公司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</si>
  <si>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</si>
  <si>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</si>
  <si>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</si>
  <si>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</si>
  <si>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大兴区黄村镇四街、五街、六街村项目DX00-0208-6001等地块</t>
  </si>
  <si>
    <t>京土整储挂(兴)[2016]001号</t>
  </si>
  <si>
    <t>R2二类居住用地、U17邮政设施用地、B4综合性商业金融服务业用地、A33基础教育用地</t>
  </si>
  <si>
    <t>2016-02-23</t>
  </si>
  <si>
    <t>北京绿地京城置业有限公司和北京绿地京华置业有限公司联合体</t>
  </si>
  <si>
    <t>北京市大兴区黄村镇三合庄0202-0206、0202-0208地块F1住宅混合公建用地</t>
  </si>
  <si>
    <t>大兴区黄村镇</t>
  </si>
  <si>
    <t>京土整储挂(兴)[2017]114号</t>
  </si>
  <si>
    <t>2018-01-30</t>
  </si>
  <si>
    <t>招商局地产(北京)有限公司和北京永世同创信息咨询有限公司联合体</t>
  </si>
  <si>
    <t>大兴区瀛海镇区C4组团YZ00-0803-0603地块</t>
  </si>
  <si>
    <t>大兴区瀛海镇区C4组团</t>
  </si>
  <si>
    <t>京土整储挂(兴)[2017]024号</t>
  </si>
  <si>
    <t>2017-04-25</t>
  </si>
  <si>
    <t>北京国瑞兴业房地产控股有限公司</t>
  </si>
  <si>
    <t>北京市大兴区庞各庄镇PGZ02-21地块R2二类居住用地</t>
  </si>
  <si>
    <t>大兴区庞各庄镇</t>
  </si>
  <si>
    <t>京土整储挂(兴)[2017]115号</t>
  </si>
  <si>
    <t>2018-02-02</t>
  </si>
  <si>
    <t>北京中海地产有限公司</t>
  </si>
  <si>
    <t>大兴区黄村镇兴华大街DX00-0202-0305地块R2二类居住用地、DX00-0202-0308地块</t>
  </si>
  <si>
    <t>大兴新城东片区0202街区</t>
  </si>
  <si>
    <t>京土整储挂(兴)[2016]021号</t>
  </si>
  <si>
    <t>2016-12-01</t>
  </si>
  <si>
    <t>中铁房地产集团北方有限公司</t>
  </si>
  <si>
    <t>北京经济技术开发区河西区X90R1、X90S1地块R2二类居住用地、S4社会停车场用地</t>
  </si>
  <si>
    <t>北京经济技术开发区河西区X90R1、X90S1地块</t>
  </si>
  <si>
    <t>京土整储挂(开)[2017]072号</t>
  </si>
  <si>
    <t>R2二类居住用地、S4社会停车场用地</t>
  </si>
  <si>
    <t>北京博大新元房地产开发有限公司</t>
  </si>
  <si>
    <t>北京经济技术开发区II-6街区X84R3地块</t>
  </si>
  <si>
    <t>京土整储挂(开)[2016]016号</t>
  </si>
  <si>
    <t>2016-10-09</t>
  </si>
  <si>
    <t>居住70年、办公50年、商业40年</t>
  </si>
  <si>
    <t>大兴区瀛海镇C4组团YZ00-0803-0602地块F2公建混合住宅用地</t>
  </si>
  <si>
    <t>京土整储挂(兴)[2017]043号</t>
  </si>
  <si>
    <t>2017-07-18</t>
  </si>
  <si>
    <t>北京中海地产有限公司、保利(北京)房地产开发有限公司联合体</t>
  </si>
  <si>
    <t>北京市大兴区魏善庄镇DX07-0102-6015地块R2二类居住用地</t>
  </si>
  <si>
    <t>大兴区魏善庄镇</t>
  </si>
  <si>
    <t>京土整储挂(兴)[2018]016号</t>
  </si>
  <si>
    <t>2018-08-23</t>
  </si>
  <si>
    <t>北京市大兴区采育镇区01-0128A地块R2二类居住用地</t>
  </si>
  <si>
    <t>大兴区采育镇</t>
  </si>
  <si>
    <t>京土整储挂(兴)[2018]031号</t>
  </si>
  <si>
    <t>北京住总房地产开发有限责任公司</t>
  </si>
  <si>
    <t>大兴区黄村镇DX00-0102-0802地块F1住宅混合公建用地</t>
  </si>
  <si>
    <t>京土整储挂(兴)[2017]044号</t>
  </si>
  <si>
    <t>2017-07-25</t>
  </si>
  <si>
    <t>保利(北京)房地产开发有限公司</t>
  </si>
  <si>
    <t>北京市大兴区魏善庄镇DX07-0102-6013地块R2二类居住用地、DX07-0102-6016地块A33基础教育用地</t>
  </si>
  <si>
    <t>京土整储挂(兴)[2018]015号</t>
  </si>
  <si>
    <t>北京喜茂置业有限公司</t>
  </si>
  <si>
    <t>北京市大兴区魏善庄镇2016年世界月季大会周边配套(国家新媒体产业基地B组团)土地一级开发项目AA-43(DX07-0102-6011)地块R2二类居住用地</t>
  </si>
  <si>
    <t>京土整储挂(兴)[2017]081号</t>
  </si>
  <si>
    <t>2017-11-07</t>
  </si>
  <si>
    <t>北京首都开发股份有限公司和保利(北京)房地产开发有限公司联合体</t>
  </si>
  <si>
    <t>北京市大兴区黄村镇DX00-0103-1304地块R2二类居住用地</t>
  </si>
  <si>
    <t>招标</t>
  </si>
  <si>
    <t>京土整储招(兴)[2017]110*号</t>
  </si>
  <si>
    <t>2018-01-18</t>
  </si>
  <si>
    <t>北京三元德宏房地产开发有限公司</t>
  </si>
  <si>
    <t>北京市大兴区采育镇区01-0119地块R2二类居住用地</t>
  </si>
  <si>
    <t>京土整储挂(兴)[2018]035号</t>
  </si>
  <si>
    <t>北京城建新城投资开发有限公司</t>
  </si>
  <si>
    <t>北京市大兴区黄村镇DX00-0301-0029等地块R2二类居住用地、F3其他类多功能用地、A33基础教育用地</t>
  </si>
  <si>
    <t>京土整储挂(兴)[2017]075号</t>
  </si>
  <si>
    <t>R2二类居住用地、F3其他类多功能用地、A33基础教育用地</t>
  </si>
  <si>
    <t>北京金地远景企业管理咨询有限公司</t>
  </si>
  <si>
    <t>珠江阙</t>
    <phoneticPr fontId="4" type="noConversion"/>
  </si>
  <si>
    <t>通州万国城MOMA</t>
    <phoneticPr fontId="4" type="noConversion"/>
  </si>
  <si>
    <t>合生滨江帝景</t>
    <phoneticPr fontId="4" type="noConversion"/>
  </si>
  <si>
    <t>40-50（含）</t>
  </si>
  <si>
    <t>住宅</t>
    <phoneticPr fontId="22" type="noConversion"/>
  </si>
  <si>
    <t>60-70（含）</t>
  </si>
  <si>
    <t>高层</t>
  </si>
  <si>
    <t>高层</t>
    <phoneticPr fontId="22" type="noConversion"/>
  </si>
  <si>
    <t>钢混</t>
  </si>
  <si>
    <t>钢混</t>
    <phoneticPr fontId="22" type="noConversion"/>
  </si>
  <si>
    <t>高档</t>
  </si>
  <si>
    <t>高档</t>
    <phoneticPr fontId="22" type="noConversion"/>
  </si>
  <si>
    <t>精装修</t>
  </si>
  <si>
    <t>精装修</t>
    <phoneticPr fontId="22" type="noConversion"/>
  </si>
  <si>
    <t>专业</t>
  </si>
  <si>
    <t>专业</t>
    <phoneticPr fontId="22" type="noConversion"/>
  </si>
  <si>
    <t>七通</t>
    <phoneticPr fontId="22" type="noConversion"/>
  </si>
  <si>
    <t>平层</t>
  </si>
  <si>
    <t>平层</t>
    <phoneticPr fontId="22" type="noConversion"/>
  </si>
  <si>
    <t>0-200</t>
    <phoneticPr fontId="22" type="noConversion"/>
  </si>
  <si>
    <t>200-400</t>
    <phoneticPr fontId="22" type="noConversion"/>
  </si>
  <si>
    <t>无</t>
    <phoneticPr fontId="27" type="noConversion"/>
  </si>
  <si>
    <t>较适宜</t>
  </si>
  <si>
    <t>七通一平</t>
  </si>
  <si>
    <t>容积率</t>
    <phoneticPr fontId="4" type="noConversion"/>
  </si>
  <si>
    <t>FXX0-0401-6016</t>
    <phoneticPr fontId="7" type="noConversion"/>
  </si>
  <si>
    <t>现状</t>
    <phoneticPr fontId="4" type="noConversion"/>
  </si>
  <si>
    <t>期房</t>
    <phoneticPr fontId="4" type="noConversion"/>
  </si>
  <si>
    <t>期房</t>
    <phoneticPr fontId="4" type="noConversion"/>
  </si>
  <si>
    <t>现房</t>
    <phoneticPr fontId="4" type="noConversion"/>
  </si>
  <si>
    <t>现房</t>
    <phoneticPr fontId="4" type="noConversion"/>
  </si>
  <si>
    <t>有</t>
    <phoneticPr fontId="27" type="noConversion"/>
  </si>
  <si>
    <t>旧用地性质</t>
  </si>
  <si>
    <t>用地面积（公顷）</t>
  </si>
  <si>
    <t>建筑面积（万㎡）</t>
    <phoneticPr fontId="229" type="noConversion"/>
  </si>
  <si>
    <t>建筑密度（%）</t>
  </si>
  <si>
    <t>建筑高度（米）</t>
  </si>
  <si>
    <t>绿地率（%）</t>
  </si>
  <si>
    <t>人口密度（人/公顷）</t>
  </si>
  <si>
    <t>要求备注</t>
  </si>
  <si>
    <t>用地分类</t>
  </si>
  <si>
    <t>编制年份</t>
  </si>
  <si>
    <t>备注2</t>
  </si>
  <si>
    <t>刨去插花地及其他权属用地后指标</t>
    <phoneticPr fontId="229" type="noConversion"/>
  </si>
  <si>
    <t>FZX0-0401-0003</t>
    <phoneticPr fontId="229" type="noConversion"/>
  </si>
  <si>
    <t>G1</t>
  </si>
  <si>
    <t>公园绿地</t>
    <phoneticPr fontId="229" type="noConversion"/>
  </si>
  <si>
    <t>_</t>
    <phoneticPr fontId="229" type="noConversion"/>
  </si>
  <si>
    <t>地下与地铁连通，开展地下空间详细设计</t>
  </si>
  <si>
    <t/>
  </si>
  <si>
    <t>F1</t>
  </si>
  <si>
    <t>住宅混合公建用地</t>
    <phoneticPr fontId="229" type="noConversion"/>
  </si>
  <si>
    <t>含300个车位的公共停车场；；含建筑面积200平方米的邮政所；地下与地铁连通，开展地下空间详细设计</t>
  </si>
  <si>
    <t>R2</t>
  </si>
  <si>
    <t>二类居住</t>
    <phoneticPr fontId="229" type="noConversion"/>
  </si>
  <si>
    <t>R21</t>
  </si>
  <si>
    <t>东阁雅舍，现状保留</t>
    <phoneticPr fontId="229" type="noConversion"/>
  </si>
  <si>
    <t>东阁雅舍</t>
  </si>
  <si>
    <t>二类居住</t>
    <phoneticPr fontId="229" type="noConversion"/>
  </si>
  <si>
    <t>永顺东里2号院现状保留</t>
    <phoneticPr fontId="229" type="noConversion"/>
  </si>
  <si>
    <r>
      <t>FZX0-0401-</t>
    </r>
    <r>
      <rPr>
        <sz val="11"/>
        <color indexed="8"/>
        <rFont val="宋体"/>
        <family val="3"/>
        <charset val="134"/>
        <scheme val="minor"/>
      </rPr>
      <t>6001</t>
    </r>
    <phoneticPr fontId="229" type="noConversion"/>
  </si>
  <si>
    <t>C9</t>
  </si>
  <si>
    <t>地下与地铁连通，开展地下空间详细设计</t>
    <phoneticPr fontId="229" type="noConversion"/>
  </si>
  <si>
    <t>F2</t>
  </si>
  <si>
    <t>公建混合住宅</t>
    <phoneticPr fontId="229" type="noConversion"/>
  </si>
  <si>
    <t>永顺东里2号院</t>
  </si>
  <si>
    <t>FZX0-0401-6003</t>
    <phoneticPr fontId="229" type="noConversion"/>
  </si>
  <si>
    <t>A9</t>
  </si>
  <si>
    <t>宗教用地</t>
    <phoneticPr fontId="229" type="noConversion"/>
  </si>
  <si>
    <t>北关清真寺现状保留</t>
    <phoneticPr fontId="229" type="noConversion"/>
  </si>
  <si>
    <r>
      <t>FZX0-0401-</t>
    </r>
    <r>
      <rPr>
        <sz val="11"/>
        <color indexed="8"/>
        <rFont val="宋体"/>
        <family val="3"/>
        <charset val="134"/>
        <scheme val="minor"/>
      </rPr>
      <t>6004</t>
    </r>
    <phoneticPr fontId="229" type="noConversion"/>
  </si>
  <si>
    <t>_</t>
  </si>
  <si>
    <r>
      <t>FZX0-0401-</t>
    </r>
    <r>
      <rPr>
        <sz val="11"/>
        <color indexed="8"/>
        <rFont val="宋体"/>
        <family val="3"/>
        <charset val="134"/>
        <scheme val="minor"/>
      </rPr>
      <t>6005</t>
    </r>
    <r>
      <rPr>
        <sz val="11"/>
        <color theme="1"/>
        <rFont val="宋体"/>
        <family val="2"/>
        <charset val="134"/>
        <scheme val="minor"/>
      </rPr>
      <t/>
    </r>
  </si>
  <si>
    <t>A334</t>
  </si>
  <si>
    <t>托幼用地</t>
    <phoneticPr fontId="229" type="noConversion"/>
  </si>
  <si>
    <r>
      <t>1</t>
    </r>
    <r>
      <rPr>
        <sz val="11"/>
        <color indexed="8"/>
        <rFont val="宋体"/>
        <family val="3"/>
        <charset val="134"/>
        <scheme val="minor"/>
      </rPr>
      <t>2班幼儿园规划待建</t>
    </r>
    <phoneticPr fontId="229" type="noConversion"/>
  </si>
  <si>
    <t>财富东方</t>
  </si>
  <si>
    <t>R2</t>
    <phoneticPr fontId="229" type="noConversion"/>
  </si>
  <si>
    <t>商品房</t>
  </si>
  <si>
    <t>财富东方，现状保留</t>
    <phoneticPr fontId="229" type="noConversion"/>
  </si>
  <si>
    <r>
      <t>FZX0-0401-</t>
    </r>
    <r>
      <rPr>
        <sz val="11"/>
        <color indexed="8"/>
        <rFont val="宋体"/>
        <family val="3"/>
        <charset val="134"/>
        <scheme val="minor"/>
      </rPr>
      <t>6008</t>
    </r>
    <r>
      <rPr>
        <sz val="11"/>
        <color theme="1"/>
        <rFont val="宋体"/>
        <family val="2"/>
        <charset val="134"/>
        <scheme val="minor"/>
      </rPr>
      <t/>
    </r>
  </si>
  <si>
    <t>A332</t>
  </si>
  <si>
    <t>小学用地</t>
    <phoneticPr fontId="229" type="noConversion"/>
  </si>
  <si>
    <t>R53</t>
  </si>
  <si>
    <t>规划24班小学，永顺小学扩建</t>
    <phoneticPr fontId="229" type="noConversion"/>
  </si>
  <si>
    <t>待建设施</t>
  </si>
  <si>
    <r>
      <t>FZX0-0401-</t>
    </r>
    <r>
      <rPr>
        <sz val="11"/>
        <color indexed="8"/>
        <rFont val="宋体"/>
        <family val="3"/>
        <charset val="134"/>
        <scheme val="minor"/>
      </rPr>
      <t>6009</t>
    </r>
    <r>
      <rPr>
        <sz val="11"/>
        <color theme="1"/>
        <rFont val="宋体"/>
        <family val="2"/>
        <charset val="134"/>
        <scheme val="minor"/>
      </rPr>
      <t/>
    </r>
  </si>
  <si>
    <t>F2</t>
    <phoneticPr fontId="229" type="noConversion"/>
  </si>
  <si>
    <r>
      <t>含建筑面积2万平方米的机构养老设施；含建筑面积9000平方米永顺派出所一处；含占地面积1公顷的公交首末站一处；地下与地铁连通，开展地下空间详细设计。将地块内所占插花地刨除剩余</t>
    </r>
    <r>
      <rPr>
        <sz val="11"/>
        <color indexed="8"/>
        <rFont val="宋体"/>
        <family val="3"/>
        <charset val="134"/>
        <scheme val="minor"/>
      </rPr>
      <t>2.78公顷，容积率按6，面积16.70万平米</t>
    </r>
    <phoneticPr fontId="229" type="noConversion"/>
  </si>
  <si>
    <r>
      <t>FZX0-0401-</t>
    </r>
    <r>
      <rPr>
        <sz val="11"/>
        <color indexed="8"/>
        <rFont val="宋体"/>
        <family val="3"/>
        <charset val="134"/>
        <scheme val="minor"/>
      </rPr>
      <t>6010</t>
    </r>
    <r>
      <rPr>
        <sz val="11"/>
        <color theme="1"/>
        <rFont val="宋体"/>
        <family val="2"/>
        <charset val="134"/>
        <scheme val="minor"/>
      </rPr>
      <t/>
    </r>
  </si>
  <si>
    <t>G1</t>
    <phoneticPr fontId="229" type="noConversion"/>
  </si>
  <si>
    <t>公园绿地</t>
    <phoneticPr fontId="229" type="noConversion"/>
  </si>
  <si>
    <t>_</t>
    <phoneticPr fontId="229" type="noConversion"/>
  </si>
  <si>
    <t>地下与地铁连通，开展地下空间详细设计</t>
    <phoneticPr fontId="229" type="noConversion"/>
  </si>
  <si>
    <t>R2</t>
    <phoneticPr fontId="229" type="noConversion"/>
  </si>
  <si>
    <t>二类居住</t>
    <phoneticPr fontId="229" type="noConversion"/>
  </si>
  <si>
    <t>R52</t>
  </si>
  <si>
    <t>S1</t>
    <phoneticPr fontId="229" type="noConversion"/>
  </si>
  <si>
    <t>道路</t>
    <phoneticPr fontId="229" type="noConversion"/>
  </si>
  <si>
    <t>合计</t>
    <phoneticPr fontId="229" type="noConversion"/>
  </si>
  <si>
    <t>FZX0-0401-6011（无问题）</t>
  </si>
  <si>
    <t>FZX0-0401-6011（无问题）</t>
    <phoneticPr fontId="229" type="noConversion"/>
  </si>
  <si>
    <t>FZX0-0401-0005（有问题，未扣除已建部分后窑小区19400平方米，剩余面积为296200平方米）</t>
  </si>
  <si>
    <t>FZX0-0401-0005（有问题，未扣除已建部分后窑小区19400平方米，剩余面积为296200平方米）</t>
    <phoneticPr fontId="229" type="noConversion"/>
  </si>
  <si>
    <t>FZX0-0401-0008（已建完）</t>
    <phoneticPr fontId="229" type="noConversion"/>
  </si>
  <si>
    <t>FZX0-0401-0014（已建完）</t>
    <phoneticPr fontId="229" type="noConversion"/>
  </si>
  <si>
    <t>FZX0-0401-6006（无问题）</t>
  </si>
  <si>
    <t>FZX0-0401-6006（无问题）</t>
    <phoneticPr fontId="229" type="noConversion"/>
  </si>
  <si>
    <t>FZX0-0401-6007（已建完）</t>
    <phoneticPr fontId="229" type="noConversion"/>
  </si>
  <si>
    <t>劳动局家属院已建9900平方米，不属于原国土证</t>
    <phoneticPr fontId="229" type="noConversion"/>
  </si>
  <si>
    <t>FZX0-0401-6002（插花地，不属于原国土证，不评估）</t>
    <phoneticPr fontId="229" type="noConversion"/>
  </si>
  <si>
    <t>对应的土地面积</t>
    <phoneticPr fontId="229" type="noConversion"/>
  </si>
  <si>
    <t>——</t>
    <phoneticPr fontId="229" type="noConversion"/>
  </si>
  <si>
    <t>——</t>
    <phoneticPr fontId="229" type="noConversion"/>
  </si>
  <si>
    <t>——</t>
    <phoneticPr fontId="229" type="noConversion"/>
  </si>
  <si>
    <t>再减去已开发建筑面积</t>
    <phoneticPr fontId="229" type="noConversion"/>
  </si>
  <si>
    <t>整理过程</t>
    <phoneticPr fontId="229" type="noConversion"/>
  </si>
  <si>
    <t>得出最后可评估土地指标</t>
  </si>
  <si>
    <t>得出最后可评估土地指标</t>
    <phoneticPr fontId="229" type="noConversion"/>
  </si>
  <si>
    <t>土地面积</t>
  </si>
  <si>
    <t>土地面积</t>
    <phoneticPr fontId="229" type="noConversion"/>
  </si>
  <si>
    <t>规划建筑面积</t>
  </si>
  <si>
    <t>规划建筑面积</t>
    <phoneticPr fontId="229" type="noConversion"/>
  </si>
  <si>
    <t>容积率</t>
    <phoneticPr fontId="229" type="noConversion"/>
  </si>
  <si>
    <t>住宅用途建筑面积</t>
  </si>
  <si>
    <t>住宅用途建筑面积</t>
    <phoneticPr fontId="229" type="noConversion"/>
  </si>
  <si>
    <t>商业用途建筑面积</t>
  </si>
  <si>
    <t>商业用途建筑面积</t>
    <phoneticPr fontId="229" type="noConversion"/>
  </si>
  <si>
    <t>公共配套</t>
    <phoneticPr fontId="229" type="noConversion"/>
  </si>
  <si>
    <t>设备用房</t>
  </si>
  <si>
    <t>设备用房</t>
    <phoneticPr fontId="229" type="noConversion"/>
  </si>
  <si>
    <t>住宅混合公建用地</t>
  </si>
  <si>
    <t>二类居住</t>
  </si>
  <si>
    <t>FZX0-0401-6009</t>
  </si>
  <si>
    <t>公建混合住宅</t>
  </si>
  <si>
    <t>商业</t>
  </si>
  <si>
    <t xml:space="preserve">北京市通州区人民政府印发关于城市基础设施建设费征收暂行办法的通知通政发[2005]37号
</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</si>
</sst>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 numFmtId="196" formatCode="#,##0_ "/>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10"/>
      <color rgb="FFFF0000"/>
      <name val="宋体"/>
      <family val="2"/>
      <scheme val="minor"/>
    </font>
    <font>
      <sz val="11"/>
      <name val="宋体"/>
      <family val="3"/>
      <charset val="134"/>
      <scheme val="minor"/>
    </font>
    <font>
      <sz val="11"/>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56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275" fillId="0" borderId="0" xfId="0" applyFont="1" applyAlignment="1">
      <alignment vertical="center" wrapText="1"/>
    </xf>
    <xf numFmtId="196" fontId="275" fillId="0" borderId="0" xfId="0" applyNumberFormat="1" applyFont="1" applyAlignment="1">
      <alignment vertical="center" wrapText="1"/>
    </xf>
    <xf numFmtId="0" fontId="275" fillId="0" borderId="2" xfId="0" applyFont="1" applyBorder="1" applyAlignment="1">
      <alignment vertical="center" wrapText="1"/>
    </xf>
    <xf numFmtId="195" fontId="275" fillId="0" borderId="2" xfId="0" applyNumberFormat="1" applyFont="1" applyBorder="1" applyAlignment="1">
      <alignment vertical="center" wrapText="1"/>
    </xf>
    <xf numFmtId="14" fontId="275" fillId="0" borderId="2" xfId="0" applyNumberFormat="1" applyFont="1" applyBorder="1" applyAlignment="1">
      <alignment vertical="center" wrapText="1"/>
    </xf>
    <xf numFmtId="0" fontId="170" fillId="0" borderId="0" xfId="0" applyFont="1" applyAlignment="1">
      <alignment vertical="center" wrapText="1"/>
    </xf>
    <xf numFmtId="0" fontId="275" fillId="0" borderId="21" xfId="0" applyFont="1" applyBorder="1" applyAlignment="1">
      <alignment vertical="center" wrapText="1"/>
    </xf>
    <xf numFmtId="0" fontId="170" fillId="0" borderId="21" xfId="0" applyFont="1" applyBorder="1" applyAlignment="1">
      <alignment vertical="center" wrapText="1"/>
    </xf>
    <xf numFmtId="0" fontId="275" fillId="0" borderId="0" xfId="0" applyFont="1" applyBorder="1" applyAlignment="1">
      <alignment vertical="center" wrapText="1"/>
    </xf>
    <xf numFmtId="0" fontId="275" fillId="0" borderId="0" xfId="0" applyFont="1" applyAlignment="1">
      <alignment vertical="top" wrapText="1"/>
    </xf>
    <xf numFmtId="0" fontId="146" fillId="0" borderId="0" xfId="0" applyFont="1">
      <alignment vertical="center"/>
    </xf>
    <xf numFmtId="0" fontId="148" fillId="0" borderId="0" xfId="0" applyFont="1">
      <alignment vertical="center"/>
    </xf>
    <xf numFmtId="0" fontId="277" fillId="0" borderId="0" xfId="0" applyFont="1">
      <alignment vertical="center"/>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0" fillId="6" borderId="0" xfId="0" applyFill="1" applyAlignment="1"/>
    <xf numFmtId="0" fontId="145" fillId="0" borderId="9" xfId="0" applyNumberFormat="1" applyFont="1" applyFill="1" applyBorder="1" applyAlignment="1" applyProtection="1">
      <alignment horizontal="center" vertical="center" wrapText="1"/>
      <protection locked="0"/>
    </xf>
    <xf numFmtId="0" fontId="145" fillId="0" borderId="71"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63" fillId="6" borderId="2" xfId="5" applyNumberFormat="1" applyFont="1" applyFill="1" applyBorder="1" applyAlignment="1" applyProtection="1">
      <alignment horizontal="center" vertical="center"/>
    </xf>
    <xf numFmtId="0" fontId="265" fillId="0" borderId="105"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148" fillId="0" borderId="0" xfId="0" applyFont="1" applyAlignment="1"/>
    <xf numFmtId="179" fontId="0" fillId="0" borderId="0" xfId="0" applyNumberFormat="1" applyAlignment="1"/>
    <xf numFmtId="177" fontId="0" fillId="0" borderId="0" xfId="0" applyNumberFormat="1" applyAlignment="1"/>
    <xf numFmtId="0" fontId="0" fillId="0" borderId="2" xfId="0" applyBorder="1" applyAlignment="1"/>
    <xf numFmtId="0" fontId="278" fillId="0" borderId="2" xfId="0" applyNumberFormat="1" applyFont="1" applyFill="1" applyBorder="1" applyAlignment="1">
      <alignment horizontal="center" vertical="center" wrapText="1"/>
    </xf>
    <xf numFmtId="0" fontId="0" fillId="6" borderId="2" xfId="0" applyFill="1" applyBorder="1" applyAlignment="1"/>
    <xf numFmtId="0" fontId="277" fillId="7" borderId="2" xfId="0" applyFont="1" applyFill="1" applyBorder="1" applyAlignment="1">
      <alignment horizontal="center" vertical="center"/>
    </xf>
    <xf numFmtId="0" fontId="148" fillId="9" borderId="2" xfId="0" applyFont="1" applyFill="1" applyBorder="1" applyAlignment="1">
      <alignment horizontal="center" vertical="center"/>
    </xf>
    <xf numFmtId="0" fontId="0" fillId="9" borderId="2" xfId="0" applyFill="1" applyBorder="1" applyAlignment="1">
      <alignment horizontal="center" vertical="center"/>
    </xf>
    <xf numFmtId="0" fontId="0" fillId="0" borderId="2" xfId="0" applyBorder="1" applyAlignment="1">
      <alignment horizontal="center" vertical="center"/>
    </xf>
    <xf numFmtId="0" fontId="148" fillId="0" borderId="2" xfId="0" applyFont="1" applyBorder="1" applyAlignment="1">
      <alignment horizontal="center" vertical="center"/>
    </xf>
    <xf numFmtId="0" fontId="0" fillId="6" borderId="2" xfId="0" applyFill="1" applyBorder="1" applyAlignment="1">
      <alignment horizontal="center" vertical="center"/>
    </xf>
    <xf numFmtId="179" fontId="278" fillId="0" borderId="2" xfId="0" applyNumberFormat="1" applyFont="1" applyFill="1" applyBorder="1" applyAlignment="1">
      <alignment horizontal="center" vertical="center" wrapText="1"/>
    </xf>
    <xf numFmtId="177" fontId="278" fillId="0" borderId="2" xfId="0" applyNumberFormat="1" applyFont="1" applyFill="1" applyBorder="1" applyAlignment="1">
      <alignment horizontal="center" vertical="center" wrapText="1"/>
    </xf>
    <xf numFmtId="0" fontId="277" fillId="7" borderId="2" xfId="0" applyNumberFormat="1" applyFont="1" applyFill="1" applyBorder="1" applyAlignment="1">
      <alignment horizontal="center" vertical="center"/>
    </xf>
    <xf numFmtId="177" fontId="277" fillId="7" borderId="2" xfId="0" applyNumberFormat="1" applyFont="1" applyFill="1" applyBorder="1" applyAlignment="1">
      <alignment horizontal="center" vertical="center"/>
    </xf>
    <xf numFmtId="179" fontId="277" fillId="7" borderId="2" xfId="0" applyNumberFormat="1" applyFont="1" applyFill="1" applyBorder="1" applyAlignment="1">
      <alignment horizontal="center" vertical="center"/>
    </xf>
    <xf numFmtId="0" fontId="277" fillId="7" borderId="2" xfId="0" applyNumberFormat="1" applyFont="1" applyFill="1" applyBorder="1" applyAlignment="1">
      <alignment horizontal="center" vertical="center" wrapText="1"/>
    </xf>
    <xf numFmtId="0" fontId="278" fillId="7" borderId="2" xfId="0" applyNumberFormat="1" applyFont="1" applyFill="1" applyBorder="1" applyAlignment="1">
      <alignment horizontal="center" vertical="center" wrapText="1"/>
    </xf>
    <xf numFmtId="0" fontId="278" fillId="7" borderId="2" xfId="0" applyNumberFormat="1" applyFont="1" applyFill="1" applyBorder="1" applyAlignment="1">
      <alignment horizontal="center" vertical="center"/>
    </xf>
    <xf numFmtId="177" fontId="278" fillId="7" borderId="2" xfId="0" applyNumberFormat="1" applyFont="1" applyFill="1" applyBorder="1" applyAlignment="1">
      <alignment horizontal="center" vertical="center"/>
    </xf>
    <xf numFmtId="179" fontId="278" fillId="7" borderId="2" xfId="0" applyNumberFormat="1" applyFont="1" applyFill="1" applyBorder="1" applyAlignment="1">
      <alignment horizontal="center" vertical="center"/>
    </xf>
    <xf numFmtId="0" fontId="277" fillId="9" borderId="2" xfId="0" applyNumberFormat="1" applyFont="1" applyFill="1" applyBorder="1" applyAlignment="1">
      <alignment horizontal="center" vertical="center"/>
    </xf>
    <xf numFmtId="177" fontId="277" fillId="9" borderId="2" xfId="0" applyNumberFormat="1" applyFont="1" applyFill="1" applyBorder="1" applyAlignment="1">
      <alignment horizontal="center" vertical="center"/>
    </xf>
    <xf numFmtId="179" fontId="277" fillId="9" borderId="2" xfId="0" applyNumberFormat="1" applyFont="1" applyFill="1" applyBorder="1" applyAlignment="1">
      <alignment horizontal="center" vertical="center"/>
    </xf>
    <xf numFmtId="0" fontId="277" fillId="9" borderId="2" xfId="0" applyNumberFormat="1" applyFont="1" applyFill="1" applyBorder="1" applyAlignment="1">
      <alignment horizontal="center" vertical="center" wrapText="1"/>
    </xf>
    <xf numFmtId="0" fontId="278" fillId="9" borderId="2" xfId="0" applyNumberFormat="1" applyFont="1" applyFill="1" applyBorder="1" applyAlignment="1">
      <alignment horizontal="center" vertical="center"/>
    </xf>
    <xf numFmtId="177" fontId="278" fillId="9" borderId="2" xfId="0" applyNumberFormat="1" applyFont="1" applyFill="1" applyBorder="1" applyAlignment="1">
      <alignment horizontal="center" vertical="center"/>
    </xf>
    <xf numFmtId="179" fontId="278" fillId="9" borderId="2" xfId="0" applyNumberFormat="1" applyFont="1" applyFill="1" applyBorder="1" applyAlignment="1">
      <alignment horizontal="center" vertical="center"/>
    </xf>
    <xf numFmtId="0" fontId="278" fillId="9" borderId="2" xfId="0" applyNumberFormat="1" applyFont="1" applyFill="1" applyBorder="1" applyAlignment="1">
      <alignment horizontal="center" vertical="center" wrapText="1"/>
    </xf>
    <xf numFmtId="0" fontId="278" fillId="0" borderId="2" xfId="0" applyNumberFormat="1" applyFont="1" applyFill="1" applyBorder="1" applyAlignment="1">
      <alignment horizontal="center" vertical="center"/>
    </xf>
    <xf numFmtId="177" fontId="278" fillId="0" borderId="2" xfId="0" applyNumberFormat="1" applyFont="1" applyFill="1" applyBorder="1" applyAlignment="1">
      <alignment horizontal="center" vertical="center"/>
    </xf>
    <xf numFmtId="179" fontId="278" fillId="0" borderId="2" xfId="0" applyNumberFormat="1" applyFont="1" applyFill="1" applyBorder="1" applyAlignment="1">
      <alignment horizontal="center" vertical="center"/>
    </xf>
    <xf numFmtId="0" fontId="0" fillId="0" borderId="2" xfId="0" applyFill="1" applyBorder="1" applyAlignment="1"/>
    <xf numFmtId="0" fontId="277" fillId="0" borderId="2" xfId="0" applyNumberFormat="1" applyFont="1" applyFill="1" applyBorder="1" applyAlignment="1">
      <alignment horizontal="center" vertical="center"/>
    </xf>
    <xf numFmtId="0" fontId="277" fillId="0" borderId="2" xfId="0" applyNumberFormat="1" applyFont="1" applyFill="1" applyBorder="1" applyAlignment="1">
      <alignment horizontal="center" vertical="center" wrapText="1"/>
    </xf>
    <xf numFmtId="177" fontId="277" fillId="0" borderId="2" xfId="0" applyNumberFormat="1" applyFont="1" applyFill="1" applyBorder="1" applyAlignment="1">
      <alignment horizontal="center" vertical="center"/>
    </xf>
    <xf numFmtId="179" fontId="277" fillId="0" borderId="2" xfId="0" applyNumberFormat="1" applyFont="1" applyFill="1" applyBorder="1" applyAlignment="1">
      <alignment horizontal="center" vertical="center"/>
    </xf>
    <xf numFmtId="0" fontId="278" fillId="6" borderId="2" xfId="0" applyNumberFormat="1" applyFont="1" applyFill="1" applyBorder="1" applyAlignment="1">
      <alignment horizontal="center" vertical="center"/>
    </xf>
    <xf numFmtId="177" fontId="278" fillId="6" borderId="2" xfId="0" applyNumberFormat="1" applyFont="1" applyFill="1" applyBorder="1" applyAlignment="1">
      <alignment horizontal="center" vertical="center"/>
    </xf>
    <xf numFmtId="179" fontId="278" fillId="6" borderId="2" xfId="0" applyNumberFormat="1" applyFont="1" applyFill="1" applyBorder="1" applyAlignment="1">
      <alignment horizontal="center" vertical="center"/>
    </xf>
    <xf numFmtId="0" fontId="278" fillId="6" borderId="2" xfId="0" applyNumberFormat="1" applyFont="1" applyFill="1" applyBorder="1" applyAlignment="1">
      <alignment horizontal="center" vertical="center" wrapText="1"/>
    </xf>
    <xf numFmtId="0" fontId="146" fillId="0" borderId="2" xfId="0" applyFont="1" applyBorder="1" applyAlignment="1">
      <alignment horizontal="center" vertical="center" wrapText="1"/>
    </xf>
    <xf numFmtId="0" fontId="0" fillId="7" borderId="2" xfId="0" applyFill="1" applyBorder="1" applyAlignment="1">
      <alignment horizontal="center" vertical="center"/>
    </xf>
    <xf numFmtId="0" fontId="146" fillId="9" borderId="2" xfId="0" applyFont="1" applyFill="1" applyBorder="1" applyAlignment="1">
      <alignment horizontal="center" vertical="center"/>
    </xf>
    <xf numFmtId="0" fontId="146" fillId="0" borderId="0" xfId="0" applyFont="1" applyAlignment="1"/>
    <xf numFmtId="0" fontId="0" fillId="0" borderId="0" xfId="0" applyAlignment="1">
      <alignment wrapText="1"/>
    </xf>
    <xf numFmtId="0" fontId="0" fillId="0" borderId="0" xfId="0" applyFont="1" applyAlignment="1"/>
    <xf numFmtId="177" fontId="146" fillId="0" borderId="0" xfId="0" applyNumberFormat="1" applyFont="1" applyAlignment="1"/>
    <xf numFmtId="0" fontId="0" fillId="0" borderId="2" xfId="0" applyBorder="1" applyAlignment="1">
      <alignment horizontal="center" vertical="center" wrapText="1"/>
    </xf>
    <xf numFmtId="0" fontId="0" fillId="6" borderId="2" xfId="0" applyFill="1" applyBorder="1" applyAlignment="1">
      <alignment horizontal="center" vertical="center" wrapText="1"/>
    </xf>
    <xf numFmtId="0" fontId="0" fillId="6" borderId="0" xfId="0" applyFill="1" applyAlignment="1">
      <alignment vertical="center" wrapText="1"/>
    </xf>
    <xf numFmtId="0" fontId="83" fillId="0" borderId="0" xfId="0" applyFont="1" applyAlignment="1" applyProtection="1">
      <alignment horizontal="center" vertical="center" wrapText="1"/>
      <protection locked="0"/>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70" fillId="0" borderId="2" xfId="0" applyFont="1" applyBorder="1" applyAlignment="1">
      <alignment horizontal="center" vertical="center" wrapText="1"/>
    </xf>
    <xf numFmtId="0" fontId="170" fillId="0" borderId="19" xfId="0" applyFont="1" applyBorder="1" applyAlignment="1">
      <alignment horizontal="center" vertical="center" wrapText="1"/>
    </xf>
    <xf numFmtId="0" fontId="170" fillId="0" borderId="20" xfId="0" applyFont="1" applyBorder="1" applyAlignment="1">
      <alignment horizontal="center" vertical="center" wrapText="1"/>
    </xf>
    <xf numFmtId="0" fontId="276" fillId="0" borderId="0" xfId="0" applyFont="1" applyAlignment="1">
      <alignment horizontal="left" vertical="top" wrapText="1"/>
    </xf>
    <xf numFmtId="0" fontId="146" fillId="0" borderId="19" xfId="0" applyFont="1" applyBorder="1" applyAlignment="1">
      <alignment horizontal="left" vertical="top"/>
    </xf>
    <xf numFmtId="0" fontId="0" fillId="0" borderId="19" xfId="0" applyBorder="1" applyAlignment="1">
      <alignment horizontal="left" vertical="top"/>
    </xf>
    <xf numFmtId="0" fontId="278" fillId="0" borderId="2" xfId="0" applyNumberFormat="1" applyFont="1" applyFill="1" applyBorder="1"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49" fontId="263" fillId="0" borderId="11" xfId="0" applyNumberFormat="1"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28574</xdr:rowOff>
    </xdr:from>
    <xdr:to>
      <xdr:col>11</xdr:col>
      <xdr:colOff>361950</xdr:colOff>
      <xdr:row>63</xdr:row>
      <xdr:rowOff>171449</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76449"/>
          <a:ext cx="11849100" cy="8886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53</xdr:row>
      <xdr:rowOff>0</xdr:rowOff>
    </xdr:from>
    <xdr:to>
      <xdr:col>9</xdr:col>
      <xdr:colOff>856819</xdr:colOff>
      <xdr:row>65</xdr:row>
      <xdr:rowOff>37838</xdr:rowOff>
    </xdr:to>
    <xdr:pic>
      <xdr:nvPicPr>
        <xdr:cNvPr id="2" name="图片 1"/>
        <xdr:cNvPicPr>
          <a:picLocks noChangeAspect="1"/>
        </xdr:cNvPicPr>
      </xdr:nvPicPr>
      <xdr:blipFill>
        <a:blip xmlns:r="http://schemas.openxmlformats.org/officeDocument/2006/relationships" r:embed="rId1"/>
        <a:stretch>
          <a:fillRect/>
        </a:stretch>
      </xdr:blipFill>
      <xdr:spPr>
        <a:xfrm>
          <a:off x="16287750" y="9086850"/>
          <a:ext cx="3447619" cy="2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2-&#23481;&#31215;&#2957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1-&#23481;&#31215;&#2957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原本土地信息"/>
      <sheetName val="面积指标（测算用）"/>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不动产比较法-办公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166800</v>
          </cell>
          <cell r="C14">
            <v>27800</v>
          </cell>
          <cell r="D14">
            <v>277037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指标（测算用）"/>
      <sheetName val="数据-基础表"/>
      <sheetName val="抵押物清单（分楼）"/>
      <sheetName val="面积指标"/>
      <sheetName val="原本土地信息"/>
      <sheetName val="数据-汇总表"/>
      <sheetName val="数据-取费表"/>
      <sheetName val="估价对象房地状况"/>
      <sheetName val="系统读取表"/>
      <sheetName val="结果表"/>
      <sheetName val="典型户型修正"/>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办公1"/>
      <sheetName val="不动产比较法-工业"/>
      <sheetName val="不动产比较法-车位"/>
      <sheetName val="不动产比较法-仓储"/>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296200</v>
          </cell>
          <cell r="C14">
            <v>49366.67</v>
          </cell>
          <cell r="D14">
            <v>893727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2655</v>
      </c>
      <c r="B1" s="2867" t="s">
        <v>2752</v>
      </c>
    </row>
    <row r="2" spans="1:55" s="2871" customFormat="1" ht="15" thickTop="1">
      <c r="A2" s="2869" t="s">
        <v>2659</v>
      </c>
      <c r="B2" s="2870" t="str">
        <f>'预评函-封皮'!B37</f>
        <v>北京市FXX0-0401-6016出让国有建设用地使用权市场价格预评估</v>
      </c>
      <c r="AX2" s="2872"/>
      <c r="AZ2" s="2872"/>
      <c r="BA2" s="2873"/>
      <c r="BC2" s="2873"/>
    </row>
    <row r="3" spans="1:55" s="2874" customFormat="1">
      <c r="A3" s="2853" t="s">
        <v>2660</v>
      </c>
      <c r="B3" s="2856">
        <f>'预评函-封皮'!B40</f>
        <v>0</v>
      </c>
    </row>
    <row r="4" spans="1:55" s="2855" customFormat="1">
      <c r="A4" s="2853" t="s">
        <v>2661</v>
      </c>
      <c r="B4" s="2854" t="str">
        <f>'预评函-封皮'!B46</f>
        <v>王鹏、郑燚</v>
      </c>
      <c r="N4" s="2855" t="str">
        <f>'预评函-1'!A28</f>
        <v>——</v>
      </c>
    </row>
    <row r="5" spans="1:55" s="2868" customFormat="1" ht="15" thickBot="1">
      <c r="A5" s="2875" t="s">
        <v>2662</v>
      </c>
      <c r="B5" s="2876" t="str">
        <f>'预评函-封皮'!B49</f>
        <v>康正预评字号</v>
      </c>
    </row>
    <row r="6" spans="1:55" s="2877" customFormat="1" ht="15" thickTop="1">
      <c r="A6" s="2869" t="s">
        <v>2704</v>
      </c>
      <c r="B6" s="2870" t="str">
        <f>'预评函-1'!A4</f>
        <v>受贵公司委托，我公司对北京市FXX0-0401-6016出让国有建设用地使用权市场价格进行了预评估。</v>
      </c>
      <c r="AM6" s="2878"/>
    </row>
    <row r="7" spans="1:55" s="2852" customFormat="1">
      <c r="A7" s="2853" t="s">
        <v>2656</v>
      </c>
      <c r="B7" s="2854" t="str">
        <f>'预评函-1'!A6</f>
        <v>估价对象为使用的、位于北京市FXX0-0401-6016出让国有建设用地使用权。根据《国有土地使用证》[]，估价对象（分摊）出让国有建设用地使用权面积为15400平方米。根据《建设工程规划许可证》[]、《出让合同》[]，估价对象规划建筑面积为43120平方米。</v>
      </c>
    </row>
    <row r="8" spans="1:55" s="2852" customFormat="1">
      <c r="A8" s="2853" t="s">
        <v>2657</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2707</v>
      </c>
      <c r="B9" s="2854" t="str">
        <f>'预评函-1'!A9</f>
        <v>本次评估为委托估价方了解标的物之市场价格提供参考依据而评估出让国有建设用地使用权市场价格。</v>
      </c>
    </row>
    <row r="10" spans="1:55" s="2852" customFormat="1">
      <c r="A10" s="2853" t="s">
        <v>2658</v>
      </c>
      <c r="B10" s="2854" t="str">
        <f>'预评函-1'!A11</f>
        <v>2019年2月14日（评估专业人员勘察现场之日）</v>
      </c>
    </row>
    <row r="11" spans="1:55" s="2852" customFormat="1">
      <c r="A11" s="2853" t="s">
        <v>2664</v>
      </c>
      <c r="B11" s="2854" t="str">
        <f>'预评函-1'!A14</f>
        <v>根据《国有土地使用证》[]，本次评估估价对象证载（地类）用途为。</v>
      </c>
    </row>
    <row r="12" spans="1:55" s="2852" customFormat="1">
      <c r="A12" s="2853" t="s">
        <v>2665</v>
      </c>
      <c r="B12" s="2854" t="str">
        <f>'预评函-1'!A15</f>
        <v>本次评估设定用途即为证载用途。</v>
      </c>
    </row>
    <row r="13" spans="1:55" s="2852" customFormat="1">
      <c r="A13" s="2853" t="s">
        <v>2666</v>
      </c>
      <c r="B13" s="2854" t="str">
        <f>'预评函-1'!A17</f>
        <v>根据委托估价方介绍及评估专业人员现场勘查，本次评估估价对象实际土地开发程度为红线外市政基础设施达“七通”（即、、、、、、）、宗地红线内场地平整。</v>
      </c>
    </row>
    <row r="14" spans="1:55" s="2852" customFormat="1">
      <c r="A14" s="2853" t="s">
        <v>2667</v>
      </c>
      <c r="B14" s="2854" t="str">
        <f>'预评函-1'!A18</f>
        <v>。本次评估设定土地开发程度为红线外市政基础设施达“七通”、宗地红线内场地平整。</v>
      </c>
    </row>
    <row r="15" spans="1:55" s="2852" customFormat="1">
      <c r="A15" s="2853" t="s">
        <v>2663</v>
      </c>
      <c r="B15" s="2854" t="str">
        <f>'预评函-1'!A20</f>
        <v>根据《国有土地使用证》[]，估价对象（分摊）出让国有建设用地使用权面积为15400平方米。根据《建设工程规划许可证》[]、《出让合同》[]，估价对象规划建筑面积为43120平方米。</v>
      </c>
    </row>
    <row r="16" spans="1:55" s="2852" customFormat="1">
      <c r="A16" s="2853" t="s">
        <v>2668</v>
      </c>
      <c r="B16" s="2854" t="str">
        <f>'预评函-1'!A22</f>
        <v>本次估价对象为出让国有建设用地使用权，《国有土地使用证》[]证载土地终止日期为住宅2071年3月1日、商业2041年3月1日。截至估价期日，出让国有建设用地使用权剩余土地使用年限为。</v>
      </c>
    </row>
    <row r="17" spans="1:48" s="2852" customFormat="1">
      <c r="A17" s="2853" t="s">
        <v>2669</v>
      </c>
      <c r="B17" s="2854" t="str">
        <f>'预评函-1'!A23</f>
        <v>本次评估设定估价对象剩余土地使用年限为。</v>
      </c>
    </row>
    <row r="18" spans="1:48" s="2852" customFormat="1">
      <c r="A18" s="2853" t="s">
        <v>2670</v>
      </c>
      <c r="B18" s="2854" t="str">
        <f>'预评函-1'!A25</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19" spans="1:48" s="2852" customFormat="1">
      <c r="A19" s="2853" t="s">
        <v>2671</v>
      </c>
      <c r="B19" s="2854" t="str">
        <f>'预评函-1'!A26</f>
        <v>——</v>
      </c>
    </row>
    <row r="20" spans="1:48" s="2852" customFormat="1">
      <c r="A20" s="2853" t="s">
        <v>2672</v>
      </c>
      <c r="B20" s="2854" t="str">
        <f>'预评函-1'!A27</f>
        <v>——</v>
      </c>
    </row>
    <row r="21" spans="1:48" s="2868" customFormat="1" ht="15" thickBot="1">
      <c r="A21" s="2875" t="s">
        <v>2673</v>
      </c>
      <c r="B21" s="2876" t="str">
        <f>'预评函-1'!A28</f>
        <v>——</v>
      </c>
    </row>
    <row r="22" spans="1:48" ht="15" thickTop="1">
      <c r="A22" s="2864" t="s">
        <v>2674</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2675</v>
      </c>
      <c r="B23" s="2854" t="str">
        <f>'预评函-2'!K2</f>
        <v>估价期日：2019年2月14日</v>
      </c>
    </row>
    <row r="24" spans="1:48">
      <c r="A24" s="2853" t="s">
        <v>2676</v>
      </c>
      <c r="B24" s="2854" t="str">
        <f>'预评函-2'!R2</f>
        <v>估价期日的国有建设用地使用权性质：出让</v>
      </c>
    </row>
    <row r="25" spans="1:48">
      <c r="A25" s="2853" t="s">
        <v>2732</v>
      </c>
      <c r="B25" s="2854" t="str">
        <f>'预评函-2'!A3</f>
        <v>估价期日土地使用者</v>
      </c>
    </row>
    <row r="26" spans="1:48">
      <c r="A26" s="2853" t="s">
        <v>2708</v>
      </c>
      <c r="B26" s="2854" t="str">
        <f>'预评函-2'!A5</f>
        <v>中信开发</v>
      </c>
    </row>
    <row r="27" spans="1:48">
      <c r="A27" s="2853" t="s">
        <v>2733</v>
      </c>
      <c r="B27" s="2854" t="str">
        <f>'预评函-2'!B3</f>
        <v>宗地编号/不动产单元号</v>
      </c>
    </row>
    <row r="28" spans="1:48">
      <c r="A28" s="2853" t="s">
        <v>2709</v>
      </c>
      <c r="B28" s="2854" t="str">
        <f>'预评函-2'!B5</f>
        <v>11111111111</v>
      </c>
    </row>
    <row r="29" spans="1:48">
      <c r="A29" s="2853" t="s">
        <v>2735</v>
      </c>
      <c r="B29" s="2854">
        <f>'预评函-2'!C5</f>
        <v>22</v>
      </c>
    </row>
    <row r="30" spans="1:48">
      <c r="A30" s="2853" t="s">
        <v>2736</v>
      </c>
      <c r="B30" s="2854" t="str">
        <f>'预评函-2'!D3</f>
        <v>土地使用证编号/不动产权证书编号</v>
      </c>
    </row>
    <row r="31" spans="1:48">
      <c r="A31" s="2853" t="s">
        <v>2710</v>
      </c>
      <c r="B31" s="2854" t="str">
        <f>'预评函-2'!D5</f>
        <v>京国土字第111号</v>
      </c>
    </row>
    <row r="32" spans="1:48">
      <c r="A32" s="2853" t="s">
        <v>2711</v>
      </c>
      <c r="B32" s="2854">
        <f>'预评函-2'!E5</f>
        <v>0</v>
      </c>
      <c r="AV32" s="2858"/>
    </row>
    <row r="33" spans="1:2">
      <c r="A33" s="2853" t="s">
        <v>2712</v>
      </c>
      <c r="B33" s="2854">
        <f>'预评函-2'!F5</f>
        <v>258</v>
      </c>
    </row>
    <row r="34" spans="1:2">
      <c r="A34" s="2853" t="s">
        <v>2713</v>
      </c>
      <c r="B34" s="2854">
        <f>'预评函-2'!G5</f>
        <v>0</v>
      </c>
    </row>
    <row r="35" spans="1:2">
      <c r="A35" s="2853" t="s">
        <v>2714</v>
      </c>
      <c r="B35" s="2854">
        <f>'预评函-2'!H5</f>
        <v>1.5</v>
      </c>
    </row>
    <row r="36" spans="1:2">
      <c r="A36" s="2853" t="s">
        <v>2715</v>
      </c>
      <c r="B36" s="2854">
        <f>'预评函-2'!I5</f>
        <v>1.5</v>
      </c>
    </row>
    <row r="37" spans="1:2">
      <c r="A37" s="2853" t="s">
        <v>2716</v>
      </c>
      <c r="B37" s="2854">
        <f>'预评函-2'!J5</f>
        <v>1.5</v>
      </c>
    </row>
    <row r="38" spans="1:2">
      <c r="A38" s="2853" t="s">
        <v>2717</v>
      </c>
      <c r="B38" s="2854" t="str">
        <f>'预评函-2'!K5</f>
        <v>红线外七通、宗地红线内</v>
      </c>
    </row>
    <row r="39" spans="1:2">
      <c r="A39" s="2853" t="s">
        <v>2718</v>
      </c>
      <c r="B39" s="2854" t="str">
        <f>'预评函-2'!L5</f>
        <v>红线外七通、宗地红线内场地</v>
      </c>
    </row>
    <row r="40" spans="1:2">
      <c r="A40" s="2853" t="s">
        <v>2737</v>
      </c>
      <c r="B40" s="2854" t="str">
        <f>'预评函-2'!M3</f>
        <v>（剩余）土地使用年限/年</v>
      </c>
    </row>
    <row r="41" spans="1:2">
      <c r="A41" s="2853" t="s">
        <v>2719</v>
      </c>
      <c r="B41" s="2854">
        <f>'预评函-2'!M5</f>
        <v>0</v>
      </c>
    </row>
    <row r="42" spans="1:2">
      <c r="A42" s="2853" t="s">
        <v>2738</v>
      </c>
      <c r="B42" s="2854" t="str">
        <f>'预评函-2'!N3</f>
        <v>（分摊）出让国有建设用地使用权面积/㎡</v>
      </c>
    </row>
    <row r="43" spans="1:2">
      <c r="A43" s="2853" t="s">
        <v>2720</v>
      </c>
      <c r="B43" s="2854">
        <f>'预评函-2'!N5</f>
        <v>15400</v>
      </c>
    </row>
    <row r="44" spans="1:2">
      <c r="A44" s="2853" t="s">
        <v>2739</v>
      </c>
      <c r="B44" s="2854" t="str">
        <f>'预评函-2'!O3</f>
        <v>规划建筑面积/㎡</v>
      </c>
    </row>
    <row r="45" spans="1:2">
      <c r="A45" s="2853" t="s">
        <v>2721</v>
      </c>
      <c r="B45" s="2854">
        <f>'预评函-2'!O5</f>
        <v>43120</v>
      </c>
    </row>
    <row r="46" spans="1:2">
      <c r="A46" s="2853" t="s">
        <v>2722</v>
      </c>
      <c r="B46" s="2854">
        <f ca="1">'预评函-2'!P5</f>
        <v>105245</v>
      </c>
    </row>
    <row r="47" spans="1:2">
      <c r="A47" s="2853" t="s">
        <v>2723</v>
      </c>
      <c r="B47" s="2854">
        <f ca="1">'预评函-2'!Q5</f>
        <v>37587</v>
      </c>
    </row>
    <row r="48" spans="1:2">
      <c r="A48" s="2853" t="s">
        <v>2724</v>
      </c>
      <c r="B48" s="2854">
        <f ca="1">'预评函-2'!R5</f>
        <v>162077</v>
      </c>
    </row>
    <row r="49" spans="1:2">
      <c r="A49" s="2853" t="s">
        <v>2740</v>
      </c>
      <c r="B49" s="2854" t="str">
        <f>'预评函-2'!A6</f>
        <v>——</v>
      </c>
    </row>
    <row r="50" spans="1:2">
      <c r="A50" s="2853" t="s">
        <v>2725</v>
      </c>
      <c r="B50" s="2854" t="str">
        <f>'预评函-2'!R6</f>
        <v>——</v>
      </c>
    </row>
    <row r="51" spans="1:2">
      <c r="A51" s="2853" t="s">
        <v>2741</v>
      </c>
      <c r="B51" s="2854" t="str">
        <f>'预评函-2'!A7</f>
        <v>——</v>
      </c>
    </row>
    <row r="52" spans="1:2">
      <c r="A52" s="2853" t="s">
        <v>2726</v>
      </c>
      <c r="B52" s="2854" t="str">
        <f>'预评函-2'!R7</f>
        <v>——</v>
      </c>
    </row>
    <row r="53" spans="1:2">
      <c r="A53" s="2853" t="s">
        <v>2742</v>
      </c>
      <c r="B53" s="2854" t="str">
        <f>'预评函-2'!A8</f>
        <v>——</v>
      </c>
    </row>
    <row r="54" spans="1:2" s="2868" customFormat="1" ht="15" thickBot="1">
      <c r="A54" s="2875" t="s">
        <v>2727</v>
      </c>
      <c r="B54" s="2876" t="str">
        <f>'预评函-2'!R8</f>
        <v>——</v>
      </c>
    </row>
    <row r="55" spans="1:2" ht="15" thickTop="1">
      <c r="A55" s="2864" t="s">
        <v>2677</v>
      </c>
      <c r="B55" s="2865" t="str">
        <f>'预评函-3'!A2</f>
        <v>1.权利限制：根据估价对象《不动产权证书》原件、《国有土地使用权》复印件，截至估价期日，估价对象抵押权未见登记。未设定租赁等其他他项权利。</v>
      </c>
    </row>
    <row r="56" spans="1:2">
      <c r="A56" s="2853" t="s">
        <v>2678</v>
      </c>
      <c r="B56" s="2854" t="str">
        <f>'预评函-3'!A3</f>
        <v>2.基础设施条件：估价对象实际开发程度为红线外七通、宗地红线内；本次评估设定开发程度为红线外七通、宗地红线内场地。</v>
      </c>
    </row>
    <row r="57" spans="1:2">
      <c r="A57" s="2853" t="s">
        <v>2679</v>
      </c>
      <c r="B57" s="2854" t="str">
        <f>'预评函-3'!A4</f>
        <v>3.估价规划限制条件：详见《建设工程规划许可证》[]、《出让合同》[]。</v>
      </c>
    </row>
    <row r="58" spans="1:2" s="2868" customFormat="1" ht="15" thickBot="1">
      <c r="A58" s="2875" t="s">
        <v>2728</v>
      </c>
      <c r="B58" s="2876" t="str">
        <f>'预评函-3'!A5</f>
        <v>4.影响价格的其他限定条件：无。</v>
      </c>
    </row>
    <row r="59" spans="1:2" ht="15" thickTop="1">
      <c r="A59" s="2864" t="s">
        <v>2680</v>
      </c>
      <c r="B59" s="2865" t="str">
        <f>'预评函-3'!A8</f>
        <v>2.本次评估设定估价对象宗地权属无争议，未被查封或者以其他形式限制其房地产权利，未设定抵押权等他项权利，不涉及第三方权利义务。</v>
      </c>
    </row>
    <row r="60" spans="1:2">
      <c r="A60" s="2853" t="s">
        <v>2681</v>
      </c>
      <c r="B60" s="2854" t="str">
        <f>'预评函-3'!A9</f>
        <v>——</v>
      </c>
    </row>
    <row r="61" spans="1:2">
      <c r="A61" s="2853" t="s">
        <v>2683</v>
      </c>
      <c r="B61" s="2854" t="str">
        <f>'预评函-3'!A10</f>
        <v>——</v>
      </c>
    </row>
    <row r="62" spans="1:2">
      <c r="A62" s="2853" t="s">
        <v>2682</v>
      </c>
      <c r="B62" s="2854" t="str">
        <f>'预评函-3'!A11</f>
        <v>——</v>
      </c>
    </row>
    <row r="63" spans="1:2">
      <c r="A63" s="2853" t="s">
        <v>2684</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2685</v>
      </c>
      <c r="B64" s="2859" t="str">
        <f>'预评函-3'!A13</f>
        <v>（3）。</v>
      </c>
    </row>
    <row r="65" spans="1:2">
      <c r="A65" s="2853" t="s">
        <v>2686</v>
      </c>
      <c r="B65" s="2860" t="str">
        <f>'预评函-3'!A14</f>
        <v>——</v>
      </c>
    </row>
    <row r="66" spans="1:2">
      <c r="A66" s="2853" t="s">
        <v>2687</v>
      </c>
      <c r="B66" s="286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2688</v>
      </c>
      <c r="B67" s="286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2691</v>
      </c>
      <c r="B68" s="2879">
        <f>'预评函-3'!D30</f>
        <v>42558</v>
      </c>
    </row>
    <row r="69" spans="1:2" ht="15" thickTop="1">
      <c r="A69" s="2864" t="s">
        <v>2689</v>
      </c>
      <c r="B69" s="2865" t="str">
        <f>'预评函-3'!A20</f>
        <v>王鹏</v>
      </c>
    </row>
    <row r="70" spans="1:2">
      <c r="A70" s="2853" t="s">
        <v>2689</v>
      </c>
      <c r="B70" s="2860">
        <f ca="1">'预评函-3'!B20</f>
        <v>2002110030</v>
      </c>
    </row>
    <row r="71" spans="1:2">
      <c r="A71" s="2853" t="s">
        <v>2690</v>
      </c>
      <c r="B71" s="2854" t="str">
        <f>'预评函-3'!A21</f>
        <v>郑燚</v>
      </c>
    </row>
    <row r="72" spans="1:2" s="2868" customFormat="1" ht="15" thickBot="1">
      <c r="A72" s="2875" t="s">
        <v>2690</v>
      </c>
      <c r="B72" s="2881">
        <f ca="1">'预评函-3'!B21</f>
        <v>2014110011</v>
      </c>
    </row>
    <row r="73" spans="1:2" ht="15" thickTop="1">
      <c r="A73" s="2864" t="s">
        <v>2749</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2750</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2751</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2786</v>
      </c>
      <c r="B76" s="286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E17"/>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297" t="str">
        <f>IF(B10="北京市","北京市",C10)&amp;F10&amp;B16&amp;"国有建设用地使用权"&amp;B9&amp;"预评估"</f>
        <v>北京市FXX0-0401-6016出让国有建设用地使用权市场价格预评估</v>
      </c>
      <c r="C1" s="3298"/>
      <c r="D1" s="3298"/>
      <c r="E1" s="3298"/>
      <c r="F1" s="3298"/>
      <c r="G1" s="3298"/>
      <c r="H1" s="3298"/>
      <c r="I1" s="3299"/>
      <c r="J1" s="1691"/>
      <c r="K1" s="2431" t="str">
        <f>IF(B10="北京市","北京市",C10)&amp;F10&amp;B16&amp;"国有建设用地使用权"&amp;B9</f>
        <v>北京市FXX0-0401-6016出让国有建设用地使用权市场价格</v>
      </c>
      <c r="L1" s="1720"/>
      <c r="M1" s="1720"/>
      <c r="N1" s="1691"/>
      <c r="O1" s="1692"/>
      <c r="P1" s="1691"/>
      <c r="Q1" s="1691"/>
      <c r="R1" s="1691"/>
      <c r="S1" s="1691"/>
      <c r="T1" s="1691"/>
      <c r="U1" s="1691"/>
    </row>
    <row r="2" spans="1:21">
      <c r="A2" s="1657" t="s">
        <v>1938</v>
      </c>
      <c r="B2" s="1839"/>
      <c r="D2" s="1691"/>
      <c r="E2" s="1691"/>
      <c r="F2" s="1691"/>
      <c r="G2" s="1691"/>
      <c r="H2" s="1657"/>
      <c r="I2" s="1692"/>
      <c r="J2" s="1691"/>
      <c r="K2" s="2431" t="str">
        <f>IF(B10="北京市","北京市",C10)&amp;F10&amp;B16&amp;"国有建设用地使用权"</f>
        <v>北京市FXX0-0401-6016出让国有建设用地使用权</v>
      </c>
      <c r="L2" s="1720"/>
      <c r="M2" s="1720"/>
      <c r="N2" s="1691"/>
      <c r="O2" s="1692"/>
      <c r="P2" s="1691"/>
      <c r="Q2" s="1691"/>
      <c r="R2" s="1691"/>
      <c r="S2" s="1691"/>
      <c r="T2" s="1691"/>
      <c r="U2" s="1691"/>
    </row>
    <row r="3" spans="1:21">
      <c r="A3" s="1658" t="s">
        <v>1939</v>
      </c>
      <c r="B3" s="1659">
        <f>D3</f>
        <v>43510</v>
      </c>
      <c r="C3" s="1660" t="s">
        <v>1995</v>
      </c>
      <c r="D3" s="1659">
        <v>43510</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3043</v>
      </c>
      <c r="C4" s="1843">
        <f ca="1">SUMIF(土地估价师,B4,估价师及机构信息!E3:E24)</f>
        <v>2002110030</v>
      </c>
      <c r="D4" s="1840" t="s">
        <v>3044</v>
      </c>
      <c r="E4" s="1843">
        <f ca="1">SUMIF(土地估价师,D4,估价师及机构信息!E3:E24)</f>
        <v>2014110011</v>
      </c>
      <c r="F4" s="1840" t="s">
        <v>951</v>
      </c>
      <c r="G4" s="1843">
        <f>SUMIF(土地估价师,F4,估价师及机构信息!E3:E24)</f>
        <v>0</v>
      </c>
      <c r="H4" s="1840" t="s">
        <v>951</v>
      </c>
      <c r="I4" s="1843">
        <f>SUMIF(土地估价师,H4,估价师及机构信息!E3:E24)</f>
        <v>0</v>
      </c>
      <c r="J4" s="1691"/>
      <c r="K4" s="2431" t="str">
        <f>IF(AND(F4="——",H4="——"),B4&amp;"、"&amp;D4,IF(AND(F4&lt;&gt;"——",H4="——"),B4&amp;"、"&amp;D4&amp;"、"&amp;F4,B4&amp;"、"&amp;D4&amp;"、"&amp;F4&amp;"、"&amp;H4))</f>
        <v>王鹏、郑燚</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2705</v>
      </c>
      <c r="B6" s="1786"/>
      <c r="C6" s="1758"/>
      <c r="D6" s="1665"/>
      <c r="E6" s="1691"/>
      <c r="F6" s="1691"/>
      <c r="G6" s="1691"/>
      <c r="H6" s="1657"/>
      <c r="I6" s="1692"/>
      <c r="J6" s="1691"/>
      <c r="K6" s="3028" t="str">
        <f>IF(COUNTIF(B6,"*上海银行*"),"上海银行","")</f>
        <v/>
      </c>
      <c r="L6" s="1720"/>
      <c r="M6" s="1720"/>
      <c r="N6" s="1691"/>
      <c r="O6" s="1692"/>
      <c r="P6" s="1691"/>
      <c r="Q6" s="1691"/>
      <c r="R6" s="1691"/>
      <c r="S6" s="1691"/>
      <c r="T6" s="1691"/>
      <c r="U6" s="1691"/>
    </row>
    <row r="7" spans="1:21">
      <c r="A7" s="1666" t="s">
        <v>2706</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3045</v>
      </c>
      <c r="C8" s="1668"/>
      <c r="D8" s="3303"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t="s">
        <v>3046</v>
      </c>
      <c r="C9" s="1672"/>
      <c r="D9" s="3304"/>
      <c r="E9" s="1671"/>
      <c r="F9" s="1744"/>
      <c r="G9" s="1739"/>
      <c r="H9" s="1739"/>
      <c r="I9" s="1740"/>
      <c r="J9" s="1691"/>
      <c r="K9" s="1771"/>
      <c r="L9" s="1720"/>
      <c r="M9" s="1720"/>
      <c r="N9" s="1691"/>
      <c r="O9" s="1692"/>
      <c r="P9" s="1691"/>
      <c r="Q9" s="1691"/>
      <c r="R9" s="1691"/>
      <c r="S9" s="1691"/>
      <c r="T9" s="1691"/>
      <c r="U9" s="1691"/>
    </row>
    <row r="10" spans="1:21" ht="15" thickTop="1">
      <c r="A10" s="1741" t="s">
        <v>1999</v>
      </c>
      <c r="B10" s="1716" t="s">
        <v>1945</v>
      </c>
      <c r="C10" s="1673"/>
      <c r="D10" s="1664"/>
      <c r="E10" s="1674" t="s">
        <v>1946</v>
      </c>
      <c r="F10" s="1675" t="s">
        <v>3406</v>
      </c>
      <c r="G10" s="1742"/>
      <c r="H10" s="1743"/>
      <c r="I10" s="1664"/>
      <c r="J10" s="1691"/>
      <c r="K10" s="1771"/>
      <c r="L10" s="1720"/>
      <c r="M10" s="1720"/>
      <c r="N10" s="1691"/>
      <c r="O10" s="1692"/>
      <c r="P10" s="1691"/>
      <c r="Q10" s="1691"/>
      <c r="R10" s="1691"/>
      <c r="S10" s="1691"/>
      <c r="T10" s="1691"/>
      <c r="U10" s="1691"/>
    </row>
    <row r="11" spans="1:21">
      <c r="A11" s="1694" t="s">
        <v>2000</v>
      </c>
      <c r="B11" s="1695" t="s">
        <v>3047</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300"/>
      <c r="C12" s="3301"/>
      <c r="D12" s="3302"/>
      <c r="E12" s="1696" t="s">
        <v>2061</v>
      </c>
      <c r="F12" s="3318" t="s">
        <v>2888</v>
      </c>
      <c r="G12" s="3319"/>
      <c r="H12" s="3319"/>
      <c r="I12" s="3320"/>
      <c r="J12" s="1691"/>
      <c r="K12" s="1771"/>
      <c r="L12" s="1720"/>
      <c r="M12" s="1720"/>
      <c r="N12" s="1691"/>
      <c r="O12" s="1692"/>
      <c r="P12" s="1691"/>
      <c r="Q12" s="1691"/>
      <c r="R12" s="1691"/>
      <c r="S12" s="1691"/>
      <c r="T12" s="1691"/>
      <c r="U12" s="1691"/>
    </row>
    <row r="13" spans="1:21">
      <c r="A13" s="1684" t="s">
        <v>2059</v>
      </c>
      <c r="B13" s="3300"/>
      <c r="C13" s="3301"/>
      <c r="D13" s="3302"/>
      <c r="E13" s="1696" t="s">
        <v>2061</v>
      </c>
      <c r="F13" s="3318" t="s">
        <v>2889</v>
      </c>
      <c r="G13" s="3319"/>
      <c r="H13" s="3319"/>
      <c r="I13" s="3320"/>
      <c r="J13" s="1691"/>
      <c r="K13" s="1771"/>
      <c r="L13" s="1720"/>
      <c r="M13" s="1720"/>
      <c r="N13" s="1691"/>
      <c r="O13" s="1692"/>
      <c r="P13" s="1691"/>
      <c r="Q13" s="1691"/>
      <c r="R13" s="1691"/>
      <c r="S13" s="1691"/>
      <c r="T13" s="1691"/>
      <c r="U13" s="1691"/>
    </row>
    <row r="14" spans="1:21">
      <c r="A14" s="1658" t="s">
        <v>2062</v>
      </c>
      <c r="B14" s="1696"/>
      <c r="C14" s="1842" t="s">
        <v>3048</v>
      </c>
      <c r="D14" s="1730" t="str">
        <f>IF(C14="不一致","是否符合证载地类范围","")</f>
        <v/>
      </c>
      <c r="E14" s="1696"/>
      <c r="F14" s="1787" t="s">
        <v>3049</v>
      </c>
      <c r="G14" s="1725"/>
      <c r="H14" s="1725"/>
      <c r="I14" s="1834"/>
      <c r="J14" s="1691"/>
      <c r="K14" s="1771"/>
      <c r="L14" s="1720"/>
      <c r="M14" s="1720"/>
      <c r="N14" s="1691"/>
      <c r="O14" s="1692"/>
      <c r="P14" s="1691"/>
      <c r="Q14" s="1691"/>
      <c r="R14" s="1691"/>
      <c r="S14" s="1691"/>
      <c r="T14" s="1691"/>
      <c r="U14" s="1691"/>
    </row>
    <row r="15" spans="1:21" hidden="1">
      <c r="A15" s="2621"/>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28.5">
      <c r="A16" s="1677" t="s">
        <v>1947</v>
      </c>
      <c r="B16" s="1678" t="s">
        <v>3050</v>
      </c>
      <c r="C16" s="1696" t="s">
        <v>1948</v>
      </c>
      <c r="D16" s="2622" t="s">
        <v>1949</v>
      </c>
      <c r="E16" s="1719" t="s">
        <v>3516</v>
      </c>
      <c r="F16" s="1719"/>
      <c r="G16" s="1719"/>
      <c r="H16" s="1719"/>
      <c r="I16" s="1683" t="s">
        <v>1954</v>
      </c>
      <c r="J16" s="1691"/>
      <c r="K16" s="2432" t="str">
        <f>IF(D17="","",D16&amp;TEXT(D17,"yyyy年m月d日;;"))</f>
        <v>住宅2071年3月1日</v>
      </c>
      <c r="L16" s="1696" t="str">
        <f>IF(OR(K16="",M16=""),"","、")</f>
        <v>、</v>
      </c>
      <c r="M16" s="2432" t="str">
        <f>IF(E17="","",E16&amp;TEXT(E17,"yyyy年m月d日;;"))</f>
        <v>商业2041年3月1日</v>
      </c>
      <c r="N16" s="1696" t="str">
        <f>IF(OR(M16="",O16=""),"","、")</f>
        <v/>
      </c>
      <c r="O16" s="2432" t="str">
        <f>IF(F17="","",F16&amp;TEXT(F17,"yyyy年m月d日;;"))</f>
        <v/>
      </c>
      <c r="P16" s="1696" t="str">
        <f>IF(OR(O16="",Q16=""),"","、")</f>
        <v/>
      </c>
      <c r="Q16" s="2432" t="str">
        <f>IF(G17="","",G16&amp;TEXT(G17,"yyyy年m月d日;;"))</f>
        <v/>
      </c>
      <c r="R16" s="1696" t="str">
        <f>IF(OR(Q16="",S16=""),"","、")</f>
        <v/>
      </c>
      <c r="S16" s="2432" t="str">
        <f>IF(H17="","",H16&amp;TEXT(H17,"yyyy年m月d日;;"))</f>
        <v/>
      </c>
      <c r="T16" s="1696" t="str">
        <f>IF(OR(S16="",U16=""),"","、")</f>
        <v/>
      </c>
      <c r="U16" s="2432" t="str">
        <f>IF(I17="","",I16&amp;TEXT(I17,"yyyy年m月d日;;"))</f>
        <v/>
      </c>
    </row>
    <row r="17" spans="1:21">
      <c r="A17" s="1760"/>
      <c r="B17" s="1679"/>
      <c r="C17" s="1680" t="s">
        <v>1955</v>
      </c>
      <c r="D17" s="1697">
        <v>62518</v>
      </c>
      <c r="E17" s="1697">
        <v>51561</v>
      </c>
      <c r="F17" s="1697"/>
      <c r="G17" s="1697"/>
      <c r="H17" s="1697"/>
      <c r="I17" s="1697"/>
      <c r="J17" s="1691"/>
      <c r="K17" s="2431" t="str">
        <f>CONCATENATE(K16,L16,M16,N16,O16,P16,Q16,R16,S16,T16,,U16)</f>
        <v>住宅2071年3月1日、商业2041年3月1日</v>
      </c>
      <c r="L17" s="1720"/>
      <c r="M17" s="1720"/>
      <c r="N17" s="1691"/>
      <c r="O17" s="1692"/>
      <c r="P17" s="1691"/>
      <c r="Q17" s="1691"/>
      <c r="R17" s="1691"/>
      <c r="S17" s="1691"/>
      <c r="T17" s="1691"/>
      <c r="U17" s="1691"/>
    </row>
    <row r="18" spans="1:21">
      <c r="A18" s="1760"/>
      <c r="B18" s="1679"/>
      <c r="C18" s="1680" t="s">
        <v>1956</v>
      </c>
      <c r="D18" s="1681">
        <v>70</v>
      </c>
      <c r="E18" s="1681">
        <v>50</v>
      </c>
      <c r="F18" s="1681"/>
      <c r="G18" s="1681"/>
      <c r="H18" s="1681"/>
      <c r="I18" s="1681"/>
      <c r="J18" s="1691"/>
      <c r="K18" s="1771"/>
      <c r="L18" s="1720"/>
      <c r="M18" s="1720"/>
      <c r="N18" s="1691"/>
      <c r="O18" s="1692"/>
      <c r="P18" s="1691"/>
      <c r="Q18" s="1691"/>
      <c r="R18" s="1691"/>
      <c r="S18" s="1691"/>
      <c r="T18" s="1691"/>
      <c r="U18" s="1691"/>
    </row>
    <row r="19" spans="1:21">
      <c r="A19" s="1760"/>
      <c r="B19" s="1679"/>
      <c r="C19" s="1657" t="s">
        <v>1957</v>
      </c>
      <c r="D19" s="1755">
        <f>IF(B16="出让",IF(D17="","",ROUNDDOWN(MIN((D17-$D$3)/365,D18),2)),D18)</f>
        <v>52.07</v>
      </c>
      <c r="E19" s="1682">
        <f>IF(B16="出让",IF(E17="","",ROUNDDOWN(MIN((E17-$D$3)/365,E18),2)),E18)</f>
        <v>22.05</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15"/>
      <c r="E20" s="3316"/>
      <c r="F20" s="3316"/>
      <c r="G20" s="3316"/>
      <c r="H20" s="3316"/>
      <c r="I20" s="3317"/>
      <c r="J20" s="1691"/>
      <c r="K20" s="1771"/>
      <c r="L20" s="1720"/>
      <c r="M20" s="1720"/>
      <c r="N20" s="1691"/>
      <c r="O20" s="1692"/>
      <c r="P20" s="1691"/>
      <c r="Q20" s="1691"/>
      <c r="R20" s="1691"/>
      <c r="S20" s="1691"/>
      <c r="T20" s="1691"/>
      <c r="U20" s="1691"/>
    </row>
    <row r="21" spans="1:21">
      <c r="A21" s="1760" t="s">
        <v>1958</v>
      </c>
      <c r="B21" s="1761" t="s">
        <v>1959</v>
      </c>
      <c r="C21" s="1756">
        <f>'数据-汇总表'!E3</f>
        <v>43120</v>
      </c>
      <c r="D21" s="1757" t="s">
        <v>1960</v>
      </c>
      <c r="E21" s="3305" t="s">
        <v>1998</v>
      </c>
      <c r="F21" s="3306"/>
      <c r="G21" s="3306"/>
      <c r="H21" s="3306"/>
      <c r="I21" s="3307"/>
      <c r="J21" s="1691"/>
      <c r="K21" s="1771"/>
      <c r="L21" s="1720"/>
      <c r="M21" s="1720"/>
      <c r="N21" s="1691"/>
      <c r="O21" s="1692"/>
      <c r="P21" s="1691"/>
      <c r="Q21" s="1691"/>
      <c r="R21" s="1691"/>
      <c r="S21" s="1691"/>
      <c r="T21" s="1691"/>
      <c r="U21" s="1691"/>
    </row>
    <row r="22" spans="1:21">
      <c r="A22" s="3118" t="s">
        <v>951</v>
      </c>
      <c r="B22" s="1658" t="s">
        <v>1961</v>
      </c>
      <c r="C22" s="1683">
        <f>'数据-汇总表'!D3</f>
        <v>15400</v>
      </c>
      <c r="D22" s="1684" t="s">
        <v>1960</v>
      </c>
      <c r="E22" s="3305" t="s">
        <v>2890</v>
      </c>
      <c r="F22" s="3306"/>
      <c r="G22" s="3306"/>
      <c r="H22" s="3306"/>
      <c r="I22" s="3307"/>
      <c r="J22" s="1691"/>
      <c r="K22" s="1771"/>
      <c r="L22" s="1720"/>
      <c r="M22" s="1720"/>
      <c r="N22" s="1691"/>
      <c r="O22" s="1692"/>
      <c r="P22" s="1691"/>
      <c r="Q22" s="1691"/>
      <c r="R22" s="1691"/>
      <c r="S22" s="1691"/>
      <c r="T22" s="1691"/>
      <c r="U22" s="1691"/>
    </row>
    <row r="23" spans="1:21" ht="43.5" thickBot="1">
      <c r="A23" s="1762" t="s">
        <v>1962</v>
      </c>
      <c r="B23" s="1698" t="s">
        <v>1963</v>
      </c>
      <c r="C23" s="1699" t="s">
        <v>3051</v>
      </c>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308" t="s">
        <v>1966</v>
      </c>
      <c r="C24" s="3309"/>
      <c r="D24" s="3310" t="s">
        <v>1967</v>
      </c>
      <c r="E24" s="3311"/>
      <c r="F24" s="1705" t="s">
        <v>1968</v>
      </c>
      <c r="G24" s="1691"/>
      <c r="H24" s="1691"/>
      <c r="I24" s="1704"/>
      <c r="J24" s="1691"/>
      <c r="K24" s="3296" t="s">
        <v>1969</v>
      </c>
      <c r="L24" s="24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296"/>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296"/>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7"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8"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8"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29"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82" t="s">
        <v>2001</v>
      </c>
      <c r="B31" s="1761" t="s">
        <v>2002</v>
      </c>
      <c r="C31" s="3321"/>
      <c r="D31" s="3322"/>
      <c r="E31" s="1691"/>
      <c r="F31" s="1691"/>
      <c r="G31" s="1691"/>
      <c r="H31" s="1691"/>
      <c r="I31" s="1704"/>
      <c r="J31" s="1691"/>
      <c r="K31" s="2434"/>
      <c r="L31" s="1691"/>
      <c r="M31" s="1691"/>
      <c r="N31" s="1691"/>
      <c r="O31" s="1691"/>
      <c r="P31" s="1691"/>
      <c r="Q31" s="1691"/>
      <c r="R31" s="1691"/>
      <c r="S31" s="1691"/>
      <c r="T31" s="1691"/>
      <c r="U31" s="1691"/>
    </row>
    <row r="32" spans="1:21">
      <c r="A32" s="3282"/>
      <c r="B32" s="1658" t="s">
        <v>2003</v>
      </c>
      <c r="C32" s="1716"/>
      <c r="D32" s="1717"/>
      <c r="E32" s="1691"/>
      <c r="F32" s="1691"/>
      <c r="G32" s="1691"/>
      <c r="H32" s="1691"/>
      <c r="I32" s="1704"/>
      <c r="J32" s="1691"/>
      <c r="K32" s="2434"/>
      <c r="L32" s="1691"/>
      <c r="M32" s="1691"/>
      <c r="N32" s="1691"/>
      <c r="O32" s="1691"/>
      <c r="P32" s="1691"/>
      <c r="Q32" s="1691"/>
      <c r="R32" s="1691"/>
      <c r="S32" s="1691"/>
      <c r="T32" s="1691"/>
      <c r="U32" s="1691"/>
    </row>
    <row r="33" spans="1:21">
      <c r="A33" s="3282"/>
      <c r="B33" s="1658" t="s">
        <v>2004</v>
      </c>
      <c r="C33" s="1718"/>
      <c r="D33" s="1835"/>
      <c r="E33" s="1691"/>
      <c r="F33" s="1691"/>
      <c r="G33" s="1691"/>
      <c r="H33" s="1691"/>
      <c r="I33" s="1704"/>
      <c r="J33" s="1691"/>
      <c r="K33" s="2434"/>
      <c r="L33" s="1691"/>
      <c r="M33" s="1691"/>
      <c r="N33" s="1691"/>
      <c r="O33" s="1691"/>
      <c r="P33" s="1691"/>
      <c r="Q33" s="1691"/>
      <c r="R33" s="1691"/>
      <c r="S33" s="1691"/>
      <c r="T33" s="1691"/>
      <c r="U33" s="1691"/>
    </row>
    <row r="34" spans="1:21">
      <c r="A34" s="3283"/>
      <c r="B34" s="1658" t="s">
        <v>2005</v>
      </c>
      <c r="C34" s="3284"/>
      <c r="D34" s="3285"/>
      <c r="E34" s="1691"/>
      <c r="F34" s="1691"/>
      <c r="G34" s="1691"/>
      <c r="H34" s="1691"/>
      <c r="I34" s="1704"/>
      <c r="J34" s="1691"/>
      <c r="K34" s="2434"/>
      <c r="L34" s="1691"/>
      <c r="M34" s="1691"/>
      <c r="N34" s="1691"/>
      <c r="O34" s="1691"/>
      <c r="P34" s="1691"/>
      <c r="Q34" s="1691"/>
      <c r="R34" s="1691"/>
      <c r="S34" s="1691"/>
      <c r="T34" s="1691"/>
      <c r="U34" s="1691"/>
    </row>
    <row r="35" spans="1:21">
      <c r="A35" s="3286" t="s">
        <v>846</v>
      </c>
      <c r="B35" s="1719"/>
      <c r="C35" s="1773" t="str">
        <f>IF(B35="场地平整","——","具体情况：")</f>
        <v>具体情况：</v>
      </c>
      <c r="D35" s="3288"/>
      <c r="E35" s="3289"/>
      <c r="F35" s="3289"/>
      <c r="G35" s="3289"/>
      <c r="H35" s="3289"/>
      <c r="I35" s="3290"/>
      <c r="J35" s="1691"/>
      <c r="K35" s="1772"/>
      <c r="L35" s="1720"/>
      <c r="M35" s="1720"/>
      <c r="N35" s="1691"/>
      <c r="O35" s="1692"/>
      <c r="P35" s="1691"/>
      <c r="Q35" s="1691"/>
      <c r="R35" s="1691"/>
      <c r="S35" s="1691"/>
      <c r="T35" s="1691"/>
      <c r="U35" s="1691"/>
    </row>
    <row r="36" spans="1:21">
      <c r="A36" s="3282"/>
      <c r="B36" s="3291" t="s">
        <v>2054</v>
      </c>
      <c r="C36" s="3292"/>
      <c r="D36" s="1789"/>
      <c r="E36" s="3293"/>
      <c r="F36" s="3293"/>
      <c r="G36" s="1684" t="str">
        <f>IF(B35="场地未平整","估价结果处理","")</f>
        <v/>
      </c>
      <c r="H36" s="3294"/>
      <c r="I36" s="3294"/>
      <c r="J36" s="1691"/>
      <c r="K36" s="1772"/>
      <c r="L36" s="1720"/>
      <c r="M36" s="1720"/>
      <c r="N36" s="1691"/>
      <c r="O36" s="1692"/>
      <c r="P36" s="1691"/>
      <c r="Q36" s="1691"/>
      <c r="R36" s="1691"/>
      <c r="S36" s="1691"/>
      <c r="T36" s="1691"/>
      <c r="U36" s="1691"/>
    </row>
    <row r="37" spans="1:21" ht="28.5">
      <c r="A37" s="3282"/>
      <c r="B37" s="3312"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82"/>
      <c r="B38" s="3313"/>
      <c r="C38" s="1666"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283"/>
      <c r="B39" s="3314"/>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95" t="s">
        <v>1985</v>
      </c>
      <c r="T40" s="1728" t="str">
        <f>NUMBERSTRING(7-K40,1)&amp;"通"</f>
        <v>七通</v>
      </c>
      <c r="U40" s="1691"/>
    </row>
    <row r="41" spans="1:21">
      <c r="A41" s="1660"/>
      <c r="B41" s="3287" t="s">
        <v>1721</v>
      </c>
      <c r="C41" s="3287"/>
      <c r="D41" s="3287"/>
      <c r="E41" s="3287"/>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95"/>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5" customFormat="1" ht="21" thickBot="1">
      <c r="A45" s="3046" t="s">
        <v>2891</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E25" sqref="AE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37" t="s">
        <v>2333</v>
      </c>
      <c r="BA2" s="2338"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'综合考虑后规划指标（测算用）'!B3</f>
        <v>15400</v>
      </c>
      <c r="B3" s="22">
        <f>IF(C3="否",G5-AT5,G5)</f>
        <v>43120</v>
      </c>
      <c r="C3" s="23" t="s">
        <v>1678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3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43120</v>
      </c>
      <c r="H5" s="27">
        <f t="shared" ref="H5:AT5" si="0">SUM(H13:H641)</f>
        <v>43120</v>
      </c>
      <c r="I5" s="27">
        <f t="shared" si="0"/>
        <v>43120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43120</v>
      </c>
      <c r="BA5" s="29">
        <f t="shared" si="1"/>
        <v>43120</v>
      </c>
      <c r="BB5" s="29">
        <f t="shared" si="1"/>
        <v>43120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15400</v>
      </c>
      <c r="F6" s="27" t="s">
        <v>1</v>
      </c>
      <c r="G6" s="27" t="s">
        <v>2</v>
      </c>
      <c r="H6" s="33">
        <f>SUMIF(I$12:AB$12,"总值",I6:AB6)</f>
        <v>15400</v>
      </c>
      <c r="I6" s="27">
        <f t="shared" ref="I6:AB6" si="2">ROUND($A$3*I5/$B$3,2)</f>
        <v>15400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15400</v>
      </c>
      <c r="AZ6" s="27" t="s">
        <v>3</v>
      </c>
      <c r="BA6" s="27">
        <f>ROUND($AY$6*BA5/$AZ$5,2)</f>
        <v>15400</v>
      </c>
      <c r="BB6" s="27">
        <f>ROUND($AY$6*BB5/$AZ$5,2)</f>
        <v>15400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91" t="s">
        <v>3052</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91" t="s">
        <v>922</v>
      </c>
      <c r="J10" s="51"/>
      <c r="K10" s="2993"/>
      <c r="L10" s="51"/>
      <c r="M10" s="2993"/>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92" t="s">
        <v>3053</v>
      </c>
      <c r="J11" s="71"/>
      <c r="K11" s="2992"/>
      <c r="L11" s="71"/>
      <c r="M11" s="70"/>
      <c r="N11" s="71"/>
      <c r="O11" s="70"/>
      <c r="P11" s="71"/>
      <c r="Q11" s="70"/>
      <c r="R11" s="71"/>
      <c r="S11" s="70"/>
      <c r="T11" s="71"/>
      <c r="U11" s="70"/>
      <c r="V11" s="71"/>
      <c r="W11" s="70"/>
      <c r="X11" s="71"/>
      <c r="Y11" s="70"/>
      <c r="Z11" s="71"/>
      <c r="AA11" s="70"/>
      <c r="AB11" s="71"/>
      <c r="AC11" s="55"/>
      <c r="AD11" s="2332" t="s">
        <v>2330</v>
      </c>
      <c r="AE11" s="1000"/>
      <c r="AF11" s="2332" t="s">
        <v>2330</v>
      </c>
      <c r="AG11" s="1000"/>
      <c r="AH11" s="2332" t="s">
        <v>2329</v>
      </c>
      <c r="AI11" s="2333"/>
      <c r="AJ11" s="2332" t="s">
        <v>2329</v>
      </c>
      <c r="AK11" s="2331"/>
      <c r="AL11" s="998"/>
      <c r="AM11" s="1000"/>
      <c r="AN11" s="998"/>
      <c r="AO11" s="1000"/>
      <c r="AP11" s="1186"/>
      <c r="AQ11" s="1188"/>
      <c r="AR11" s="1186"/>
      <c r="AS11" s="1188"/>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86"/>
      <c r="B13" s="2986"/>
      <c r="C13" s="2986"/>
      <c r="D13" s="2987" t="s">
        <v>1678</v>
      </c>
      <c r="E13" s="27">
        <f t="shared" ref="E13:E20" si="6">IF($C$3="是",ROUND($A$3*G13/$B$3,2),ROUND($A$3*(G13-AT13)/$B$3,2))</f>
        <v>15400</v>
      </c>
      <c r="F13" s="81"/>
      <c r="G13" s="82">
        <f t="shared" ref="G13:G20" si="7">H13+AC13+AT13</f>
        <v>43120</v>
      </c>
      <c r="H13" s="33">
        <f t="shared" ref="H13:H20" si="8">SUMIF(I$12:AB$12,"总值",I13:AB13)</f>
        <v>43120</v>
      </c>
      <c r="I13" s="2990">
        <f>'综合考虑后规划指标（测算用）'!D3</f>
        <v>43120</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f t="shared" si="10"/>
        <v>0</v>
      </c>
      <c r="AY13" s="994">
        <f t="shared" ref="AY13:AY20" si="11">ROUND($AY$6*AZ13/$AZ$5,2)</f>
        <v>15400</v>
      </c>
      <c r="AZ13" s="27">
        <f t="shared" ref="AZ13:AZ20" si="12">BA13+BL13</f>
        <v>43120</v>
      </c>
      <c r="BA13" s="27">
        <f t="shared" ref="BA13:BA20" si="13">SUM(BB13:BK13)</f>
        <v>43120</v>
      </c>
      <c r="BB13" s="27">
        <f t="shared" ref="BB13:BB20" si="14">IF($D13="是",I13-J13,0)</f>
        <v>43120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3" t="s">
        <v>0</v>
      </c>
      <c r="B1" s="3323" t="s">
        <v>4</v>
      </c>
      <c r="C1" s="3323" t="s">
        <v>5</v>
      </c>
      <c r="D1" s="3324" t="s">
        <v>40</v>
      </c>
      <c r="E1" s="3324" t="s">
        <v>41</v>
      </c>
      <c r="F1" s="3324"/>
      <c r="G1" s="3324"/>
      <c r="H1" s="3324"/>
      <c r="I1" s="3324"/>
      <c r="J1" s="3324"/>
      <c r="K1" s="3324"/>
      <c r="L1" s="3324"/>
      <c r="M1" s="3324"/>
    </row>
    <row r="2" spans="1:13" ht="27" customHeight="1">
      <c r="A2" s="3323"/>
      <c r="B2" s="3323"/>
      <c r="C2" s="3323"/>
      <c r="D2" s="3324"/>
      <c r="E2" s="3324" t="s">
        <v>24</v>
      </c>
      <c r="F2" s="3324" t="s">
        <v>25</v>
      </c>
      <c r="G2" s="3324"/>
      <c r="H2" s="3324"/>
      <c r="I2" s="3324"/>
      <c r="J2" s="3324" t="s">
        <v>26</v>
      </c>
      <c r="K2" s="3324"/>
      <c r="L2" s="3324"/>
      <c r="M2" s="3324"/>
    </row>
    <row r="3" spans="1:13" ht="28.5">
      <c r="A3" s="3323"/>
      <c r="B3" s="3323"/>
      <c r="C3" s="3323"/>
      <c r="D3" s="3324"/>
      <c r="E3" s="332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4" t="s">
        <v>42</v>
      </c>
      <c r="B9" s="3324"/>
      <c r="C9" s="33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
  <sheetViews>
    <sheetView workbookViewId="0">
      <selection activeCell="C10" sqref="C10:C12"/>
    </sheetView>
  </sheetViews>
  <sheetFormatPr defaultRowHeight="19.5" customHeight="1"/>
  <cols>
    <col min="1" max="1" width="6.375" style="3175" customWidth="1"/>
    <col min="2" max="2" width="23.375" style="3175" customWidth="1"/>
    <col min="3" max="3" width="11.625" style="3175" customWidth="1"/>
    <col min="4" max="4" width="11.5" style="3175" customWidth="1"/>
    <col min="5" max="5" width="9" style="3175" customWidth="1"/>
    <col min="6" max="6" width="19.375" style="3175" customWidth="1"/>
    <col min="7" max="7" width="22.125" style="3175" customWidth="1"/>
    <col min="8" max="16" width="9" style="3175"/>
    <col min="17" max="17" width="16.25" style="3175" customWidth="1"/>
    <col min="18" max="18" width="14.375" style="3175" customWidth="1"/>
    <col min="19" max="19" width="23.5" style="3175" customWidth="1"/>
    <col min="20" max="20" width="9" style="3175"/>
    <col min="21" max="27" width="9" style="3183"/>
    <col min="28" max="16384" width="9" style="3175"/>
  </cols>
  <sheetData>
    <row r="1" spans="1:20" ht="19.5" customHeight="1">
      <c r="A1" s="3326" t="s">
        <v>3033</v>
      </c>
      <c r="B1" s="3326"/>
      <c r="C1" s="3326"/>
      <c r="D1" s="3326"/>
      <c r="E1" s="3326"/>
      <c r="F1" s="3326"/>
      <c r="G1" s="3327"/>
      <c r="H1" s="3325" t="s">
        <v>3032</v>
      </c>
      <c r="I1" s="3325"/>
      <c r="J1" s="3325"/>
      <c r="K1" s="3325"/>
      <c r="L1" s="3325"/>
      <c r="M1" s="3325"/>
      <c r="N1" s="3325"/>
      <c r="O1" s="3325"/>
      <c r="P1" s="3325"/>
      <c r="Q1" s="3325" t="s">
        <v>3034</v>
      </c>
      <c r="R1" s="3325"/>
      <c r="S1" s="3325"/>
      <c r="T1" s="3183"/>
    </row>
    <row r="2" spans="1:20" ht="23.25" customHeight="1">
      <c r="A2" s="3177" t="s">
        <v>3022</v>
      </c>
      <c r="B2" s="3177" t="s">
        <v>2992</v>
      </c>
      <c r="C2" s="3177" t="s">
        <v>2993</v>
      </c>
      <c r="D2" s="3177" t="s">
        <v>2994</v>
      </c>
      <c r="E2" s="3177" t="s">
        <v>3018</v>
      </c>
      <c r="F2" s="3177" t="s">
        <v>3020</v>
      </c>
      <c r="G2" s="3181" t="s">
        <v>3021</v>
      </c>
      <c r="H2" s="3181" t="s">
        <v>3023</v>
      </c>
      <c r="I2" s="3182" t="s">
        <v>3028</v>
      </c>
      <c r="J2" s="3180" t="s">
        <v>3027</v>
      </c>
      <c r="K2" s="3181" t="s">
        <v>3024</v>
      </c>
      <c r="L2" s="3181" t="s">
        <v>3025</v>
      </c>
      <c r="M2" s="3181" t="s">
        <v>3026</v>
      </c>
      <c r="N2" s="3182" t="s">
        <v>3031</v>
      </c>
      <c r="O2" s="3181" t="s">
        <v>3029</v>
      </c>
      <c r="P2" s="3181" t="s">
        <v>3030</v>
      </c>
      <c r="Q2" s="3177" t="s">
        <v>3036</v>
      </c>
      <c r="R2" s="3177" t="s">
        <v>3035</v>
      </c>
      <c r="S2" s="3177" t="s">
        <v>3037</v>
      </c>
      <c r="T2" s="3183"/>
    </row>
    <row r="3" spans="1:20" ht="23.25" customHeight="1">
      <c r="A3" s="3177">
        <v>1</v>
      </c>
      <c r="B3" s="3177" t="s">
        <v>2995</v>
      </c>
      <c r="C3" s="3178">
        <v>6646.5</v>
      </c>
      <c r="D3" s="3179">
        <v>60731</v>
      </c>
      <c r="E3" s="3177" t="s">
        <v>2996</v>
      </c>
      <c r="F3" s="3177" t="s">
        <v>3019</v>
      </c>
      <c r="G3" s="3177" t="s">
        <v>2997</v>
      </c>
      <c r="H3" s="3177"/>
      <c r="I3" s="3177"/>
      <c r="J3" s="3177"/>
      <c r="K3" s="3177"/>
      <c r="L3" s="3177"/>
      <c r="M3" s="3177"/>
      <c r="N3" s="3177"/>
      <c r="O3" s="3177"/>
      <c r="P3" s="3177"/>
      <c r="Q3" s="3177"/>
      <c r="R3" s="3177"/>
      <c r="S3" s="3177"/>
      <c r="T3" s="3183"/>
    </row>
    <row r="4" spans="1:20" ht="23.25" customHeight="1">
      <c r="A4" s="3177">
        <v>2</v>
      </c>
      <c r="B4" s="3177" t="s">
        <v>2998</v>
      </c>
      <c r="C4" s="3178">
        <v>6666.4</v>
      </c>
      <c r="D4" s="3179">
        <v>60731</v>
      </c>
      <c r="E4" s="3177" t="s">
        <v>2999</v>
      </c>
      <c r="F4" s="3177" t="s">
        <v>3019</v>
      </c>
      <c r="G4" s="3177" t="s">
        <v>2997</v>
      </c>
      <c r="H4" s="3177"/>
      <c r="I4" s="3177"/>
      <c r="J4" s="3177"/>
      <c r="K4" s="3177"/>
      <c r="L4" s="3177"/>
      <c r="M4" s="3177"/>
      <c r="N4" s="3177"/>
      <c r="O4" s="3177"/>
      <c r="P4" s="3177"/>
      <c r="Q4" s="3177"/>
      <c r="R4" s="3177"/>
      <c r="S4" s="3177"/>
      <c r="T4" s="3183"/>
    </row>
    <row r="5" spans="1:20" ht="23.25" customHeight="1">
      <c r="A5" s="3177">
        <v>3</v>
      </c>
      <c r="B5" s="3177" t="s">
        <v>3000</v>
      </c>
      <c r="C5" s="3178">
        <v>6666.4</v>
      </c>
      <c r="D5" s="3179">
        <v>60731</v>
      </c>
      <c r="E5" s="3177" t="s">
        <v>2999</v>
      </c>
      <c r="F5" s="3177" t="s">
        <v>3019</v>
      </c>
      <c r="G5" s="3177" t="s">
        <v>2997</v>
      </c>
      <c r="H5" s="3177"/>
      <c r="I5" s="3177"/>
      <c r="J5" s="3177"/>
      <c r="K5" s="3177"/>
      <c r="L5" s="3177"/>
      <c r="M5" s="3177"/>
      <c r="N5" s="3177"/>
      <c r="O5" s="3177"/>
      <c r="P5" s="3177"/>
      <c r="Q5" s="3177"/>
      <c r="R5" s="3177"/>
      <c r="S5" s="3177"/>
      <c r="T5" s="3183"/>
    </row>
    <row r="6" spans="1:20" ht="23.25" customHeight="1">
      <c r="A6" s="3177">
        <v>4</v>
      </c>
      <c r="B6" s="3177" t="s">
        <v>3001</v>
      </c>
      <c r="C6" s="3178">
        <v>5763.5</v>
      </c>
      <c r="D6" s="3179">
        <v>60731</v>
      </c>
      <c r="E6" s="3177" t="s">
        <v>2999</v>
      </c>
      <c r="F6" s="3177" t="s">
        <v>3019</v>
      </c>
      <c r="G6" s="3177" t="s">
        <v>2997</v>
      </c>
      <c r="H6" s="3177"/>
      <c r="I6" s="3177"/>
      <c r="J6" s="3177"/>
      <c r="K6" s="3177"/>
      <c r="L6" s="3177"/>
      <c r="M6" s="3177"/>
      <c r="N6" s="3177"/>
      <c r="O6" s="3177"/>
      <c r="P6" s="3177"/>
      <c r="Q6" s="3177"/>
      <c r="R6" s="3177"/>
      <c r="S6" s="3177"/>
      <c r="T6" s="3183"/>
    </row>
    <row r="7" spans="1:20" ht="23.25" customHeight="1">
      <c r="A7" s="3177">
        <v>5</v>
      </c>
      <c r="B7" s="3177" t="s">
        <v>3002</v>
      </c>
      <c r="C7" s="3178">
        <v>6666.6</v>
      </c>
      <c r="D7" s="3179">
        <v>60731</v>
      </c>
      <c r="E7" s="3177" t="s">
        <v>2999</v>
      </c>
      <c r="F7" s="3177" t="s">
        <v>3019</v>
      </c>
      <c r="G7" s="3177" t="s">
        <v>2997</v>
      </c>
      <c r="H7" s="3177"/>
      <c r="I7" s="3177"/>
      <c r="J7" s="3177"/>
      <c r="K7" s="3177"/>
      <c r="L7" s="3177"/>
      <c r="M7" s="3177"/>
      <c r="N7" s="3177"/>
      <c r="O7" s="3177"/>
      <c r="P7" s="3177"/>
      <c r="Q7" s="3177"/>
      <c r="R7" s="3177"/>
      <c r="S7" s="3177"/>
      <c r="T7" s="3183"/>
    </row>
    <row r="8" spans="1:20" ht="23.25" customHeight="1">
      <c r="A8" s="3177">
        <v>6</v>
      </c>
      <c r="B8" s="3177" t="s">
        <v>3003</v>
      </c>
      <c r="C8" s="3178">
        <v>6573</v>
      </c>
      <c r="D8" s="3179">
        <v>60731</v>
      </c>
      <c r="E8" s="3177" t="s">
        <v>2999</v>
      </c>
      <c r="F8" s="3177" t="s">
        <v>3019</v>
      </c>
      <c r="G8" s="3177" t="s">
        <v>2997</v>
      </c>
      <c r="H8" s="3177"/>
      <c r="I8" s="3177"/>
      <c r="J8" s="3177"/>
      <c r="K8" s="3177"/>
      <c r="L8" s="3177"/>
      <c r="M8" s="3177"/>
      <c r="N8" s="3177"/>
      <c r="O8" s="3177"/>
      <c r="P8" s="3177"/>
      <c r="Q8" s="3177"/>
      <c r="R8" s="3177"/>
      <c r="S8" s="3177"/>
      <c r="T8" s="3183"/>
    </row>
    <row r="9" spans="1:20" ht="23.25" customHeight="1">
      <c r="A9" s="3177">
        <v>7</v>
      </c>
      <c r="B9" s="3177" t="s">
        <v>3004</v>
      </c>
      <c r="C9" s="3178">
        <v>2099.5</v>
      </c>
      <c r="D9" s="3179">
        <v>60731</v>
      </c>
      <c r="E9" s="3177" t="s">
        <v>2999</v>
      </c>
      <c r="F9" s="3177" t="s">
        <v>3019</v>
      </c>
      <c r="G9" s="3177" t="s">
        <v>2997</v>
      </c>
      <c r="H9" s="3177"/>
      <c r="I9" s="3177"/>
      <c r="J9" s="3177"/>
      <c r="K9" s="3177"/>
      <c r="L9" s="3177"/>
      <c r="M9" s="3177"/>
      <c r="N9" s="3177"/>
      <c r="O9" s="3177"/>
      <c r="P9" s="3177"/>
      <c r="Q9" s="3177"/>
      <c r="R9" s="3177"/>
      <c r="S9" s="3177"/>
      <c r="T9" s="3183"/>
    </row>
    <row r="10" spans="1:20" ht="23.25" customHeight="1">
      <c r="A10" s="3177">
        <v>8</v>
      </c>
      <c r="B10" s="3177" t="s">
        <v>3005</v>
      </c>
      <c r="C10" s="3178">
        <v>71062</v>
      </c>
      <c r="D10" s="3179">
        <v>62518</v>
      </c>
      <c r="E10" s="3177" t="s">
        <v>2996</v>
      </c>
      <c r="F10" s="3177" t="s">
        <v>3006</v>
      </c>
      <c r="G10" s="3177" t="s">
        <v>2997</v>
      </c>
      <c r="H10" s="3177"/>
      <c r="I10" s="3177"/>
      <c r="J10" s="3177"/>
      <c r="K10" s="3177"/>
      <c r="L10" s="3177"/>
      <c r="M10" s="3177"/>
      <c r="N10" s="3177"/>
      <c r="O10" s="3177"/>
      <c r="P10" s="3177"/>
      <c r="Q10" s="3177"/>
      <c r="R10" s="3177"/>
      <c r="S10" s="3177"/>
      <c r="T10" s="3183"/>
    </row>
    <row r="11" spans="1:20" ht="23.25" customHeight="1">
      <c r="A11" s="3177">
        <v>9</v>
      </c>
      <c r="B11" s="3177" t="s">
        <v>3007</v>
      </c>
      <c r="C11" s="3178">
        <v>84314</v>
      </c>
      <c r="D11" s="3179" t="s">
        <v>3008</v>
      </c>
      <c r="E11" s="3177" t="s">
        <v>3009</v>
      </c>
      <c r="F11" s="3177" t="s">
        <v>3006</v>
      </c>
      <c r="G11" s="3177" t="s">
        <v>2997</v>
      </c>
      <c r="H11" s="3177"/>
      <c r="I11" s="3177"/>
      <c r="J11" s="3177"/>
      <c r="K11" s="3177"/>
      <c r="L11" s="3177"/>
      <c r="M11" s="3177"/>
      <c r="N11" s="3177"/>
      <c r="O11" s="3177"/>
      <c r="P11" s="3177"/>
      <c r="Q11" s="3177"/>
      <c r="R11" s="3177"/>
      <c r="S11" s="3177"/>
      <c r="T11" s="3183"/>
    </row>
    <row r="12" spans="1:20" ht="23.25" customHeight="1">
      <c r="A12" s="3177">
        <v>10</v>
      </c>
      <c r="B12" s="3177" t="s">
        <v>3010</v>
      </c>
      <c r="C12" s="3178">
        <v>62297</v>
      </c>
      <c r="D12" s="3179">
        <v>62518</v>
      </c>
      <c r="E12" s="3177" t="s">
        <v>2996</v>
      </c>
      <c r="F12" s="3177" t="s">
        <v>3006</v>
      </c>
      <c r="G12" s="3177" t="s">
        <v>2997</v>
      </c>
      <c r="H12" s="3177"/>
      <c r="I12" s="3177"/>
      <c r="J12" s="3177"/>
      <c r="K12" s="3177"/>
      <c r="L12" s="3177"/>
      <c r="M12" s="3177"/>
      <c r="N12" s="3177"/>
      <c r="O12" s="3177"/>
      <c r="P12" s="3177"/>
      <c r="Q12" s="3177"/>
      <c r="R12" s="3177"/>
      <c r="S12" s="3177"/>
      <c r="T12" s="3183"/>
    </row>
    <row r="13" spans="1:20" ht="23.25" customHeight="1">
      <c r="A13" s="3177"/>
      <c r="B13" s="3177" t="s">
        <v>3011</v>
      </c>
      <c r="C13" s="3178">
        <f>SUM(C3:C12)</f>
        <v>258754.9</v>
      </c>
      <c r="D13" s="3177" t="s">
        <v>3012</v>
      </c>
      <c r="E13" s="3177"/>
      <c r="F13" s="3177"/>
      <c r="G13" s="3177"/>
      <c r="H13" s="3177"/>
      <c r="I13" s="3177"/>
      <c r="J13" s="3177"/>
      <c r="K13" s="3177"/>
      <c r="L13" s="3177"/>
      <c r="M13" s="3177"/>
      <c r="N13" s="3177"/>
      <c r="O13" s="3177"/>
      <c r="P13" s="3177"/>
      <c r="Q13" s="3177"/>
      <c r="R13" s="3177"/>
      <c r="S13" s="3177"/>
      <c r="T13" s="3183"/>
    </row>
    <row r="14" spans="1:20" ht="12">
      <c r="C14" s="3175">
        <f>C13/666.67</f>
        <v>388.13040934795328</v>
      </c>
      <c r="D14" s="3175" t="s">
        <v>3013</v>
      </c>
    </row>
    <row r="16" spans="1:20" ht="19.5" customHeight="1">
      <c r="B16" s="3328" t="s">
        <v>3038</v>
      </c>
      <c r="C16" s="3328"/>
      <c r="D16" s="3328"/>
      <c r="E16" s="3328"/>
      <c r="F16" s="3328"/>
      <c r="G16" s="3184"/>
    </row>
    <row r="17" spans="2:7" ht="19.5" customHeight="1">
      <c r="B17" s="3328"/>
      <c r="C17" s="3328"/>
      <c r="D17" s="3328"/>
      <c r="E17" s="3328"/>
      <c r="F17" s="3328"/>
      <c r="G17" s="3184"/>
    </row>
    <row r="18" spans="2:7" ht="19.5" customHeight="1">
      <c r="B18" s="3328"/>
      <c r="C18" s="3328"/>
      <c r="D18" s="3328"/>
      <c r="E18" s="3328"/>
      <c r="F18" s="3328"/>
      <c r="G18" s="3184"/>
    </row>
    <row r="19" spans="2:7" ht="19.5" customHeight="1">
      <c r="B19" s="3328"/>
      <c r="C19" s="3328"/>
      <c r="D19" s="3328"/>
      <c r="E19" s="3328"/>
      <c r="F19" s="3328"/>
    </row>
    <row r="20" spans="2:7" ht="12">
      <c r="B20" s="3175" t="s">
        <v>3014</v>
      </c>
      <c r="C20" s="3176">
        <v>65000</v>
      </c>
    </row>
    <row r="21" spans="2:7" ht="12">
      <c r="B21" s="3175" t="s">
        <v>3015</v>
      </c>
      <c r="C21" s="3176">
        <f>C20*55%</f>
        <v>35750</v>
      </c>
    </row>
    <row r="22" spans="2:7" ht="12">
      <c r="B22" s="3175" t="s">
        <v>3016</v>
      </c>
      <c r="C22" s="3176">
        <v>800000</v>
      </c>
    </row>
    <row r="23" spans="2:7" ht="12">
      <c r="B23" s="3175" t="s">
        <v>3017</v>
      </c>
      <c r="C23" s="3176">
        <f>C21*C22</f>
        <v>28600000000</v>
      </c>
    </row>
  </sheetData>
  <mergeCells count="4">
    <mergeCell ref="H1:P1"/>
    <mergeCell ref="A1:G1"/>
    <mergeCell ref="Q1:S1"/>
    <mergeCell ref="B16:F19"/>
  </mergeCells>
  <phoneticPr fontId="229"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C10" sqref="C10:C12"/>
    </sheetView>
  </sheetViews>
  <sheetFormatPr defaultRowHeight="13.5"/>
  <cols>
    <col min="2" max="2" width="27.25" customWidth="1"/>
    <col min="4" max="4" width="18.625" customWidth="1"/>
    <col min="10" max="10" width="32.875" customWidth="1"/>
  </cols>
  <sheetData>
    <row r="1" spans="1:10">
      <c r="A1" s="3185" t="s">
        <v>3081</v>
      </c>
      <c r="B1" s="3185" t="s">
        <v>3055</v>
      </c>
      <c r="C1" s="3185" t="s">
        <v>3056</v>
      </c>
      <c r="D1" s="3185" t="s">
        <v>3058</v>
      </c>
      <c r="E1" s="3185" t="s">
        <v>3059</v>
      </c>
      <c r="F1" s="3185" t="s">
        <v>3060</v>
      </c>
      <c r="G1" s="3185" t="s">
        <v>3061</v>
      </c>
      <c r="H1" s="3185" t="s">
        <v>3062</v>
      </c>
      <c r="I1" s="3185" t="s">
        <v>3063</v>
      </c>
      <c r="J1" s="3185" t="s">
        <v>3064</v>
      </c>
    </row>
    <row r="2" spans="1:10">
      <c r="A2">
        <v>1</v>
      </c>
      <c r="B2" s="3185" t="s">
        <v>3054</v>
      </c>
      <c r="C2" s="3185" t="s">
        <v>3065</v>
      </c>
      <c r="D2" s="3185" t="s">
        <v>3066</v>
      </c>
      <c r="E2">
        <v>52600</v>
      </c>
      <c r="F2">
        <v>6</v>
      </c>
      <c r="G2">
        <f>E2*F2</f>
        <v>315600</v>
      </c>
      <c r="H2">
        <v>150</v>
      </c>
      <c r="I2">
        <v>50</v>
      </c>
      <c r="J2" s="3185" t="s">
        <v>3067</v>
      </c>
    </row>
    <row r="3" spans="1:10">
      <c r="A3">
        <v>2</v>
      </c>
      <c r="B3" s="3185" t="s">
        <v>3068</v>
      </c>
      <c r="C3" s="3185" t="s">
        <v>3069</v>
      </c>
      <c r="D3" s="3185" t="s">
        <v>3072</v>
      </c>
      <c r="E3">
        <v>8900</v>
      </c>
      <c r="F3">
        <v>4</v>
      </c>
      <c r="G3">
        <f t="shared" ref="G3:G9" si="0">E3*F3</f>
        <v>35600</v>
      </c>
      <c r="H3">
        <v>80</v>
      </c>
      <c r="I3">
        <v>35</v>
      </c>
    </row>
    <row r="4" spans="1:10">
      <c r="A4">
        <v>3</v>
      </c>
      <c r="B4" s="3185" t="s">
        <v>3073</v>
      </c>
      <c r="C4" s="3185" t="s">
        <v>3070</v>
      </c>
      <c r="D4" s="3185" t="s">
        <v>3072</v>
      </c>
      <c r="E4">
        <v>11000</v>
      </c>
      <c r="F4">
        <v>1.6</v>
      </c>
      <c r="G4">
        <f t="shared" si="0"/>
        <v>17600</v>
      </c>
      <c r="H4">
        <v>18</v>
      </c>
      <c r="I4">
        <v>30</v>
      </c>
    </row>
    <row r="5" spans="1:10">
      <c r="A5">
        <v>4</v>
      </c>
      <c r="B5" s="3185" t="s">
        <v>3074</v>
      </c>
      <c r="C5" s="3185" t="s">
        <v>3075</v>
      </c>
      <c r="D5" s="3185" t="s">
        <v>3076</v>
      </c>
      <c r="E5">
        <v>6500</v>
      </c>
      <c r="F5">
        <v>6</v>
      </c>
      <c r="G5">
        <f t="shared" si="0"/>
        <v>39000</v>
      </c>
      <c r="H5">
        <v>80</v>
      </c>
      <c r="I5">
        <v>50</v>
      </c>
    </row>
    <row r="6" spans="1:10" s="3186" customFormat="1">
      <c r="A6">
        <v>5</v>
      </c>
      <c r="B6" s="3186" t="s">
        <v>3077</v>
      </c>
      <c r="C6" s="3186" t="s">
        <v>3070</v>
      </c>
      <c r="D6" s="3186" t="s">
        <v>3072</v>
      </c>
      <c r="E6" s="3186">
        <v>15400</v>
      </c>
      <c r="F6" s="3186">
        <f>G6/E6</f>
        <v>3.5779220779220777</v>
      </c>
      <c r="G6" s="3186">
        <v>55100</v>
      </c>
      <c r="H6" s="3186">
        <v>80</v>
      </c>
      <c r="I6" s="3186">
        <v>30</v>
      </c>
    </row>
    <row r="7" spans="1:10">
      <c r="A7">
        <v>6</v>
      </c>
      <c r="B7" s="3185" t="s">
        <v>3078</v>
      </c>
      <c r="C7" s="3185" t="s">
        <v>3070</v>
      </c>
      <c r="D7" s="3185" t="s">
        <v>3072</v>
      </c>
      <c r="E7">
        <v>22700</v>
      </c>
      <c r="F7">
        <v>2.8</v>
      </c>
      <c r="G7">
        <f t="shared" si="0"/>
        <v>63559.999999999993</v>
      </c>
      <c r="H7">
        <v>80</v>
      </c>
      <c r="I7">
        <v>30</v>
      </c>
    </row>
    <row r="8" spans="1:10" s="3186" customFormat="1">
      <c r="A8">
        <v>7</v>
      </c>
      <c r="B8" s="3186" t="s">
        <v>3079</v>
      </c>
      <c r="C8" s="3186" t="s">
        <v>3075</v>
      </c>
      <c r="D8" s="3186" t="s">
        <v>3076</v>
      </c>
      <c r="E8" s="3186">
        <v>43100</v>
      </c>
      <c r="F8" s="3186">
        <v>6</v>
      </c>
      <c r="G8" s="3186">
        <f t="shared" si="0"/>
        <v>258600</v>
      </c>
      <c r="H8" s="3186">
        <v>150</v>
      </c>
      <c r="I8" s="3186">
        <v>50</v>
      </c>
      <c r="J8" s="3186" t="s">
        <v>3080</v>
      </c>
    </row>
    <row r="9" spans="1:10" s="3187" customFormat="1">
      <c r="A9">
        <v>8</v>
      </c>
      <c r="B9" s="3187" t="s">
        <v>3255</v>
      </c>
      <c r="C9" s="3185" t="s">
        <v>3070</v>
      </c>
      <c r="D9" s="3185" t="s">
        <v>3072</v>
      </c>
      <c r="E9" s="3187">
        <v>67800</v>
      </c>
      <c r="F9" s="3187">
        <v>2.8</v>
      </c>
      <c r="G9" s="3187">
        <f t="shared" si="0"/>
        <v>189840</v>
      </c>
      <c r="H9" s="3187">
        <v>80</v>
      </c>
      <c r="I9" s="3187">
        <v>30</v>
      </c>
    </row>
    <row r="10" spans="1:10" ht="12.75" customHeight="1">
      <c r="A10" s="3185" t="s">
        <v>3082</v>
      </c>
      <c r="E10">
        <f>SUM(E2:E9)</f>
        <v>228000</v>
      </c>
      <c r="F10">
        <f>G10/E10</f>
        <v>4.2758771929824562</v>
      </c>
      <c r="G10">
        <f t="shared" ref="G10" si="1">SUM(G2:G9)</f>
        <v>974900</v>
      </c>
    </row>
  </sheetData>
  <phoneticPr fontId="229"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workbookViewId="0">
      <selection activeCell="C10" sqref="C10:C12"/>
    </sheetView>
  </sheetViews>
  <sheetFormatPr defaultColWidth="9" defaultRowHeight="13.5"/>
  <cols>
    <col min="1" max="1" width="31.375" style="2915" customWidth="1"/>
    <col min="2" max="2" width="12.5" style="2915" customWidth="1"/>
    <col min="3" max="3" width="12.625" style="2915" customWidth="1"/>
    <col min="4" max="4" width="2.625" style="2915" hidden="1" customWidth="1"/>
    <col min="5" max="5" width="13.875" style="2915" customWidth="1"/>
    <col min="6" max="6" width="9.625" style="3202" customWidth="1"/>
    <col min="7" max="7" width="13.375" style="3203" customWidth="1"/>
    <col min="8" max="9" width="9" style="2915" hidden="1" customWidth="1"/>
    <col min="10" max="10" width="0.125" style="2915" customWidth="1"/>
    <col min="11" max="11" width="9" style="2915" hidden="1" customWidth="1"/>
    <col min="12" max="12" width="41.5" style="2915" customWidth="1"/>
    <col min="13" max="13" width="0.125" style="2915" customWidth="1"/>
    <col min="14" max="15" width="9" style="2915" hidden="1" customWidth="1"/>
    <col min="16" max="16" width="19.625" style="3203" customWidth="1"/>
    <col min="17" max="16384" width="9" style="2915"/>
  </cols>
  <sheetData>
    <row r="1" spans="1:19">
      <c r="A1" s="3329" t="s">
        <v>3497</v>
      </c>
      <c r="B1" s="3330"/>
      <c r="C1" s="3330"/>
      <c r="D1" s="3330"/>
      <c r="E1" s="3330"/>
      <c r="F1" s="3330"/>
      <c r="G1" s="3330"/>
      <c r="H1" s="3330"/>
      <c r="I1" s="3330"/>
      <c r="J1" s="3330"/>
      <c r="K1" s="3330"/>
      <c r="L1" s="3330"/>
      <c r="M1" s="3330"/>
      <c r="N1" s="3330"/>
      <c r="O1" s="3330"/>
      <c r="P1" s="3330"/>
    </row>
    <row r="2" spans="1:19" ht="81">
      <c r="A2" s="3205" t="s">
        <v>3113</v>
      </c>
      <c r="B2" s="3205" t="s">
        <v>3057</v>
      </c>
      <c r="C2" s="3205" t="s">
        <v>3057</v>
      </c>
      <c r="D2" s="3205" t="s">
        <v>3413</v>
      </c>
      <c r="E2" s="3205" t="s">
        <v>3414</v>
      </c>
      <c r="F2" s="3213" t="s">
        <v>2032</v>
      </c>
      <c r="G2" s="3214" t="s">
        <v>3415</v>
      </c>
      <c r="H2" s="3205" t="s">
        <v>3416</v>
      </c>
      <c r="I2" s="3205" t="s">
        <v>3417</v>
      </c>
      <c r="J2" s="3205" t="s">
        <v>3418</v>
      </c>
      <c r="K2" s="3205" t="s">
        <v>3419</v>
      </c>
      <c r="L2" s="3205" t="s">
        <v>3420</v>
      </c>
      <c r="M2" s="3205" t="s">
        <v>3421</v>
      </c>
      <c r="N2" s="3205" t="s">
        <v>3422</v>
      </c>
      <c r="O2" s="3205" t="s">
        <v>3423</v>
      </c>
      <c r="P2" s="3214" t="s">
        <v>3424</v>
      </c>
      <c r="Q2" s="3205" t="s">
        <v>3496</v>
      </c>
      <c r="R2" s="3243" t="s">
        <v>3492</v>
      </c>
    </row>
    <row r="3" spans="1:19" hidden="1">
      <c r="A3" s="3215" t="s">
        <v>3425</v>
      </c>
      <c r="B3" s="3215" t="s">
        <v>3426</v>
      </c>
      <c r="C3" s="3215" t="s">
        <v>3427</v>
      </c>
      <c r="D3" s="3215" t="s">
        <v>3426</v>
      </c>
      <c r="E3" s="3216">
        <v>1</v>
      </c>
      <c r="F3" s="3217" t="s">
        <v>3428</v>
      </c>
      <c r="G3" s="3216" t="s">
        <v>3428</v>
      </c>
      <c r="H3" s="3215" t="s">
        <v>3428</v>
      </c>
      <c r="I3" s="3215" t="s">
        <v>3428</v>
      </c>
      <c r="J3" s="3215">
        <v>100</v>
      </c>
      <c r="K3" s="3215">
        <v>0</v>
      </c>
      <c r="L3" s="3218" t="s">
        <v>3429</v>
      </c>
      <c r="M3" s="3215" t="s">
        <v>3430</v>
      </c>
      <c r="N3" s="3215" t="s">
        <v>3430</v>
      </c>
      <c r="O3" s="3215" t="s">
        <v>3430</v>
      </c>
      <c r="P3" s="3216" t="s">
        <v>3428</v>
      </c>
      <c r="Q3" s="3204"/>
      <c r="R3" s="3204"/>
    </row>
    <row r="4" spans="1:19" ht="40.5">
      <c r="A4" s="3219" t="s">
        <v>3484</v>
      </c>
      <c r="B4" s="3220" t="s">
        <v>3431</v>
      </c>
      <c r="C4" s="3219" t="s">
        <v>3432</v>
      </c>
      <c r="D4" s="3220" t="s">
        <v>3431</v>
      </c>
      <c r="E4" s="3221">
        <v>5.26</v>
      </c>
      <c r="F4" s="3222">
        <v>6</v>
      </c>
      <c r="G4" s="3221">
        <f>E4*F4</f>
        <v>31.56</v>
      </c>
      <c r="H4" s="3220">
        <v>50</v>
      </c>
      <c r="I4" s="3220">
        <v>150</v>
      </c>
      <c r="J4" s="3220">
        <v>30</v>
      </c>
      <c r="K4" s="3220">
        <v>1037</v>
      </c>
      <c r="L4" s="3219" t="s">
        <v>3433</v>
      </c>
      <c r="M4" s="3220" t="s">
        <v>3430</v>
      </c>
      <c r="N4" s="3220" t="s">
        <v>3430</v>
      </c>
      <c r="O4" s="3220"/>
      <c r="P4" s="3221">
        <v>31.56</v>
      </c>
      <c r="Q4" s="3207">
        <v>296200</v>
      </c>
      <c r="R4" s="3244">
        <f>Q4/F4</f>
        <v>49366.666666666664</v>
      </c>
    </row>
    <row r="5" spans="1:19" s="3201" customFormat="1" ht="18.75" customHeight="1">
      <c r="A5" s="3223" t="s">
        <v>3485</v>
      </c>
      <c r="B5" s="3223" t="s">
        <v>3434</v>
      </c>
      <c r="C5" s="3223" t="s">
        <v>3435</v>
      </c>
      <c r="D5" s="3223" t="s">
        <v>3436</v>
      </c>
      <c r="E5" s="3224">
        <v>0.89</v>
      </c>
      <c r="F5" s="3225">
        <v>4</v>
      </c>
      <c r="G5" s="3224">
        <f t="shared" ref="G5:G17" si="0">E5*F5</f>
        <v>3.56</v>
      </c>
      <c r="H5" s="3223">
        <v>20</v>
      </c>
      <c r="I5" s="3223">
        <v>80</v>
      </c>
      <c r="J5" s="3223">
        <v>35</v>
      </c>
      <c r="K5" s="3223">
        <v>952</v>
      </c>
      <c r="L5" s="3226" t="s">
        <v>3437</v>
      </c>
      <c r="M5" s="3223" t="s">
        <v>3430</v>
      </c>
      <c r="N5" s="3223" t="s">
        <v>3430</v>
      </c>
      <c r="O5" s="3223" t="s">
        <v>3438</v>
      </c>
      <c r="P5" s="3224" t="s">
        <v>3428</v>
      </c>
      <c r="Q5" s="3208">
        <v>0</v>
      </c>
      <c r="R5" s="3208" t="s">
        <v>3493</v>
      </c>
      <c r="S5" s="2915"/>
    </row>
    <row r="6" spans="1:19">
      <c r="A6" s="3227" t="s">
        <v>3486</v>
      </c>
      <c r="B6" s="3227" t="s">
        <v>3434</v>
      </c>
      <c r="C6" s="3227" t="s">
        <v>3439</v>
      </c>
      <c r="D6" s="3227" t="s">
        <v>3436</v>
      </c>
      <c r="E6" s="3228">
        <v>1.1000000000000001</v>
      </c>
      <c r="F6" s="3229">
        <v>1.6</v>
      </c>
      <c r="G6" s="3228">
        <f t="shared" si="0"/>
        <v>1.7600000000000002</v>
      </c>
      <c r="H6" s="3227">
        <v>30</v>
      </c>
      <c r="I6" s="3227">
        <v>18</v>
      </c>
      <c r="J6" s="3227">
        <v>30</v>
      </c>
      <c r="K6" s="3227">
        <v>356</v>
      </c>
      <c r="L6" s="3230" t="s">
        <v>3440</v>
      </c>
      <c r="M6" s="3227" t="s">
        <v>3430</v>
      </c>
      <c r="N6" s="3227" t="s">
        <v>3430</v>
      </c>
      <c r="O6" s="3227" t="s">
        <v>3430</v>
      </c>
      <c r="P6" s="3228">
        <v>1.7600000000000002</v>
      </c>
      <c r="Q6" s="3209">
        <v>0</v>
      </c>
      <c r="R6" s="3245" t="s">
        <v>3494</v>
      </c>
    </row>
    <row r="7" spans="1:19" ht="13.5" hidden="1" customHeight="1">
      <c r="A7" s="3231" t="s">
        <v>3441</v>
      </c>
      <c r="B7" s="3231" t="s">
        <v>3426</v>
      </c>
      <c r="C7" s="3231" t="s">
        <v>3427</v>
      </c>
      <c r="D7" s="3231" t="s">
        <v>3442</v>
      </c>
      <c r="E7" s="3232">
        <v>0.04</v>
      </c>
      <c r="F7" s="3233" t="s">
        <v>3428</v>
      </c>
      <c r="G7" s="3232" t="s">
        <v>3428</v>
      </c>
      <c r="H7" s="3231">
        <v>60</v>
      </c>
      <c r="I7" s="3231">
        <v>18</v>
      </c>
      <c r="J7" s="3231">
        <v>12</v>
      </c>
      <c r="K7" s="3231">
        <v>0</v>
      </c>
      <c r="L7" s="3205" t="s">
        <v>3443</v>
      </c>
      <c r="M7" s="3231" t="s">
        <v>3430</v>
      </c>
      <c r="N7" s="3231" t="s">
        <v>3430</v>
      </c>
      <c r="O7" s="3234"/>
      <c r="P7" s="3232" t="s">
        <v>3428</v>
      </c>
      <c r="Q7" s="3210"/>
      <c r="R7" s="3209"/>
    </row>
    <row r="8" spans="1:19" s="3201" customFormat="1" ht="27">
      <c r="A8" s="3226" t="s">
        <v>3491</v>
      </c>
      <c r="B8" s="3223" t="s">
        <v>3444</v>
      </c>
      <c r="C8" s="3226" t="s">
        <v>3445</v>
      </c>
      <c r="D8" s="3223" t="s">
        <v>3436</v>
      </c>
      <c r="E8" s="3224">
        <v>0.65</v>
      </c>
      <c r="F8" s="3225">
        <v>6</v>
      </c>
      <c r="G8" s="3224">
        <f t="shared" si="0"/>
        <v>3.9000000000000004</v>
      </c>
      <c r="H8" s="3223">
        <v>30</v>
      </c>
      <c r="I8" s="3223">
        <v>80</v>
      </c>
      <c r="J8" s="3223">
        <v>30</v>
      </c>
      <c r="K8" s="3223">
        <v>381</v>
      </c>
      <c r="L8" s="3226" t="s">
        <v>3490</v>
      </c>
      <c r="M8" s="3223" t="s">
        <v>3430</v>
      </c>
      <c r="N8" s="3223" t="s">
        <v>3430</v>
      </c>
      <c r="O8" s="3223" t="s">
        <v>3446</v>
      </c>
      <c r="P8" s="3224" t="s">
        <v>3428</v>
      </c>
      <c r="Q8" s="3208">
        <v>0</v>
      </c>
      <c r="R8" s="3208" t="s">
        <v>3495</v>
      </c>
      <c r="S8" s="2915"/>
    </row>
    <row r="9" spans="1:19" s="3201" customFormat="1" ht="13.5" hidden="1" customHeight="1">
      <c r="A9" s="3235" t="s">
        <v>3447</v>
      </c>
      <c r="B9" s="3235" t="s">
        <v>3448</v>
      </c>
      <c r="C9" s="3235" t="s">
        <v>3449</v>
      </c>
      <c r="D9" s="3235" t="s">
        <v>3436</v>
      </c>
      <c r="E9" s="3237">
        <v>0.25</v>
      </c>
      <c r="F9" s="3238">
        <v>1.2</v>
      </c>
      <c r="G9" s="3237">
        <f t="shared" si="0"/>
        <v>0.3</v>
      </c>
      <c r="H9" s="3235">
        <v>20</v>
      </c>
      <c r="I9" s="3235">
        <v>80</v>
      </c>
      <c r="J9" s="3235">
        <v>35</v>
      </c>
      <c r="K9" s="3235">
        <v>806</v>
      </c>
      <c r="L9" s="3236" t="s">
        <v>3450</v>
      </c>
      <c r="M9" s="3235" t="s">
        <v>3430</v>
      </c>
      <c r="N9" s="3235" t="s">
        <v>3430</v>
      </c>
      <c r="O9" s="3235"/>
      <c r="P9" s="3237" t="s">
        <v>3428</v>
      </c>
      <c r="Q9" s="3211"/>
      <c r="R9" s="3211"/>
      <c r="S9" s="2915"/>
    </row>
    <row r="10" spans="1:19" ht="13.5" hidden="1" customHeight="1">
      <c r="A10" s="3231" t="s">
        <v>3451</v>
      </c>
      <c r="B10" s="3231" t="s">
        <v>3426</v>
      </c>
      <c r="C10" s="3231" t="s">
        <v>3427</v>
      </c>
      <c r="D10" s="3231" t="s">
        <v>3436</v>
      </c>
      <c r="E10" s="3232">
        <v>0.09</v>
      </c>
      <c r="F10" s="3233" t="s">
        <v>3428</v>
      </c>
      <c r="G10" s="3232" t="s">
        <v>3428</v>
      </c>
      <c r="H10" s="3231">
        <v>30</v>
      </c>
      <c r="I10" s="3231">
        <v>80</v>
      </c>
      <c r="J10" s="3231">
        <v>35</v>
      </c>
      <c r="K10" s="3231">
        <v>806</v>
      </c>
      <c r="L10" s="3205" t="s">
        <v>3443</v>
      </c>
      <c r="M10" s="3231" t="s">
        <v>3430</v>
      </c>
      <c r="N10" s="3231" t="s">
        <v>3430</v>
      </c>
      <c r="O10" s="3231"/>
      <c r="P10" s="3232" t="s">
        <v>3452</v>
      </c>
      <c r="Q10" s="3210"/>
      <c r="R10" s="3210"/>
    </row>
    <row r="11" spans="1:19" ht="13.5" hidden="1" customHeight="1">
      <c r="A11" s="3231" t="s">
        <v>3453</v>
      </c>
      <c r="B11" s="3231" t="s">
        <v>3454</v>
      </c>
      <c r="C11" s="3231" t="s">
        <v>3455</v>
      </c>
      <c r="D11" s="3231" t="s">
        <v>3436</v>
      </c>
      <c r="E11" s="3232">
        <v>0.51</v>
      </c>
      <c r="F11" s="3233">
        <v>0.8</v>
      </c>
      <c r="G11" s="3232">
        <f t="shared" si="0"/>
        <v>0.40800000000000003</v>
      </c>
      <c r="H11" s="3231">
        <v>30</v>
      </c>
      <c r="I11" s="3231">
        <v>80</v>
      </c>
      <c r="J11" s="3231">
        <v>30</v>
      </c>
      <c r="K11" s="3231">
        <v>666</v>
      </c>
      <c r="L11" s="3205" t="s">
        <v>3456</v>
      </c>
      <c r="M11" s="3231" t="s">
        <v>3430</v>
      </c>
      <c r="N11" s="3231" t="s">
        <v>3430</v>
      </c>
      <c r="O11" s="3231" t="s">
        <v>3457</v>
      </c>
      <c r="P11" s="3232">
        <v>0.40800000000000003</v>
      </c>
      <c r="Q11" s="3210"/>
      <c r="R11" s="3210"/>
    </row>
    <row r="12" spans="1:19">
      <c r="A12" s="3239" t="s">
        <v>3488</v>
      </c>
      <c r="B12" s="3239" t="s">
        <v>3458</v>
      </c>
      <c r="C12" s="3239" t="s">
        <v>3439</v>
      </c>
      <c r="D12" s="3239" t="s">
        <v>3444</v>
      </c>
      <c r="E12" s="3240">
        <v>1.54</v>
      </c>
      <c r="F12" s="3241">
        <v>2.8</v>
      </c>
      <c r="G12" s="3240">
        <f t="shared" si="0"/>
        <v>4.3119999999999994</v>
      </c>
      <c r="H12" s="3239">
        <v>50</v>
      </c>
      <c r="I12" s="3239">
        <v>150</v>
      </c>
      <c r="J12" s="3239">
        <v>30</v>
      </c>
      <c r="K12" s="3239">
        <v>690</v>
      </c>
      <c r="L12" s="3206"/>
      <c r="M12" s="3239" t="s">
        <v>3430</v>
      </c>
      <c r="N12" s="3239" t="s">
        <v>3430</v>
      </c>
      <c r="O12" s="3239" t="s">
        <v>3459</v>
      </c>
      <c r="P12" s="3240">
        <v>4.3119999999999994</v>
      </c>
      <c r="Q12" s="3212">
        <f>R12*2.8</f>
        <v>43120</v>
      </c>
      <c r="R12" s="3212">
        <v>15400</v>
      </c>
    </row>
    <row r="13" spans="1:19">
      <c r="A13" s="3227" t="s">
        <v>3489</v>
      </c>
      <c r="B13" s="3227" t="s">
        <v>3458</v>
      </c>
      <c r="C13" s="3227" t="s">
        <v>3439</v>
      </c>
      <c r="D13" s="3227" t="s">
        <v>3426</v>
      </c>
      <c r="E13" s="3228">
        <v>2.27</v>
      </c>
      <c r="F13" s="3229">
        <v>2.8</v>
      </c>
      <c r="G13" s="3228">
        <f t="shared" si="0"/>
        <v>6.3559999999999999</v>
      </c>
      <c r="H13" s="3227">
        <v>0</v>
      </c>
      <c r="I13" s="3227">
        <v>0</v>
      </c>
      <c r="J13" s="3227">
        <v>100</v>
      </c>
      <c r="K13" s="3227">
        <v>0</v>
      </c>
      <c r="L13" s="3230" t="s">
        <v>3460</v>
      </c>
      <c r="M13" s="3227" t="s">
        <v>3430</v>
      </c>
      <c r="N13" s="3227" t="s">
        <v>3430</v>
      </c>
      <c r="O13" s="3227" t="s">
        <v>3430</v>
      </c>
      <c r="P13" s="3228">
        <v>6.3559999999999999</v>
      </c>
      <c r="Q13" s="3209"/>
      <c r="R13" s="3245" t="s">
        <v>3494</v>
      </c>
    </row>
    <row r="14" spans="1:19" ht="13.5" hidden="1" customHeight="1">
      <c r="A14" s="3231" t="s">
        <v>3461</v>
      </c>
      <c r="B14" s="3231" t="s">
        <v>3462</v>
      </c>
      <c r="C14" s="3231" t="s">
        <v>3463</v>
      </c>
      <c r="D14" s="3231" t="s">
        <v>3464</v>
      </c>
      <c r="E14" s="3232">
        <v>1.61</v>
      </c>
      <c r="F14" s="3233">
        <v>1</v>
      </c>
      <c r="G14" s="3232">
        <f t="shared" si="0"/>
        <v>1.61</v>
      </c>
      <c r="H14" s="3231">
        <v>40</v>
      </c>
      <c r="I14" s="3231">
        <v>9</v>
      </c>
      <c r="J14" s="3231">
        <v>30</v>
      </c>
      <c r="K14" s="3231">
        <v>0</v>
      </c>
      <c r="L14" s="3205" t="s">
        <v>3465</v>
      </c>
      <c r="M14" s="3231" t="s">
        <v>3430</v>
      </c>
      <c r="N14" s="3231" t="s">
        <v>3430</v>
      </c>
      <c r="O14" s="3231" t="s">
        <v>3466</v>
      </c>
      <c r="P14" s="3232">
        <v>1.61</v>
      </c>
      <c r="Q14" s="3210"/>
      <c r="R14" s="3210"/>
    </row>
    <row r="15" spans="1:19" ht="67.5">
      <c r="A15" s="3231" t="s">
        <v>3467</v>
      </c>
      <c r="B15" s="3231" t="s">
        <v>3468</v>
      </c>
      <c r="C15" s="3205" t="s">
        <v>3445</v>
      </c>
      <c r="D15" s="3231" t="s">
        <v>3434</v>
      </c>
      <c r="E15" s="3232">
        <v>4.3099999999999996</v>
      </c>
      <c r="F15" s="3233">
        <v>6</v>
      </c>
      <c r="G15" s="3232">
        <f t="shared" si="0"/>
        <v>25.86</v>
      </c>
      <c r="H15" s="3231">
        <v>30</v>
      </c>
      <c r="I15" s="3231">
        <v>80</v>
      </c>
      <c r="J15" s="3231">
        <v>30</v>
      </c>
      <c r="K15" s="3231">
        <v>806</v>
      </c>
      <c r="L15" s="3205" t="s">
        <v>3469</v>
      </c>
      <c r="M15" s="3231" t="s">
        <v>3430</v>
      </c>
      <c r="N15" s="3231" t="s">
        <v>3430</v>
      </c>
      <c r="O15" s="3231"/>
      <c r="P15" s="3232">
        <v>16.7</v>
      </c>
      <c r="Q15" s="3210">
        <f>R15*6</f>
        <v>166800</v>
      </c>
      <c r="R15" s="3210">
        <v>27800</v>
      </c>
    </row>
    <row r="16" spans="1:19" ht="13.5" hidden="1" customHeight="1">
      <c r="A16" s="3231" t="s">
        <v>3470</v>
      </c>
      <c r="B16" s="3231" t="s">
        <v>3471</v>
      </c>
      <c r="C16" s="3231" t="s">
        <v>3472</v>
      </c>
      <c r="D16" s="3231"/>
      <c r="E16" s="3232">
        <v>0.93</v>
      </c>
      <c r="F16" s="3233" t="s">
        <v>3473</v>
      </c>
      <c r="G16" s="3232" t="s">
        <v>3473</v>
      </c>
      <c r="H16" s="3231"/>
      <c r="I16" s="3231"/>
      <c r="J16" s="3231"/>
      <c r="K16" s="3231"/>
      <c r="L16" s="3205" t="s">
        <v>3474</v>
      </c>
      <c r="M16" s="3231"/>
      <c r="N16" s="3231"/>
      <c r="O16" s="3231"/>
      <c r="P16" s="3232" t="s">
        <v>3452</v>
      </c>
      <c r="Q16" s="3210"/>
      <c r="R16" s="3210"/>
    </row>
    <row r="17" spans="1:18" ht="27" customHeight="1">
      <c r="A17" s="3239" t="s">
        <v>3482</v>
      </c>
      <c r="B17" s="3239" t="s">
        <v>3475</v>
      </c>
      <c r="C17" s="3239" t="s">
        <v>3476</v>
      </c>
      <c r="D17" s="3239" t="s">
        <v>3477</v>
      </c>
      <c r="E17" s="3240">
        <v>6.78</v>
      </c>
      <c r="F17" s="3241">
        <v>2.8</v>
      </c>
      <c r="G17" s="3240">
        <f t="shared" si="0"/>
        <v>18.983999999999998</v>
      </c>
      <c r="H17" s="3239">
        <v>30</v>
      </c>
      <c r="I17" s="3239">
        <v>24</v>
      </c>
      <c r="J17" s="3239">
        <v>35</v>
      </c>
      <c r="K17" s="3239">
        <v>0</v>
      </c>
      <c r="L17" s="3242"/>
      <c r="M17" s="3239" t="s">
        <v>3430</v>
      </c>
      <c r="N17" s="3239" t="s">
        <v>3430</v>
      </c>
      <c r="O17" s="3239" t="s">
        <v>3466</v>
      </c>
      <c r="P17" s="3240">
        <v>18.983999999999998</v>
      </c>
      <c r="Q17" s="3212">
        <f>R17*2.8</f>
        <v>189840</v>
      </c>
      <c r="R17" s="3212">
        <v>67800</v>
      </c>
    </row>
    <row r="18" spans="1:18" hidden="1">
      <c r="A18" s="3231"/>
      <c r="B18" s="3231" t="s">
        <v>3478</v>
      </c>
      <c r="C18" s="3231" t="s">
        <v>3479</v>
      </c>
      <c r="D18" s="3231"/>
      <c r="E18" s="3232">
        <v>9.3699999999999992</v>
      </c>
      <c r="F18" s="3233" t="s">
        <v>3473</v>
      </c>
      <c r="G18" s="3232" t="s">
        <v>3473</v>
      </c>
      <c r="H18" s="3231"/>
      <c r="I18" s="3231"/>
      <c r="J18" s="3231"/>
      <c r="K18" s="3231"/>
      <c r="L18" s="3205"/>
      <c r="M18" s="3231"/>
      <c r="N18" s="3231"/>
      <c r="O18" s="3231"/>
      <c r="P18" s="3232" t="s">
        <v>3452</v>
      </c>
      <c r="Q18" s="3204"/>
      <c r="R18" s="3204"/>
    </row>
    <row r="19" spans="1:18">
      <c r="A19" s="3331" t="s">
        <v>3480</v>
      </c>
      <c r="B19" s="3331"/>
      <c r="C19" s="3331"/>
      <c r="D19" s="3231"/>
      <c r="E19" s="3232">
        <f>SUM(E3:E18)</f>
        <v>36.599999999999994</v>
      </c>
      <c r="F19" s="3233"/>
      <c r="G19" s="3232">
        <f>G4+G5+G6+G8+G9+G11+G12+G13+G14+G15+G17</f>
        <v>98.609999999999985</v>
      </c>
      <c r="H19" s="3231"/>
      <c r="I19" s="3231"/>
      <c r="J19" s="3231"/>
      <c r="K19" s="3231"/>
      <c r="L19" s="3205"/>
      <c r="M19" s="3231"/>
      <c r="N19" s="3231"/>
      <c r="O19" s="3231"/>
      <c r="P19" s="3232">
        <f>P4+P6+P11+P12+P13+P14+P15+P17</f>
        <v>81.69</v>
      </c>
      <c r="Q19" s="3204"/>
      <c r="R19" s="3204"/>
    </row>
    <row r="21" spans="1:18">
      <c r="A21" s="3246" t="s">
        <v>3499</v>
      </c>
      <c r="B21" s="3246" t="s">
        <v>3501</v>
      </c>
      <c r="C21" s="3248" t="s">
        <v>3504</v>
      </c>
      <c r="E21" s="3246" t="s">
        <v>3503</v>
      </c>
      <c r="F21" s="3246" t="str">
        <f>C2</f>
        <v>用地性质</v>
      </c>
      <c r="G21" s="3249" t="s">
        <v>3506</v>
      </c>
      <c r="L21" s="3246" t="s">
        <v>3508</v>
      </c>
      <c r="P21" s="3249" t="s">
        <v>3509</v>
      </c>
      <c r="Q21" s="3246" t="s">
        <v>3511</v>
      </c>
    </row>
    <row r="22" spans="1:18" ht="40.5">
      <c r="A22" s="3247" t="str">
        <f>A4</f>
        <v>FZX0-0401-0005（有问题，未扣除已建部分后窑小区19400平方米，剩余面积为296200平方米）</v>
      </c>
      <c r="B22" s="3203">
        <v>49366.67</v>
      </c>
      <c r="C22" s="2915">
        <v>6</v>
      </c>
      <c r="E22" s="2915">
        <f>Q4</f>
        <v>296200</v>
      </c>
      <c r="F22" s="3202" t="str">
        <f>C4</f>
        <v>住宅混合公建用地</v>
      </c>
      <c r="G22" s="3203">
        <f>E22*0.7-P22</f>
        <v>207140</v>
      </c>
      <c r="L22" s="2915">
        <f>E22*0.3</f>
        <v>88860</v>
      </c>
      <c r="P22" s="3203">
        <v>200</v>
      </c>
      <c r="Q22" s="2915">
        <v>0</v>
      </c>
    </row>
    <row r="23" spans="1:18">
      <c r="A23" s="2915" t="str">
        <f>A12</f>
        <v>FZX0-0401-6006（无问题）</v>
      </c>
      <c r="B23" s="2915">
        <f>R12</f>
        <v>15400</v>
      </c>
      <c r="C23" s="3202">
        <f>F12</f>
        <v>2.8</v>
      </c>
      <c r="E23" s="2915">
        <f>Q12</f>
        <v>43120</v>
      </c>
      <c r="F23" s="3202" t="str">
        <f>C12</f>
        <v>二类居住</v>
      </c>
      <c r="G23" s="3203">
        <f>E23</f>
        <v>43120</v>
      </c>
      <c r="L23" s="2915">
        <v>0</v>
      </c>
      <c r="P23" s="3203">
        <v>0</v>
      </c>
      <c r="Q23" s="2915">
        <v>0</v>
      </c>
    </row>
    <row r="24" spans="1:18">
      <c r="A24" s="2915" t="str">
        <f>A17</f>
        <v>FZX0-0401-6011（无问题）</v>
      </c>
      <c r="B24" s="2915">
        <f>R17</f>
        <v>67800</v>
      </c>
      <c r="C24" s="2915">
        <v>2.8</v>
      </c>
      <c r="E24" s="2915">
        <f>Q17</f>
        <v>189840</v>
      </c>
      <c r="F24" s="3202" t="str">
        <f>C17</f>
        <v>二类居住</v>
      </c>
      <c r="G24" s="3203">
        <f>E24</f>
        <v>189840</v>
      </c>
      <c r="L24" s="2915">
        <v>0</v>
      </c>
      <c r="P24" s="3203">
        <v>0</v>
      </c>
      <c r="Q24" s="2915">
        <v>0</v>
      </c>
    </row>
    <row r="25" spans="1:18">
      <c r="A25" s="2915" t="str">
        <f>A15</f>
        <v>FZX0-0401-6009</v>
      </c>
      <c r="B25" s="2915">
        <f>R15</f>
        <v>27800</v>
      </c>
      <c r="C25" s="2915">
        <v>6</v>
      </c>
      <c r="E25" s="2915">
        <f>Q15</f>
        <v>166800</v>
      </c>
      <c r="F25" s="3202" t="str">
        <f>C15</f>
        <v>公建混合住宅</v>
      </c>
      <c r="G25" s="3203">
        <f>E25*0.3</f>
        <v>50040</v>
      </c>
      <c r="L25" s="2915">
        <f>E25*0.7-Q25</f>
        <v>87759.999999999985</v>
      </c>
      <c r="P25" s="3203">
        <v>0</v>
      </c>
      <c r="Q25" s="2915">
        <f>29000</f>
        <v>29000</v>
      </c>
    </row>
  </sheetData>
  <mergeCells count="2">
    <mergeCell ref="A1:P1"/>
    <mergeCell ref="A19:C19"/>
  </mergeCells>
  <phoneticPr fontId="22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election activeCell="C10" sqref="C10:C12"/>
    </sheetView>
  </sheetViews>
  <sheetFormatPr defaultRowHeight="13.5"/>
  <cols>
    <col min="1" max="1" width="44.25" style="2" customWidth="1"/>
    <col min="2" max="2" width="12.375" style="2" customWidth="1"/>
    <col min="3" max="3" width="9" style="2"/>
    <col min="4" max="4" width="12.875" style="2" customWidth="1"/>
    <col min="5" max="5" width="16.25" style="2" customWidth="1"/>
    <col min="6" max="6" width="12.875" style="2" customWidth="1"/>
    <col min="7" max="7" width="12.75" style="2" customWidth="1"/>
    <col min="8" max="16384" width="9" style="2"/>
  </cols>
  <sheetData>
    <row r="1" spans="1:9" ht="27">
      <c r="A1" s="3250" t="s">
        <v>3498</v>
      </c>
      <c r="B1" s="3250" t="s">
        <v>3500</v>
      </c>
      <c r="C1" s="3250" t="s">
        <v>2032</v>
      </c>
      <c r="D1" s="3250" t="s">
        <v>3502</v>
      </c>
      <c r="E1" s="3250" t="s">
        <v>3057</v>
      </c>
      <c r="F1" s="3250" t="s">
        <v>3505</v>
      </c>
      <c r="G1" s="3250" t="s">
        <v>3507</v>
      </c>
      <c r="H1" s="3250" t="s">
        <v>2315</v>
      </c>
      <c r="I1" s="3250" t="s">
        <v>3510</v>
      </c>
    </row>
    <row r="2" spans="1:9" ht="27">
      <c r="A2" s="3250" t="s">
        <v>3483</v>
      </c>
      <c r="B2" s="3250">
        <v>49366.67</v>
      </c>
      <c r="C2" s="3250">
        <v>6</v>
      </c>
      <c r="D2" s="3250">
        <v>296200</v>
      </c>
      <c r="E2" s="3250" t="s">
        <v>3512</v>
      </c>
      <c r="F2" s="3250">
        <v>207140</v>
      </c>
      <c r="G2" s="3250">
        <v>88860</v>
      </c>
      <c r="H2" s="3250">
        <v>200</v>
      </c>
      <c r="I2" s="3250">
        <v>0</v>
      </c>
    </row>
    <row r="3" spans="1:9" s="3252" customFormat="1">
      <c r="A3" s="3251" t="s">
        <v>3487</v>
      </c>
      <c r="B3" s="3251">
        <v>15400</v>
      </c>
      <c r="C3" s="3251">
        <v>2.8</v>
      </c>
      <c r="D3" s="3251">
        <v>43120</v>
      </c>
      <c r="E3" s="3251" t="s">
        <v>3513</v>
      </c>
      <c r="F3" s="3251">
        <v>43120</v>
      </c>
      <c r="G3" s="3251">
        <v>0</v>
      </c>
      <c r="H3" s="3251">
        <v>0</v>
      </c>
      <c r="I3" s="3251">
        <v>0</v>
      </c>
    </row>
    <row r="4" spans="1:9" s="3252" customFormat="1">
      <c r="A4" s="3251" t="s">
        <v>3481</v>
      </c>
      <c r="B4" s="3251">
        <v>67800</v>
      </c>
      <c r="C4" s="3251">
        <v>2.8</v>
      </c>
      <c r="D4" s="3251">
        <v>189840</v>
      </c>
      <c r="E4" s="3251" t="s">
        <v>3513</v>
      </c>
      <c r="F4" s="3251">
        <v>189840</v>
      </c>
      <c r="G4" s="3251">
        <v>0</v>
      </c>
      <c r="H4" s="3251">
        <v>0</v>
      </c>
      <c r="I4" s="3251">
        <v>0</v>
      </c>
    </row>
    <row r="5" spans="1:9">
      <c r="A5" s="3250" t="s">
        <v>3514</v>
      </c>
      <c r="B5" s="3250">
        <v>27800</v>
      </c>
      <c r="C5" s="3250">
        <v>6</v>
      </c>
      <c r="D5" s="3250">
        <v>166800</v>
      </c>
      <c r="E5" s="3250" t="s">
        <v>3515</v>
      </c>
      <c r="F5" s="3250">
        <v>50040</v>
      </c>
      <c r="G5" s="3250">
        <v>87759.999999999985</v>
      </c>
      <c r="H5" s="3250">
        <v>0</v>
      </c>
      <c r="I5" s="3250">
        <v>29000</v>
      </c>
    </row>
  </sheetData>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41" t="s">
        <v>203</v>
      </c>
      <c r="B2" s="3341"/>
      <c r="C2" s="3341"/>
      <c r="D2" s="1973" t="s">
        <v>204</v>
      </c>
      <c r="E2" s="106" t="s">
        <v>205</v>
      </c>
      <c r="F2" s="1982"/>
      <c r="G2" s="1196"/>
      <c r="H2" s="1197"/>
      <c r="I2" s="1198" t="s">
        <v>856</v>
      </c>
      <c r="J2" s="1982"/>
      <c r="K2" s="1982"/>
      <c r="L2" s="1982"/>
    </row>
    <row r="3" spans="1:16" ht="15.75" thickBot="1">
      <c r="A3" s="3342" t="s">
        <v>206</v>
      </c>
      <c r="B3" s="3342"/>
      <c r="C3" s="3342"/>
      <c r="D3" s="107">
        <f>'数据-基础表'!AY6</f>
        <v>15400</v>
      </c>
      <c r="E3" s="107">
        <f>'数据-基础表'!AZ5</f>
        <v>43120</v>
      </c>
      <c r="F3" s="1982"/>
      <c r="G3" s="280" t="s">
        <v>857</v>
      </c>
      <c r="H3" s="275" t="s">
        <v>858</v>
      </c>
      <c r="I3" s="1974">
        <f>ROUND('数据-基础表'!B3/'数据-基础表'!A3,2)</f>
        <v>2.8</v>
      </c>
      <c r="J3" s="1982"/>
      <c r="K3" s="1982"/>
      <c r="L3" s="1982"/>
    </row>
    <row r="4" spans="1:16" ht="15">
      <c r="A4" s="3343"/>
      <c r="B4" s="3344"/>
      <c r="C4" s="3345"/>
      <c r="D4" s="108" t="s">
        <v>204</v>
      </c>
      <c r="E4" s="109" t="s">
        <v>205</v>
      </c>
      <c r="F4" s="1982"/>
      <c r="G4" s="1199"/>
      <c r="H4" s="275" t="s">
        <v>859</v>
      </c>
      <c r="I4" s="1974">
        <f>ROUND(SUMIF('数据-基础表'!I9:AS9,"地上",'数据-基础表'!I5:AS5)/'数据-基础表'!A3,2)</f>
        <v>2.8</v>
      </c>
      <c r="J4" s="1982"/>
      <c r="K4" s="1982"/>
      <c r="L4" s="1982"/>
    </row>
    <row r="5" spans="1:16">
      <c r="A5" s="110" t="s">
        <v>207</v>
      </c>
      <c r="B5" s="3346" t="s">
        <v>230</v>
      </c>
      <c r="C5" s="3346"/>
      <c r="D5" s="111">
        <f>ROUND($D$3*E5/$E$3,2)</f>
        <v>15400</v>
      </c>
      <c r="E5" s="112">
        <f>SUMIF('数据-基础表'!$11:$11,"住宅",'数据-基础表'!$5:$5)</f>
        <v>43120</v>
      </c>
      <c r="F5" s="1982"/>
      <c r="G5" s="280" t="s">
        <v>860</v>
      </c>
      <c r="H5" s="275" t="s">
        <v>858</v>
      </c>
      <c r="I5" s="1974">
        <f>ROUND(E31/D31,2)</f>
        <v>2.8</v>
      </c>
      <c r="J5" s="1982"/>
      <c r="K5" s="1982"/>
      <c r="L5" s="1982"/>
    </row>
    <row r="6" spans="1:16" ht="15" thickBot="1">
      <c r="A6" s="113"/>
      <c r="B6" s="3346" t="s">
        <v>208</v>
      </c>
      <c r="C6" s="3346"/>
      <c r="D6" s="111">
        <f>ROUND($D$3*E6/$E$3,2)</f>
        <v>0</v>
      </c>
      <c r="E6" s="112">
        <f>E3-E5</f>
        <v>0</v>
      </c>
      <c r="F6" s="1982"/>
      <c r="G6" s="1199"/>
      <c r="H6" s="275" t="s">
        <v>859</v>
      </c>
      <c r="I6" s="1974">
        <f>ROUND(F31/D31,2)</f>
        <v>2.8</v>
      </c>
      <c r="J6" s="1982"/>
      <c r="K6" s="1982"/>
      <c r="L6" s="1982"/>
    </row>
    <row r="7" spans="1:16" ht="15">
      <c r="A7" s="3338"/>
      <c r="B7" s="3339"/>
      <c r="C7" s="3340"/>
      <c r="D7" s="108" t="s">
        <v>204</v>
      </c>
      <c r="E7" s="114" t="s">
        <v>231</v>
      </c>
      <c r="F7" s="1982"/>
      <c r="G7" s="1154" t="s">
        <v>1645</v>
      </c>
      <c r="H7" s="1155"/>
      <c r="I7" s="1844">
        <f>I4</f>
        <v>2.8</v>
      </c>
      <c r="J7" s="1982"/>
      <c r="K7" s="1982"/>
      <c r="L7" s="1982"/>
    </row>
    <row r="8" spans="1:16">
      <c r="A8" s="110" t="s">
        <v>209</v>
      </c>
      <c r="B8" s="115" t="s">
        <v>210</v>
      </c>
      <c r="C8" s="111" t="s">
        <v>211</v>
      </c>
      <c r="D8" s="111">
        <f t="shared" ref="D8:D15" si="0">ROUND($D$3*E8/$E$3,2)</f>
        <v>15400</v>
      </c>
      <c r="E8" s="116">
        <f>SUMIF('数据-基础表'!BB10:BK10,"地上",'数据-基础表'!BB5:BK5)</f>
        <v>43120</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2334</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15400</v>
      </c>
      <c r="E16" s="120">
        <f>SUM(E8:E15)</f>
        <v>43120</v>
      </c>
      <c r="F16" s="1982"/>
      <c r="G16" s="1984"/>
      <c r="H16" s="966" t="s">
        <v>219</v>
      </c>
      <c r="I16" s="967"/>
      <c r="J16" s="1982"/>
      <c r="K16" s="3332" t="s">
        <v>2566</v>
      </c>
      <c r="L16" s="3333"/>
      <c r="M16" s="3333"/>
      <c r="N16" s="3333"/>
      <c r="O16" s="3333"/>
      <c r="P16" s="3334"/>
    </row>
    <row r="17" spans="1:19" ht="15">
      <c r="A17" s="121" t="s">
        <v>216</v>
      </c>
      <c r="B17" s="122" t="s">
        <v>217</v>
      </c>
      <c r="C17" s="2296" t="s">
        <v>2313</v>
      </c>
      <c r="D17" s="108" t="s">
        <v>204</v>
      </c>
      <c r="E17" s="124" t="s">
        <v>205</v>
      </c>
      <c r="F17" s="125"/>
      <c r="G17" s="1364"/>
      <c r="H17" s="968" t="s">
        <v>218</v>
      </c>
      <c r="I17" s="969" t="s">
        <v>2312</v>
      </c>
      <c r="J17" s="1982"/>
      <c r="K17" s="3335" t="s">
        <v>2567</v>
      </c>
      <c r="L17" s="3336"/>
      <c r="M17" s="3337"/>
      <c r="N17" s="3335" t="s">
        <v>2568</v>
      </c>
      <c r="O17" s="3336"/>
      <c r="P17" s="3337"/>
      <c r="R17" s="2297" t="s">
        <v>2311</v>
      </c>
      <c r="S17" s="144"/>
    </row>
    <row r="18" spans="1:19" ht="15">
      <c r="A18" s="117"/>
      <c r="B18" s="128"/>
      <c r="C18" s="129"/>
      <c r="D18" s="2618"/>
      <c r="E18" s="130" t="s">
        <v>220</v>
      </c>
      <c r="F18" s="131" t="s">
        <v>221</v>
      </c>
      <c r="G18" s="1365" t="s">
        <v>222</v>
      </c>
      <c r="H18" s="970" t="s">
        <v>223</v>
      </c>
      <c r="I18" s="971" t="s">
        <v>224</v>
      </c>
      <c r="J18" s="1982"/>
      <c r="K18" s="2581" t="s">
        <v>2569</v>
      </c>
      <c r="L18" s="2582" t="s">
        <v>2570</v>
      </c>
      <c r="M18" s="2583" t="s">
        <v>2571</v>
      </c>
      <c r="N18" s="2581" t="s">
        <v>2569</v>
      </c>
      <c r="O18" s="2582" t="s">
        <v>2570</v>
      </c>
      <c r="P18" s="2583" t="s">
        <v>2571</v>
      </c>
      <c r="R18" s="2298" t="s">
        <v>2309</v>
      </c>
      <c r="S18" s="2298" t="s">
        <v>2310</v>
      </c>
    </row>
    <row r="19" spans="1:19">
      <c r="A19" s="133"/>
      <c r="B19" s="115" t="s">
        <v>225</v>
      </c>
      <c r="C19" s="2997" t="str">
        <f>'数据-基础表'!I11</f>
        <v>平层住宅</v>
      </c>
      <c r="D19" s="111">
        <f t="shared" ref="D19:D26" si="1">ROUND($D$3*E19/$E$3,2)</f>
        <v>15400</v>
      </c>
      <c r="E19" s="134">
        <f t="shared" ref="E19:E26" si="2">SUM(F19:G19)</f>
        <v>43120</v>
      </c>
      <c r="F19" s="135">
        <f>'数据-基础表'!I13</f>
        <v>43120</v>
      </c>
      <c r="G19" s="1366"/>
      <c r="H19" s="972">
        <f>ROUND($D$3*I19/$E$3,2)</f>
        <v>0</v>
      </c>
      <c r="I19" s="116">
        <f>IF($I$17="自定义",P19,M19)</f>
        <v>0</v>
      </c>
      <c r="J19" s="1982"/>
      <c r="K19" s="2584">
        <f t="shared" ref="K19:K26" si="3">ROUND(E$28*E19/E$27,2)</f>
        <v>0</v>
      </c>
      <c r="L19" s="275">
        <f t="shared" ref="L19:L26" si="4">ROUND(IF(COUNTIF(C19,"*住宅*")&gt;0,E$29*E19/E$32,0),2)</f>
        <v>0</v>
      </c>
      <c r="M19" s="2585">
        <f>K19+L19</f>
        <v>0</v>
      </c>
      <c r="N19" s="2586"/>
      <c r="O19" s="2587"/>
      <c r="P19" s="2588">
        <f>N19+O19</f>
        <v>0</v>
      </c>
      <c r="R19" s="275">
        <f t="shared" ref="R19:S26" si="5">D19+H19</f>
        <v>15400</v>
      </c>
      <c r="S19" s="2299">
        <f t="shared" si="5"/>
        <v>43120</v>
      </c>
    </row>
    <row r="20" spans="1:19">
      <c r="A20" s="138"/>
      <c r="B20" s="115" t="s">
        <v>226</v>
      </c>
      <c r="C20" s="2997"/>
      <c r="D20" s="111">
        <f t="shared" si="1"/>
        <v>0</v>
      </c>
      <c r="E20" s="134">
        <f t="shared" si="2"/>
        <v>0</v>
      </c>
      <c r="F20" s="135"/>
      <c r="G20" s="1366"/>
      <c r="H20" s="972">
        <f t="shared" ref="H20:H26" si="6">ROUND($D$3*I20/$E$3,2)</f>
        <v>0</v>
      </c>
      <c r="I20" s="116">
        <f t="shared" ref="I20:I26" si="7">IF($I$17="自定义",P20,M20)</f>
        <v>0</v>
      </c>
      <c r="J20" s="1982"/>
      <c r="K20" s="2584">
        <f t="shared" si="3"/>
        <v>0</v>
      </c>
      <c r="L20" s="275">
        <f t="shared" si="4"/>
        <v>0</v>
      </c>
      <c r="M20" s="2585">
        <f t="shared" ref="M20:M26" si="8">K20+L20</f>
        <v>0</v>
      </c>
      <c r="N20" s="2586"/>
      <c r="O20" s="2587"/>
      <c r="P20" s="2588">
        <f t="shared" ref="P20:P26" si="9">N20+O20</f>
        <v>0</v>
      </c>
      <c r="R20" s="275">
        <f t="shared" si="5"/>
        <v>0</v>
      </c>
      <c r="S20" s="2299">
        <f t="shared" si="5"/>
        <v>0</v>
      </c>
    </row>
    <row r="21" spans="1:19">
      <c r="A21" s="138"/>
      <c r="B21" s="115" t="s">
        <v>226</v>
      </c>
      <c r="C21" s="2997"/>
      <c r="D21" s="111">
        <f t="shared" si="1"/>
        <v>0</v>
      </c>
      <c r="E21" s="134">
        <f t="shared" si="2"/>
        <v>0</v>
      </c>
      <c r="F21" s="135"/>
      <c r="G21" s="1366"/>
      <c r="H21" s="972">
        <f t="shared" si="6"/>
        <v>0</v>
      </c>
      <c r="I21" s="116">
        <f t="shared" si="7"/>
        <v>0</v>
      </c>
      <c r="J21" s="1982"/>
      <c r="K21" s="2584">
        <f t="shared" si="3"/>
        <v>0</v>
      </c>
      <c r="L21" s="275">
        <f t="shared" si="4"/>
        <v>0</v>
      </c>
      <c r="M21" s="2585">
        <f t="shared" si="8"/>
        <v>0</v>
      </c>
      <c r="N21" s="2586"/>
      <c r="O21" s="2587"/>
      <c r="P21" s="2588">
        <f t="shared" si="9"/>
        <v>0</v>
      </c>
      <c r="R21" s="275">
        <f t="shared" si="5"/>
        <v>0</v>
      </c>
      <c r="S21" s="2299">
        <f t="shared" si="5"/>
        <v>0</v>
      </c>
    </row>
    <row r="22" spans="1:19">
      <c r="A22" s="138"/>
      <c r="B22" s="115" t="s">
        <v>226</v>
      </c>
      <c r="C22" s="1363"/>
      <c r="D22" s="111">
        <f t="shared" si="1"/>
        <v>0</v>
      </c>
      <c r="E22" s="134">
        <f t="shared" si="2"/>
        <v>0</v>
      </c>
      <c r="F22" s="140"/>
      <c r="G22" s="1367"/>
      <c r="H22" s="972">
        <f t="shared" si="6"/>
        <v>0</v>
      </c>
      <c r="I22" s="116">
        <f t="shared" si="7"/>
        <v>0</v>
      </c>
      <c r="J22" s="1982"/>
      <c r="K22" s="2584">
        <f t="shared" si="3"/>
        <v>0</v>
      </c>
      <c r="L22" s="275">
        <f t="shared" si="4"/>
        <v>0</v>
      </c>
      <c r="M22" s="2585">
        <f t="shared" si="8"/>
        <v>0</v>
      </c>
      <c r="N22" s="2586"/>
      <c r="O22" s="2587"/>
      <c r="P22" s="2588">
        <f t="shared" si="9"/>
        <v>0</v>
      </c>
      <c r="R22" s="275">
        <f t="shared" si="5"/>
        <v>0</v>
      </c>
      <c r="S22" s="2299">
        <f t="shared" si="5"/>
        <v>0</v>
      </c>
    </row>
    <row r="23" spans="1:19">
      <c r="A23" s="138"/>
      <c r="B23" s="115" t="s">
        <v>226</v>
      </c>
      <c r="C23" s="139"/>
      <c r="D23" s="111">
        <f>ROUND($D$3*E23/$E$3,2)</f>
        <v>0</v>
      </c>
      <c r="E23" s="134">
        <f>SUM(F23:G23)</f>
        <v>0</v>
      </c>
      <c r="F23" s="140"/>
      <c r="G23" s="1367"/>
      <c r="H23" s="972">
        <f>ROUND($D$3*I23/$E$3,2)</f>
        <v>0</v>
      </c>
      <c r="I23" s="116">
        <f t="shared" si="7"/>
        <v>0</v>
      </c>
      <c r="J23" s="1982"/>
      <c r="K23" s="2584">
        <f t="shared" si="3"/>
        <v>0</v>
      </c>
      <c r="L23" s="275">
        <f t="shared" si="4"/>
        <v>0</v>
      </c>
      <c r="M23" s="2585">
        <f t="shared" si="8"/>
        <v>0</v>
      </c>
      <c r="N23" s="2586"/>
      <c r="O23" s="2587"/>
      <c r="P23" s="2588">
        <f t="shared" si="9"/>
        <v>0</v>
      </c>
      <c r="R23" s="275">
        <f t="shared" si="5"/>
        <v>0</v>
      </c>
      <c r="S23" s="2299">
        <f t="shared" si="5"/>
        <v>0</v>
      </c>
    </row>
    <row r="24" spans="1:19">
      <c r="A24" s="138"/>
      <c r="B24" s="115" t="s">
        <v>226</v>
      </c>
      <c r="C24" s="139"/>
      <c r="D24" s="111">
        <f>ROUND($D$3*E24/$E$3,2)</f>
        <v>0</v>
      </c>
      <c r="E24" s="134">
        <f>SUM(F24:G24)</f>
        <v>0</v>
      </c>
      <c r="F24" s="140"/>
      <c r="G24" s="1367"/>
      <c r="H24" s="972">
        <f>ROUND($D$3*I24/$E$3,2)</f>
        <v>0</v>
      </c>
      <c r="I24" s="116">
        <f t="shared" si="7"/>
        <v>0</v>
      </c>
      <c r="J24" s="1982"/>
      <c r="K24" s="2584">
        <f t="shared" si="3"/>
        <v>0</v>
      </c>
      <c r="L24" s="275">
        <f t="shared" si="4"/>
        <v>0</v>
      </c>
      <c r="M24" s="2585">
        <f t="shared" si="8"/>
        <v>0</v>
      </c>
      <c r="N24" s="2586"/>
      <c r="O24" s="2587"/>
      <c r="P24" s="2588">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584">
        <f t="shared" si="3"/>
        <v>0</v>
      </c>
      <c r="L25" s="275">
        <f t="shared" si="4"/>
        <v>0</v>
      </c>
      <c r="M25" s="2585">
        <f t="shared" si="8"/>
        <v>0</v>
      </c>
      <c r="N25" s="2586"/>
      <c r="O25" s="2587"/>
      <c r="P25" s="2588">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589">
        <f t="shared" si="3"/>
        <v>0</v>
      </c>
      <c r="L26" s="280">
        <f t="shared" si="4"/>
        <v>0</v>
      </c>
      <c r="M26" s="146">
        <f t="shared" si="8"/>
        <v>0</v>
      </c>
      <c r="N26" s="2590"/>
      <c r="O26" s="2591"/>
      <c r="P26" s="2592">
        <f t="shared" si="9"/>
        <v>0</v>
      </c>
      <c r="R26" s="275">
        <f t="shared" si="5"/>
        <v>0</v>
      </c>
      <c r="S26" s="2299">
        <f t="shared" si="5"/>
        <v>0</v>
      </c>
    </row>
    <row r="27" spans="1:19" ht="15.75" thickBot="1">
      <c r="A27" s="138"/>
      <c r="B27" s="111"/>
      <c r="C27" s="127" t="s">
        <v>215</v>
      </c>
      <c r="D27" s="134">
        <f>SUM(D19:D26)</f>
        <v>15400</v>
      </c>
      <c r="E27" s="143">
        <f>IF(SUM(E19:E26)='数据-基础表'!BA5,SUM(E19:E26),IF(F27="地上面积有误","面积有误","地下面积有误"))</f>
        <v>43120</v>
      </c>
      <c r="F27" s="134">
        <f>IF(SUM(F19:F26)=E8,SUM(F19:F26),"地上面积有误")</f>
        <v>43120</v>
      </c>
      <c r="G27" s="112">
        <f>SUM(G19:G26)</f>
        <v>0</v>
      </c>
      <c r="H27" s="973">
        <f>SUM(H19:H26)</f>
        <v>0</v>
      </c>
      <c r="I27" s="974">
        <f>SUM(I19:I26)</f>
        <v>0</v>
      </c>
      <c r="J27" s="1982"/>
      <c r="K27" s="2593">
        <f>SUM(K19:K26)</f>
        <v>0</v>
      </c>
      <c r="L27" s="2594">
        <f>SUM(L19:L26)</f>
        <v>0</v>
      </c>
      <c r="M27" s="2595">
        <f>SUM(M19:M26)</f>
        <v>0</v>
      </c>
      <c r="N27" s="2593">
        <f t="shared" ref="N27:O27" si="10">SUM(N19:N26)</f>
        <v>0</v>
      </c>
      <c r="O27" s="2594">
        <f t="shared" si="10"/>
        <v>0</v>
      </c>
      <c r="P27" s="2596">
        <f>SUM(P19:P26)</f>
        <v>0</v>
      </c>
      <c r="R27" s="2303">
        <f>IF(SUM(R19:R26)=$D$3,SUM(R19:R26),SUM(R19:R26)&amp;"误差"&amp;ROUND(SUM(R19:R26)-$D$3,2))</f>
        <v>15400</v>
      </c>
      <c r="S27" s="275">
        <f>IF(SUM(S19:S26)=$E$3,SUM(S19:S26),SUM(S19:S26)&amp;"误差"&amp;ROUND(SUM(S19:S26)-E3,2))</f>
        <v>43120</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8" t="s">
        <v>2322</v>
      </c>
      <c r="D31" s="1370">
        <f>D27+D30</f>
        <v>15400</v>
      </c>
      <c r="E31" s="1370">
        <f>E27+E30</f>
        <v>43120</v>
      </c>
      <c r="F31" s="1371">
        <f>F27+F30</f>
        <v>43120</v>
      </c>
      <c r="G31" s="1372">
        <f>G27+G30</f>
        <v>0</v>
      </c>
      <c r="H31" s="1982"/>
      <c r="I31" s="1982"/>
      <c r="J31" s="1982"/>
      <c r="K31" s="1982"/>
      <c r="L31" s="1982"/>
    </row>
    <row r="32" spans="1:19">
      <c r="A32" s="1982"/>
      <c r="B32" s="2340" t="s">
        <v>2321</v>
      </c>
      <c r="C32" s="2623"/>
      <c r="D32" s="1199"/>
      <c r="E32" s="1199">
        <f>SUMIF(C19:C26,"*住宅*",E19:E26)</f>
        <v>43120</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8" sqref="B3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235</v>
      </c>
      <c r="B2" s="2336">
        <f>项目基本情况!D3</f>
        <v>43510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40.5">
      <c r="A5" s="2302"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597" t="s">
        <v>2572</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2323</v>
      </c>
      <c r="AI5" s="171" t="s">
        <v>2292</v>
      </c>
      <c r="AJ5" s="171" t="s">
        <v>258</v>
      </c>
      <c r="AK5" s="159" t="s">
        <v>259</v>
      </c>
      <c r="AL5" s="159" t="s">
        <v>260</v>
      </c>
      <c r="AM5" s="172" t="s">
        <v>261</v>
      </c>
      <c r="AN5" s="2367"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平层住宅</v>
      </c>
      <c r="B6" s="2335" t="str">
        <f>IF(A6=0,"","经营性")</f>
        <v>经营性</v>
      </c>
      <c r="C6" s="173" t="s">
        <v>922</v>
      </c>
      <c r="D6" s="2306">
        <f>SUMIF(项目基本情况!D$15:I$15,C6,项目基本情况!D$18:I$18)</f>
        <v>70</v>
      </c>
      <c r="E6" s="2307">
        <f>IF(B6="","",SUMIF(项目基本情况!D$15:I$15,C6,项目基本情况!D$17:I$17))</f>
        <v>62518</v>
      </c>
      <c r="F6" s="174">
        <f>SUMIF(项目基本情况!D$15:I$15,C6,项目基本情况!D$19:I$19)</f>
        <v>52.07</v>
      </c>
      <c r="G6" s="175">
        <f>IF(ISERROR(ROUND(POWER(1+H6,D6-F6)*(POWER(1+H6,F6)-1)/(POWER(1+H6,D6)-1),3)),0,ROUND(POWER(1+H6,D6-F6)*(POWER(1+H6,F6)-1)/(POWER(1+H6,D6)-1),3))</f>
        <v>0.94199999999999995</v>
      </c>
      <c r="H6" s="2998">
        <v>4.4999999999999998E-2</v>
      </c>
      <c r="I6" s="2998">
        <v>0.05</v>
      </c>
      <c r="J6" s="176">
        <v>8.5000000000000006E-2</v>
      </c>
      <c r="K6" s="179">
        <f>SUMIF('数据-汇总表'!C$19:C$33,'数据-取费表'!A6,'数据-汇总表'!E$19:E$33)</f>
        <v>43120</v>
      </c>
      <c r="L6" s="2999">
        <v>4500</v>
      </c>
      <c r="M6" s="177">
        <f t="shared" ref="M6:M14" si="0">ROUND(K6*L6/10000,0)</f>
        <v>19404</v>
      </c>
      <c r="N6" s="3000">
        <v>0</v>
      </c>
      <c r="O6" s="177">
        <f>IF($N$5="成新度","——",ROUND(M6*N6,0))</f>
        <v>0</v>
      </c>
      <c r="P6" s="178">
        <f>IF($N$5="成新度","——",M6-O6)</f>
        <v>19404</v>
      </c>
      <c r="Q6" s="3001">
        <v>0.25</v>
      </c>
      <c r="R6" s="179">
        <f>SUMIF('数据-汇总表'!C$19:C$33,A6,'数据-汇总表'!R$19:R$33)</f>
        <v>15400</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0">
        <f ca="1">IF(AN6="",0,SUMIF(INDIRECT("'"&amp;AN6&amp;"'"&amp;"!E:E"),$AE$5,INDIRECT("'"&amp;AN6&amp;"'"&amp;"!F:F")))</f>
        <v>0</v>
      </c>
      <c r="AF6" s="141"/>
      <c r="AG6" s="1211">
        <f>IF(AF6="",0,AE6-AF6)</f>
        <v>0</v>
      </c>
      <c r="AH6" s="141"/>
      <c r="AI6" s="187"/>
      <c r="AJ6" s="188"/>
      <c r="AK6" s="189"/>
      <c r="AL6" s="190"/>
      <c r="AM6" s="3012"/>
      <c r="AN6" s="2368"/>
      <c r="AO6" s="1998"/>
      <c r="AP6" s="1202">
        <f>ROUND(1-1/(1+H6)^F6,3)</f>
        <v>0.89900000000000002</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0">
        <f t="shared" ref="AE7:AE13" ca="1" si="6">IF(AN7="",0,SUMIF(INDIRECT("'"&amp;AN7&amp;"'"&amp;"!E:E"),$AE$5,INDIRECT("'"&amp;AN7&amp;"'"&amp;"!F:F")))</f>
        <v>0</v>
      </c>
      <c r="AF7" s="141"/>
      <c r="AG7" s="1211">
        <f t="shared" ref="AG7:AG13" si="7">IF(AF7="",0,AE7-AF7)</f>
        <v>0</v>
      </c>
      <c r="AH7" s="141"/>
      <c r="AI7" s="187"/>
      <c r="AJ7" s="188"/>
      <c r="AK7" s="189"/>
      <c r="AL7" s="190"/>
      <c r="AM7" s="2366"/>
      <c r="AN7" s="2368"/>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0">
        <f t="shared" ca="1" si="6"/>
        <v>0</v>
      </c>
      <c r="AF8" s="141"/>
      <c r="AG8" s="1211">
        <f t="shared" si="7"/>
        <v>0</v>
      </c>
      <c r="AH8" s="141"/>
      <c r="AI8" s="187"/>
      <c r="AJ8" s="188"/>
      <c r="AK8" s="189"/>
      <c r="AL8" s="190"/>
      <c r="AM8" s="2366"/>
      <c r="AN8" s="2368"/>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366"/>
      <c r="AN9" s="2368"/>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366"/>
      <c r="AN10" s="2368"/>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0">
        <f t="shared" ca="1" si="6"/>
        <v>0</v>
      </c>
      <c r="AF11" s="141"/>
      <c r="AG11" s="1211">
        <f t="shared" si="7"/>
        <v>0</v>
      </c>
      <c r="AH11" s="141"/>
      <c r="AI11" s="187"/>
      <c r="AJ11" s="188"/>
      <c r="AK11" s="196"/>
      <c r="AL11" s="197"/>
      <c r="AM11" s="1815"/>
      <c r="AN11" s="2368"/>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0">
        <f t="shared" ca="1" si="6"/>
        <v>0</v>
      </c>
      <c r="AF12" s="141"/>
      <c r="AG12" s="1211">
        <f t="shared" si="7"/>
        <v>0</v>
      </c>
      <c r="AH12" s="141"/>
      <c r="AI12" s="187"/>
      <c r="AJ12" s="188"/>
      <c r="AK12" s="196"/>
      <c r="AL12" s="197"/>
      <c r="AM12" s="1815"/>
      <c r="AN12" s="2368"/>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366"/>
      <c r="AN13" s="2368"/>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2"/>
      <c r="V14" s="2318"/>
      <c r="W14" s="2318"/>
      <c r="X14" s="2319"/>
      <c r="Y14" s="2320"/>
      <c r="Z14" s="136"/>
      <c r="AA14" s="2321"/>
      <c r="AB14" s="2321"/>
      <c r="AC14" s="2322"/>
      <c r="AD14" s="2319"/>
      <c r="AE14" s="970"/>
      <c r="AF14" s="2294"/>
      <c r="AG14" s="1211"/>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262</v>
      </c>
      <c r="B16" s="199"/>
      <c r="C16" s="200"/>
      <c r="D16" s="201"/>
      <c r="E16" s="199"/>
      <c r="F16" s="199"/>
      <c r="G16" s="202">
        <f>ROUND(SUMPRODUCT(G6:G13,K6:K13)/SUMPRODUCT((G6:G13&gt;0)*(K6:K13)),3)</f>
        <v>0.94199999999999995</v>
      </c>
      <c r="H16" s="203">
        <f>ROUND(SUMPRODUCT(H6:H13,K6:K13)/SUMPRODUCT((H6:H13&gt;0)*(K6:K13)),3)</f>
        <v>4.4999999999999998E-2</v>
      </c>
      <c r="I16" s="204"/>
      <c r="J16" s="204"/>
      <c r="K16" s="205">
        <f>SUM(K6:K15)</f>
        <v>43120</v>
      </c>
      <c r="L16" s="206">
        <f>ROUND(M16*10000/SUM(K6:K14),0)</f>
        <v>4500</v>
      </c>
      <c r="M16" s="206">
        <f>SUM(M6:M14)</f>
        <v>19404</v>
      </c>
      <c r="N16" s="207">
        <f>ROUND(SUMPRODUCT(M6:M14,N6:N14)/M16,3)</f>
        <v>0</v>
      </c>
      <c r="O16" s="206">
        <f>SUM(O6:O14)</f>
        <v>0</v>
      </c>
      <c r="P16" s="206">
        <f>SUM(P6:P14)</f>
        <v>19404</v>
      </c>
      <c r="Q16" s="208">
        <f>ROUND(SUMPRODUCT(Q6:Q13,K6:K13)/SUMPRODUCT((Q6:Q13&gt;0)*(K6:K13)),2)</f>
        <v>0.25</v>
      </c>
      <c r="R16" s="2309">
        <f>SUM(R6:R13)</f>
        <v>15400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0.89900000000000002</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2338</v>
      </c>
      <c r="B27" s="227">
        <v>170</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8" t="s">
        <v>2339</v>
      </c>
      <c r="B28" s="229">
        <v>200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1" t="s">
        <v>2337</v>
      </c>
      <c r="B29" s="232">
        <v>0</v>
      </c>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5" t="s">
        <v>273</v>
      </c>
      <c r="B30" s="976">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7" t="s">
        <v>275</v>
      </c>
      <c r="B32" s="137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278</v>
      </c>
      <c r="B33" s="1377">
        <v>0.05</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0.1</v>
      </c>
      <c r="C34" s="2342" t="s">
        <v>2893</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2.5000000000000001E-2</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5"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5" t="s">
        <v>2457</v>
      </c>
      <c r="B40" s="2457">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40">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7"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8"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8"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1409</v>
      </c>
      <c r="C53" s="3049" t="s">
        <v>2903</v>
      </c>
      <c r="D53" s="3050"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2" t="s">
        <v>2905</v>
      </c>
      <c r="B54" s="186">
        <v>30</v>
      </c>
      <c r="C54" s="1992">
        <v>30</v>
      </c>
      <c r="D54" s="305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2" t="s">
        <v>2906</v>
      </c>
      <c r="B55" s="186">
        <v>24</v>
      </c>
      <c r="C55" s="1992">
        <v>24</v>
      </c>
      <c r="D55" s="305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2" t="s">
        <v>2907</v>
      </c>
      <c r="B56" s="186">
        <v>18</v>
      </c>
      <c r="C56" s="1992">
        <v>18</v>
      </c>
      <c r="D56" s="305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2" t="s">
        <v>2908</v>
      </c>
      <c r="B57" s="186">
        <v>12</v>
      </c>
      <c r="C57" s="1992">
        <v>12</v>
      </c>
      <c r="D57" s="305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2" t="s">
        <v>2909</v>
      </c>
      <c r="B58" s="186">
        <v>3</v>
      </c>
      <c r="C58" s="1992">
        <v>3</v>
      </c>
      <c r="D58" s="305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2" t="s">
        <v>2910</v>
      </c>
      <c r="B59" s="186">
        <v>1.5</v>
      </c>
      <c r="C59" s="1992">
        <v>1.5</v>
      </c>
      <c r="D59" s="305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2"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2"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2"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3"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ht="84">
      <c r="A64" s="253"/>
      <c r="B64" s="3253" t="s">
        <v>3517</v>
      </c>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47" t="s">
        <v>1663</v>
      </c>
      <c r="B1" s="3348"/>
      <c r="C1" s="3348"/>
      <c r="D1" s="3348"/>
      <c r="E1" s="3348"/>
      <c r="F1" s="3348"/>
      <c r="G1" s="3348"/>
      <c r="H1" s="2000"/>
      <c r="I1" s="2001"/>
      <c r="J1" s="2002"/>
      <c r="K1" s="2000"/>
      <c r="L1" s="2001"/>
      <c r="M1" s="2002"/>
      <c r="N1" s="2000"/>
      <c r="O1" s="2001"/>
      <c r="P1" s="2002"/>
      <c r="Q1" s="2003"/>
      <c r="R1" s="2004"/>
    </row>
    <row r="2" spans="1:18" ht="14.25" thickBot="1">
      <c r="A2" s="1219"/>
      <c r="B2" s="1220"/>
      <c r="C2" s="1221" t="s">
        <v>1664</v>
      </c>
      <c r="D2" s="1222"/>
      <c r="E2" s="1223"/>
      <c r="F2" s="1224"/>
      <c r="G2" s="1221" t="s">
        <v>1665</v>
      </c>
      <c r="H2" s="2006"/>
      <c r="I2" s="2006"/>
      <c r="J2" s="2006"/>
      <c r="K2" s="2006"/>
      <c r="L2" s="2006"/>
      <c r="M2" s="2006"/>
      <c r="N2" s="2006"/>
      <c r="O2" s="2006"/>
      <c r="P2" s="2006"/>
      <c r="Q2" s="2006"/>
      <c r="R2" s="2006"/>
    </row>
    <row r="3" spans="1:18" ht="54">
      <c r="A3" s="1225" t="s">
        <v>1666</v>
      </c>
      <c r="B3" s="1226" t="s">
        <v>1653</v>
      </c>
      <c r="C3" s="3054" t="s">
        <v>2921</v>
      </c>
      <c r="D3" s="2007"/>
      <c r="E3" s="1227" t="s">
        <v>1666</v>
      </c>
      <c r="F3" s="1228" t="s">
        <v>1654</v>
      </c>
      <c r="G3" s="3058" t="s">
        <v>2920</v>
      </c>
      <c r="H3" s="2006"/>
      <c r="I3" s="2006"/>
      <c r="J3" s="2006"/>
      <c r="K3" s="2006"/>
      <c r="L3" s="2006"/>
      <c r="M3" s="2006"/>
      <c r="N3" s="2006"/>
      <c r="O3" s="2006"/>
      <c r="P3" s="2006"/>
      <c r="Q3" s="2006"/>
      <c r="R3" s="2006"/>
    </row>
    <row r="4" spans="1:18" ht="41.25">
      <c r="A4" s="1227"/>
      <c r="B4" s="1229" t="s">
        <v>1667</v>
      </c>
      <c r="C4" s="3055" t="s">
        <v>2922</v>
      </c>
      <c r="D4" s="2007"/>
      <c r="E4" s="1230"/>
      <c r="F4" s="1231" t="s">
        <v>1668</v>
      </c>
      <c r="G4" s="3056" t="s">
        <v>2917</v>
      </c>
      <c r="H4" s="2006"/>
      <c r="I4" s="2006"/>
      <c r="J4" s="2006"/>
      <c r="K4" s="2006"/>
      <c r="L4" s="2006"/>
      <c r="M4" s="2006"/>
      <c r="N4" s="2006"/>
      <c r="O4" s="2006"/>
      <c r="P4" s="2006"/>
      <c r="Q4" s="2006"/>
      <c r="R4" s="2006"/>
    </row>
    <row r="5" spans="1:18" ht="41.25">
      <c r="A5" s="1227"/>
      <c r="B5" s="1229" t="s">
        <v>1669</v>
      </c>
      <c r="C5" s="3055" t="s">
        <v>2923</v>
      </c>
      <c r="D5" s="2007"/>
      <c r="E5" s="1230"/>
      <c r="F5" s="1229" t="s">
        <v>2546</v>
      </c>
      <c r="G5" s="3056" t="s">
        <v>2918</v>
      </c>
      <c r="H5" s="2006"/>
      <c r="I5" s="2006"/>
      <c r="J5" s="2006"/>
      <c r="K5" s="2006"/>
      <c r="L5" s="2006"/>
      <c r="M5" s="2006"/>
      <c r="N5" s="2006"/>
      <c r="O5" s="2006"/>
      <c r="P5" s="2006"/>
      <c r="Q5" s="2006"/>
      <c r="R5" s="2006"/>
    </row>
    <row r="6" spans="1:18" ht="54">
      <c r="A6" s="1227"/>
      <c r="B6" s="1229" t="s">
        <v>1655</v>
      </c>
      <c r="C6" s="3056" t="s">
        <v>2917</v>
      </c>
      <c r="D6" s="2007"/>
      <c r="E6" s="1230"/>
      <c r="F6" s="1229" t="s">
        <v>2547</v>
      </c>
      <c r="G6" s="3056" t="s">
        <v>2915</v>
      </c>
      <c r="H6" s="2006"/>
      <c r="I6" s="2006"/>
      <c r="J6" s="2006"/>
      <c r="K6" s="2006"/>
      <c r="L6" s="2006"/>
      <c r="M6" s="2006"/>
      <c r="N6" s="2006"/>
      <c r="O6" s="2006"/>
      <c r="P6" s="2006"/>
      <c r="Q6" s="2006"/>
      <c r="R6" s="2006"/>
    </row>
    <row r="7" spans="1:18" ht="41.25" thickBot="1">
      <c r="A7" s="1227"/>
      <c r="B7" s="1229" t="s">
        <v>2546</v>
      </c>
      <c r="C7" s="3056" t="s">
        <v>2918</v>
      </c>
      <c r="D7" s="2008"/>
      <c r="E7" s="1232"/>
      <c r="F7" s="1233" t="s">
        <v>1670</v>
      </c>
      <c r="G7" s="3059" t="s">
        <v>2919</v>
      </c>
      <c r="H7" s="2006"/>
      <c r="I7" s="2006"/>
      <c r="J7" s="2006"/>
      <c r="K7" s="2006"/>
      <c r="L7" s="2006"/>
      <c r="M7" s="2006"/>
      <c r="N7" s="2006"/>
      <c r="O7" s="2006"/>
      <c r="P7" s="2006"/>
      <c r="Q7" s="2006"/>
      <c r="R7" s="2006"/>
    </row>
    <row r="8" spans="1:18" ht="27">
      <c r="A8" s="1227"/>
      <c r="B8" s="1229" t="s">
        <v>2547</v>
      </c>
      <c r="C8" s="3056" t="s">
        <v>2915</v>
      </c>
      <c r="D8" s="2008"/>
      <c r="E8" s="2008"/>
      <c r="F8" s="1552"/>
      <c r="G8" s="1552"/>
      <c r="H8" s="2006"/>
      <c r="I8" s="2006"/>
      <c r="J8" s="2006"/>
      <c r="K8" s="2006"/>
      <c r="L8" s="2006"/>
      <c r="M8" s="2006"/>
      <c r="N8" s="2006"/>
      <c r="O8" s="2006"/>
      <c r="P8" s="2006"/>
      <c r="Q8" s="2006"/>
      <c r="R8" s="2006"/>
    </row>
    <row r="9" spans="1:18" ht="40.5">
      <c r="A9" s="1227"/>
      <c r="B9" s="1229" t="s">
        <v>1656</v>
      </c>
      <c r="C9" s="3055" t="s">
        <v>2916</v>
      </c>
      <c r="D9" s="2007"/>
      <c r="E9" s="2008"/>
      <c r="F9" s="1552"/>
      <c r="G9" s="1552"/>
      <c r="H9" s="2006"/>
      <c r="I9" s="2006"/>
      <c r="J9" s="2006"/>
      <c r="K9" s="2006"/>
      <c r="L9" s="2006"/>
      <c r="M9" s="2006"/>
      <c r="N9" s="2006"/>
      <c r="O9" s="2006"/>
      <c r="P9" s="2006"/>
      <c r="Q9" s="2006"/>
      <c r="R9" s="2006"/>
    </row>
    <row r="10" spans="1:18" s="2014" customFormat="1" ht="15" thickBot="1">
      <c r="A10" s="1234"/>
      <c r="B10" s="1235" t="s">
        <v>1671</v>
      </c>
      <c r="C10" s="305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4"/>
      <c r="E12" s="2007"/>
      <c r="F12" s="2008"/>
      <c r="G12" s="2010"/>
      <c r="H12" s="2015"/>
      <c r="I12" s="2016"/>
      <c r="J12" s="2015"/>
      <c r="K12" s="2015"/>
      <c r="L12" s="2017"/>
      <c r="M12" s="2015"/>
      <c r="N12" s="2018"/>
      <c r="O12" s="2019"/>
      <c r="P12" s="2020"/>
      <c r="Q12" s="2018"/>
      <c r="R12" s="2004"/>
    </row>
    <row r="13" spans="1:18" ht="19.5" thickBot="1">
      <c r="A13" s="2553" t="s">
        <v>1672</v>
      </c>
      <c r="B13" s="2554"/>
      <c r="C13" s="2554"/>
      <c r="D13" s="1222"/>
      <c r="E13" s="2554"/>
      <c r="F13" s="2554"/>
      <c r="G13" s="2554"/>
    </row>
    <row r="14" spans="1:18" ht="14.25" thickBot="1">
      <c r="A14" s="1236"/>
      <c r="B14" s="1237"/>
      <c r="C14" s="1238" t="s">
        <v>1664</v>
      </c>
      <c r="D14" s="2007"/>
      <c r="E14" s="1239"/>
      <c r="F14" s="1239"/>
      <c r="G14" s="1221" t="s">
        <v>1665</v>
      </c>
    </row>
    <row r="15" spans="1:18" ht="54">
      <c r="A15" s="2564" t="s">
        <v>1657</v>
      </c>
      <c r="B15" s="1240" t="s">
        <v>1653</v>
      </c>
      <c r="C15" s="1241" t="str">
        <f>C3</f>
        <v>估价对象周边居住用地比例、居住小区规模和社区发展完善程度，综合评价居住社区成熟度一般</v>
      </c>
      <c r="D15" s="2007"/>
      <c r="E15" s="2561" t="s">
        <v>1658</v>
      </c>
      <c r="F15" s="1240" t="s">
        <v>1673</v>
      </c>
      <c r="G15" s="1242" t="str">
        <f>G3</f>
        <v>估价对象位于XX开发区，园区建设成熟度XX，产业集聚程度XX</v>
      </c>
    </row>
    <row r="16" spans="1:18" ht="40.5">
      <c r="A16" s="2565"/>
      <c r="B16" s="1243" t="s">
        <v>1667</v>
      </c>
      <c r="C16" s="1244" t="str">
        <f>C4</f>
        <v>估价对象位于XX商圈，周边商业氛围成熟，人流量大，商业繁华度好</v>
      </c>
      <c r="D16" s="2007"/>
      <c r="E16" s="2562"/>
      <c r="F16" s="1245" t="s">
        <v>1668</v>
      </c>
      <c r="G16" s="1003" t="str">
        <f>G4</f>
        <v>估价对象周边道路状况、公共交通通达情况、停车便捷程度，综合评价交通便捷度较好</v>
      </c>
    </row>
    <row r="17" spans="1:7" ht="40.5">
      <c r="A17" s="2565"/>
      <c r="B17" s="1243" t="s">
        <v>1669</v>
      </c>
      <c r="C17" s="1244" t="str">
        <f>C5</f>
        <v>估价对象位于XX商圈，周边办公楼项目较多，入驻率高，办公集聚程度较好</v>
      </c>
      <c r="D17" s="2008"/>
      <c r="E17" s="2562"/>
      <c r="F17" s="1245" t="s">
        <v>1674</v>
      </c>
      <c r="G17" s="2769"/>
    </row>
    <row r="18" spans="1:7" ht="54">
      <c r="A18" s="2565"/>
      <c r="B18" s="1245" t="s">
        <v>1655</v>
      </c>
      <c r="C18" s="1003" t="str">
        <f>C6</f>
        <v>估价对象周边道路状况、公共交通通达情况、停车便捷程度，综合评价交通便捷度较好</v>
      </c>
      <c r="D18" s="2008"/>
      <c r="E18" s="2562"/>
      <c r="F18" s="1245" t="s">
        <v>1670</v>
      </c>
      <c r="G18" s="1003" t="str">
        <f>G7</f>
        <v>该园区内是否有污染型企业，绿化情况，卫生条件，整体环境状况判断</v>
      </c>
    </row>
    <row r="19" spans="1:7" ht="27">
      <c r="A19" s="2565"/>
      <c r="B19" s="1245" t="s">
        <v>1659</v>
      </c>
      <c r="C19" s="2769"/>
      <c r="D19" s="2007"/>
      <c r="E19" s="2562"/>
      <c r="F19" s="1229" t="s">
        <v>2546</v>
      </c>
      <c r="G19" s="1003" t="str">
        <f>G5</f>
        <v>估价对象所在区域公共配套设施齐备情况</v>
      </c>
    </row>
    <row r="20" spans="1:7" ht="40.5">
      <c r="A20" s="2565"/>
      <c r="B20" s="1245" t="s">
        <v>1660</v>
      </c>
      <c r="C20" s="1244" t="str">
        <f>C9</f>
        <v>区域自然环境：；人文环境；综合评价环境状况一般</v>
      </c>
      <c r="D20" s="2008"/>
      <c r="E20" s="2562"/>
      <c r="F20" s="1229" t="s">
        <v>2547</v>
      </c>
      <c r="G20" s="1003" t="str">
        <f>G6</f>
        <v>估价对象所在区域基础设施水平</v>
      </c>
    </row>
    <row r="21" spans="1:7" ht="27">
      <c r="A21" s="2565"/>
      <c r="B21" s="1229" t="s">
        <v>2546</v>
      </c>
      <c r="C21" s="1003" t="str">
        <f>C7</f>
        <v>估价对象所在区域公共配套设施齐备情况</v>
      </c>
      <c r="D21" s="2007"/>
      <c r="E21" s="2562"/>
      <c r="F21" s="1245" t="s">
        <v>1661</v>
      </c>
      <c r="G21" s="3060"/>
    </row>
    <row r="22" spans="1:7" ht="27">
      <c r="A22" s="2565"/>
      <c r="B22" s="1229" t="s">
        <v>2547</v>
      </c>
      <c r="C22" s="1003" t="str">
        <f>C8</f>
        <v>估价对象所在区域基础设施水平</v>
      </c>
      <c r="D22" s="2007"/>
      <c r="E22" s="2562"/>
      <c r="F22" s="1245" t="s">
        <v>1671</v>
      </c>
      <c r="G22" s="2769"/>
    </row>
    <row r="23" spans="1:7" ht="15" thickBot="1">
      <c r="A23" s="2565"/>
      <c r="B23" s="1245" t="s">
        <v>1661</v>
      </c>
      <c r="C23" s="3060"/>
      <c r="E23" s="2563"/>
      <c r="F23" s="1246" t="s">
        <v>1675</v>
      </c>
      <c r="G23" s="3061"/>
    </row>
    <row r="24" spans="1:7" ht="14.25" thickBot="1">
      <c r="A24" s="2566"/>
      <c r="B24" s="1246" t="s">
        <v>1662</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54" t="str">
        <f>项目基本情况!B1</f>
        <v>北京市FXX0-0401-6016出让国有建设用地使用权市场价格预评估</v>
      </c>
      <c r="C37" s="3254"/>
      <c r="D37" s="3254"/>
      <c r="E37" s="3254"/>
      <c r="F37" s="3254"/>
      <c r="G37" s="3254"/>
      <c r="H37" s="3254"/>
      <c r="I37" s="3254"/>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王鹏、郑燚</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8" sqref="D18"/>
    </sheetView>
  </sheetViews>
  <sheetFormatPr defaultColWidth="14.625" defaultRowHeight="13.5"/>
  <cols>
    <col min="1" max="1" width="24.375" customWidth="1"/>
  </cols>
  <sheetData>
    <row r="1" spans="1:9" ht="16.5">
      <c r="A1" s="3018" t="s">
        <v>2843</v>
      </c>
      <c r="B1" s="3018">
        <f>SUM(B14:B23)</f>
        <v>695960</v>
      </c>
      <c r="C1" s="3019"/>
      <c r="D1" s="3019"/>
      <c r="E1" s="3019"/>
      <c r="F1" s="3019"/>
    </row>
    <row r="2" spans="1:9" ht="16.5">
      <c r="A2" s="3018" t="s">
        <v>2844</v>
      </c>
      <c r="B2" s="3018">
        <f>SUM(C14:C23)</f>
        <v>160366.66999999998</v>
      </c>
      <c r="C2" s="3019"/>
      <c r="D2" s="3019"/>
      <c r="E2" s="3019"/>
      <c r="F2" s="3019"/>
    </row>
    <row r="3" spans="1:9" ht="16.5">
      <c r="A3" s="3018" t="s">
        <v>2845</v>
      </c>
      <c r="B3" s="3020">
        <f>项目基本情况!D3</f>
        <v>43510</v>
      </c>
      <c r="C3" s="3019"/>
      <c r="D3" s="3019"/>
      <c r="E3" s="3019"/>
      <c r="F3" s="3019"/>
    </row>
    <row r="4" spans="1:9" ht="33">
      <c r="A4" s="3018" t="s">
        <v>2846</v>
      </c>
      <c r="B4" s="3018" t="s">
        <v>2847</v>
      </c>
      <c r="C4" s="3018" t="s">
        <v>2848</v>
      </c>
      <c r="D4" s="3018" t="s">
        <v>2849</v>
      </c>
      <c r="E4" s="3019"/>
      <c r="F4" s="3019"/>
    </row>
    <row r="5" spans="1:9" ht="16.5">
      <c r="A5" s="3018" t="s">
        <v>2850</v>
      </c>
      <c r="B5" s="3018">
        <f ca="1">SUM(D14:D23)</f>
        <v>2060674</v>
      </c>
      <c r="C5" s="3018">
        <f ca="1">ROUND(B5*10000/$B$1,0)</f>
        <v>29609</v>
      </c>
      <c r="D5" s="3018">
        <f ca="1">ROUND(B5*10000/$B$2,0)</f>
        <v>128498</v>
      </c>
      <c r="E5" s="3019"/>
      <c r="F5" s="3019"/>
    </row>
    <row r="6" spans="1:9" ht="16.5">
      <c r="A6" s="3018" t="s">
        <v>2851</v>
      </c>
      <c r="B6" s="3018">
        <f>SUM(G14:G23)</f>
        <v>0</v>
      </c>
      <c r="C6" s="3018">
        <f t="shared" ref="C6:C8" si="0">ROUND(B6*10000/$B$1,0)</f>
        <v>0</v>
      </c>
      <c r="D6" s="3018">
        <f t="shared" ref="D6:D8" si="1">ROUND(B6*10000/$B$2,0)</f>
        <v>0</v>
      </c>
      <c r="E6" s="3019"/>
      <c r="F6" s="3019"/>
    </row>
    <row r="7" spans="1:9" ht="16.5">
      <c r="A7" s="3018" t="s">
        <v>2852</v>
      </c>
      <c r="B7" s="3018">
        <f>SUM(H14:H23)</f>
        <v>0</v>
      </c>
      <c r="C7" s="3018">
        <f t="shared" si="0"/>
        <v>0</v>
      </c>
      <c r="D7" s="3018">
        <f t="shared" si="1"/>
        <v>0</v>
      </c>
      <c r="E7" s="3019"/>
      <c r="F7" s="3019"/>
    </row>
    <row r="8" spans="1:9" ht="16.5">
      <c r="A8" s="3018" t="s">
        <v>2853</v>
      </c>
      <c r="B8" s="3018">
        <f>SUM(I14:I23)</f>
        <v>0</v>
      </c>
      <c r="C8" s="3018">
        <f t="shared" si="0"/>
        <v>0</v>
      </c>
      <c r="D8" s="3018">
        <f t="shared" si="1"/>
        <v>0</v>
      </c>
      <c r="E8" s="3019"/>
      <c r="F8" s="3019"/>
    </row>
    <row r="9" spans="1:9" ht="16.5">
      <c r="A9" s="3018" t="s">
        <v>2854</v>
      </c>
      <c r="B9" s="3021"/>
      <c r="C9" s="3019"/>
      <c r="D9" s="3019"/>
      <c r="E9" s="3019"/>
      <c r="F9" s="3019"/>
    </row>
    <row r="10" spans="1:9" ht="16.5">
      <c r="A10" s="3018" t="s">
        <v>2855</v>
      </c>
      <c r="B10" s="3021"/>
      <c r="C10" s="3019"/>
      <c r="D10" s="3019"/>
      <c r="E10" s="3019"/>
      <c r="F10" s="3019"/>
    </row>
    <row r="11" spans="1:9" ht="16.5">
      <c r="A11" s="3018" t="s">
        <v>2872</v>
      </c>
      <c r="B11" s="3021"/>
      <c r="C11" s="3019"/>
      <c r="D11" s="3019"/>
      <c r="E11" s="3019"/>
      <c r="F11" s="3019"/>
    </row>
    <row r="12" spans="1:9" ht="16.5">
      <c r="A12" s="3019"/>
      <c r="B12" s="3019"/>
      <c r="C12" s="3019"/>
      <c r="D12" s="3019"/>
      <c r="E12" s="3019"/>
      <c r="F12" s="3019"/>
    </row>
    <row r="13" spans="1:9" ht="33">
      <c r="A13" s="3024" t="s">
        <v>2871</v>
      </c>
      <c r="B13" s="3022" t="s">
        <v>2843</v>
      </c>
      <c r="C13" s="3022" t="s">
        <v>2844</v>
      </c>
      <c r="D13" s="3022" t="s">
        <v>2856</v>
      </c>
      <c r="E13" s="3018" t="s">
        <v>2870</v>
      </c>
      <c r="F13" s="3018" t="s">
        <v>2849</v>
      </c>
      <c r="G13" s="3022" t="s">
        <v>2857</v>
      </c>
      <c r="H13" s="3022" t="s">
        <v>2858</v>
      </c>
      <c r="I13" s="3022" t="s">
        <v>2859</v>
      </c>
    </row>
    <row r="14" spans="1:9" ht="16.5">
      <c r="A14" s="3025" t="s">
        <v>2869</v>
      </c>
      <c r="B14" s="3022">
        <f>结果表!L38</f>
        <v>43120</v>
      </c>
      <c r="C14" s="3022">
        <f>结果表!K38</f>
        <v>15400</v>
      </c>
      <c r="D14" s="3022">
        <f ca="1">结果表!C42</f>
        <v>162077</v>
      </c>
      <c r="E14" s="3022">
        <f ca="1">ROUND(D14*10000/B14,0)</f>
        <v>37587</v>
      </c>
      <c r="F14" s="3022">
        <f ca="1">ROUND(D14*10000/C14,0)</f>
        <v>105245</v>
      </c>
      <c r="G14" s="3022" t="str">
        <f>结果表!C44</f>
        <v>——</v>
      </c>
      <c r="H14" s="3022" t="str">
        <f>结果表!C45</f>
        <v>——</v>
      </c>
      <c r="I14" s="3022" t="str">
        <f>结果表!C46</f>
        <v>——</v>
      </c>
    </row>
    <row r="15" spans="1:9" ht="16.5">
      <c r="A15" s="3025" t="s">
        <v>2860</v>
      </c>
      <c r="B15" s="3026">
        <f>C15*2.8</f>
        <v>189840</v>
      </c>
      <c r="C15" s="3026">
        <f>典型户型修正!B25</f>
        <v>67800</v>
      </c>
      <c r="D15" s="3026">
        <f ca="1">典型户型修正!S25</f>
        <v>727833</v>
      </c>
      <c r="E15" s="3022">
        <f t="shared" ref="E15:E23" ca="1" si="2">ROUND(D15*10000/B15,0)</f>
        <v>38339</v>
      </c>
      <c r="F15" s="3022">
        <f t="shared" ref="F15:F23" ca="1" si="3">ROUND(D15*10000/C15,0)</f>
        <v>107350</v>
      </c>
      <c r="G15" s="3023"/>
      <c r="H15" s="3023"/>
      <c r="I15" s="3026"/>
    </row>
    <row r="16" spans="1:9" ht="16.5">
      <c r="A16" s="3025" t="s">
        <v>2861</v>
      </c>
      <c r="B16" s="3026">
        <f>[1]系统读取表!$B$14</f>
        <v>166800</v>
      </c>
      <c r="C16" s="3026">
        <f>[1]系统读取表!$C$14</f>
        <v>27800</v>
      </c>
      <c r="D16" s="3026">
        <f ca="1">[1]系统读取表!$D$14</f>
        <v>277037</v>
      </c>
      <c r="E16" s="3022">
        <f t="shared" ca="1" si="2"/>
        <v>16609</v>
      </c>
      <c r="F16" s="3022">
        <f t="shared" ca="1" si="3"/>
        <v>99654</v>
      </c>
      <c r="G16" s="3023"/>
      <c r="H16" s="3023"/>
      <c r="I16" s="3026"/>
    </row>
    <row r="17" spans="1:9" ht="16.5">
      <c r="A17" s="3025" t="s">
        <v>2862</v>
      </c>
      <c r="B17" s="3026">
        <f>[2]系统读取表!$B$14</f>
        <v>296200</v>
      </c>
      <c r="C17" s="3026">
        <f>[2]系统读取表!$C$14</f>
        <v>49366.67</v>
      </c>
      <c r="D17" s="3026">
        <f ca="1">[2]系统读取表!$D$14</f>
        <v>893727</v>
      </c>
      <c r="E17" s="3022">
        <f t="shared" ca="1" si="2"/>
        <v>30173</v>
      </c>
      <c r="F17" s="3022">
        <f t="shared" ca="1" si="3"/>
        <v>181039</v>
      </c>
      <c r="G17" s="3023"/>
      <c r="H17" s="3023"/>
      <c r="I17" s="3026"/>
    </row>
    <row r="18" spans="1:9" ht="16.5">
      <c r="A18" s="3025" t="s">
        <v>2863</v>
      </c>
      <c r="B18" s="3026"/>
      <c r="C18" s="3026"/>
      <c r="D18" s="3026"/>
      <c r="E18" s="3022" t="e">
        <f t="shared" si="2"/>
        <v>#DIV/0!</v>
      </c>
      <c r="F18" s="3022" t="e">
        <f t="shared" si="3"/>
        <v>#DIV/0!</v>
      </c>
      <c r="G18" s="3026"/>
      <c r="H18" s="3026"/>
      <c r="I18" s="3026"/>
    </row>
    <row r="19" spans="1:9" ht="16.5">
      <c r="A19" s="3025" t="s">
        <v>2864</v>
      </c>
      <c r="B19" s="3026"/>
      <c r="C19" s="3026"/>
      <c r="D19" s="3026"/>
      <c r="E19" s="3022" t="e">
        <f t="shared" si="2"/>
        <v>#DIV/0!</v>
      </c>
      <c r="F19" s="3022" t="e">
        <f t="shared" si="3"/>
        <v>#DIV/0!</v>
      </c>
      <c r="G19" s="3026"/>
      <c r="H19" s="3026"/>
      <c r="I19" s="3026"/>
    </row>
    <row r="20" spans="1:9" ht="16.5">
      <c r="A20" s="3025" t="s">
        <v>2865</v>
      </c>
      <c r="B20" s="3026"/>
      <c r="C20" s="3026"/>
      <c r="D20" s="3026"/>
      <c r="E20" s="3022" t="e">
        <f t="shared" si="2"/>
        <v>#DIV/0!</v>
      </c>
      <c r="F20" s="3022" t="e">
        <f t="shared" si="3"/>
        <v>#DIV/0!</v>
      </c>
      <c r="G20" s="3026"/>
      <c r="H20" s="3026"/>
      <c r="I20" s="3026"/>
    </row>
    <row r="21" spans="1:9" ht="16.5">
      <c r="A21" s="3025" t="s">
        <v>2866</v>
      </c>
      <c r="B21" s="3026"/>
      <c r="C21" s="3026"/>
      <c r="D21" s="3026"/>
      <c r="E21" s="3022" t="e">
        <f t="shared" si="2"/>
        <v>#DIV/0!</v>
      </c>
      <c r="F21" s="3022" t="e">
        <f t="shared" si="3"/>
        <v>#DIV/0!</v>
      </c>
      <c r="G21" s="3026"/>
      <c r="H21" s="3026"/>
      <c r="I21" s="3026"/>
    </row>
    <row r="22" spans="1:9" ht="16.5">
      <c r="A22" s="3025" t="s">
        <v>2867</v>
      </c>
      <c r="B22" s="3026"/>
      <c r="C22" s="3026"/>
      <c r="D22" s="3026"/>
      <c r="E22" s="3022" t="e">
        <f t="shared" si="2"/>
        <v>#DIV/0!</v>
      </c>
      <c r="F22" s="3022" t="e">
        <f t="shared" si="3"/>
        <v>#DIV/0!</v>
      </c>
      <c r="G22" s="3026"/>
      <c r="H22" s="3026"/>
      <c r="I22" s="3026"/>
    </row>
    <row r="23" spans="1:9" ht="16.5">
      <c r="A23" s="3025" t="s">
        <v>2868</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9"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A2" sqref="A2:I2"/>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4" t="s">
        <v>2055</v>
      </c>
      <c r="B1" s="1775"/>
      <c r="C1" s="1803" t="s">
        <v>2056</v>
      </c>
      <c r="D1" s="1804" t="s">
        <v>3083</v>
      </c>
      <c r="E1" s="1803" t="s">
        <v>2057</v>
      </c>
      <c r="F1" s="1805" t="s">
        <v>3084</v>
      </c>
      <c r="G1" s="311"/>
      <c r="H1" s="311"/>
      <c r="I1" s="311"/>
      <c r="J1" s="2027"/>
      <c r="K1" s="2027"/>
      <c r="L1" s="2027"/>
      <c r="M1" s="2027"/>
      <c r="N1" s="2027"/>
      <c r="O1" s="2027"/>
      <c r="P1" s="2027"/>
      <c r="Q1" s="2027"/>
      <c r="R1" s="2027"/>
      <c r="S1" s="2027"/>
      <c r="T1" s="2027"/>
      <c r="U1" s="2027"/>
      <c r="V1" s="2027"/>
    </row>
    <row r="2" spans="1:22" ht="21.75" customHeight="1" thickBot="1">
      <c r="A2" s="3385" t="str">
        <f>项目基本情况!K2</f>
        <v>北京市FXX0-0401-6016出让国有建设用地使用权</v>
      </c>
      <c r="B2" s="3386"/>
      <c r="C2" s="3387"/>
      <c r="D2" s="3387"/>
      <c r="E2" s="3387"/>
      <c r="F2" s="3387"/>
      <c r="G2" s="3386"/>
      <c r="H2" s="3386"/>
      <c r="I2" s="3388"/>
      <c r="J2" s="2028"/>
      <c r="K2" s="2027"/>
      <c r="L2" s="2027"/>
      <c r="M2" s="2027"/>
      <c r="N2" s="2027"/>
      <c r="O2" s="2027"/>
      <c r="P2" s="2027"/>
      <c r="Q2" s="2027"/>
      <c r="R2" s="2027"/>
      <c r="S2" s="2027"/>
      <c r="T2" s="2027"/>
      <c r="U2" s="2027"/>
      <c r="V2" s="2027"/>
    </row>
    <row r="3" spans="1:22" ht="14.25">
      <c r="A3" s="3378" t="s">
        <v>298</v>
      </c>
      <c r="B3" s="3379"/>
      <c r="C3" s="3379"/>
      <c r="D3" s="3379"/>
      <c r="E3" s="3379"/>
      <c r="F3" s="3379"/>
      <c r="G3" s="3379"/>
      <c r="H3" s="3379"/>
      <c r="I3" s="3379"/>
      <c r="J3" s="2028"/>
      <c r="K3" s="2027"/>
      <c r="L3" s="2027"/>
      <c r="M3" s="2027"/>
      <c r="N3" s="2027"/>
      <c r="O3" s="2027"/>
      <c r="P3" s="2027"/>
      <c r="Q3" s="2027"/>
      <c r="R3" s="2027"/>
      <c r="S3" s="2027"/>
      <c r="T3" s="2027"/>
      <c r="U3" s="2027"/>
      <c r="V3" s="2027"/>
    </row>
    <row r="4" spans="1:22" ht="14.25">
      <c r="A4" s="258" t="s">
        <v>299</v>
      </c>
      <c r="B4" s="259" t="s">
        <v>300</v>
      </c>
      <c r="C4" s="260" t="s">
        <v>3085</v>
      </c>
      <c r="D4" s="260" t="s">
        <v>3086</v>
      </c>
      <c r="E4" s="3350" t="s">
        <v>301</v>
      </c>
      <c r="F4" s="3351"/>
      <c r="G4" s="3351"/>
      <c r="H4" s="3351"/>
      <c r="I4" s="3380"/>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49" t="s">
        <v>302</v>
      </c>
      <c r="B5" s="3375">
        <v>25</v>
      </c>
      <c r="C5" s="3373"/>
      <c r="D5" s="3377"/>
      <c r="E5" s="261" t="s">
        <v>303</v>
      </c>
      <c r="F5" s="262"/>
      <c r="G5" s="262"/>
      <c r="H5" s="262"/>
      <c r="I5" s="263"/>
      <c r="J5" s="2028"/>
      <c r="K5" s="2027"/>
      <c r="L5" s="2027"/>
      <c r="M5" s="2027"/>
      <c r="N5" s="2027"/>
      <c r="O5" s="2027"/>
      <c r="P5" s="2027"/>
      <c r="Q5" s="2027"/>
      <c r="R5" s="2027"/>
      <c r="S5" s="2027"/>
      <c r="T5" s="2027"/>
      <c r="U5" s="2027"/>
      <c r="V5" s="2027"/>
    </row>
    <row r="6" spans="1:22" ht="14.25">
      <c r="A6" s="3349"/>
      <c r="B6" s="3375"/>
      <c r="C6" s="3376"/>
      <c r="D6" s="3377"/>
      <c r="E6" s="261" t="s">
        <v>304</v>
      </c>
      <c r="F6" s="262"/>
      <c r="G6" s="262"/>
      <c r="H6" s="262"/>
      <c r="I6" s="263"/>
      <c r="J6" s="2028"/>
      <c r="K6" s="2027"/>
      <c r="L6" s="2027"/>
      <c r="M6" s="2027"/>
      <c r="N6" s="2027"/>
      <c r="O6" s="2027"/>
      <c r="P6" s="2027"/>
      <c r="Q6" s="2027"/>
      <c r="R6" s="2027"/>
      <c r="S6" s="2027"/>
      <c r="T6" s="2027"/>
      <c r="U6" s="2027"/>
      <c r="V6" s="2027"/>
    </row>
    <row r="7" spans="1:22" ht="14.25">
      <c r="A7" s="3349"/>
      <c r="B7" s="3375"/>
      <c r="C7" s="3374"/>
      <c r="D7" s="3377"/>
      <c r="E7" s="261" t="s">
        <v>305</v>
      </c>
      <c r="F7" s="262"/>
      <c r="G7" s="262"/>
      <c r="H7" s="262"/>
      <c r="I7" s="263"/>
      <c r="J7" s="2028"/>
      <c r="K7" s="2027"/>
      <c r="L7" s="2027"/>
      <c r="M7" s="2027"/>
      <c r="N7" s="2027"/>
      <c r="O7" s="2027"/>
      <c r="P7" s="2027"/>
      <c r="Q7" s="2027"/>
      <c r="R7" s="2027"/>
      <c r="S7" s="2027"/>
      <c r="T7" s="2027"/>
      <c r="U7" s="2027"/>
      <c r="V7" s="2027"/>
    </row>
    <row r="8" spans="1:22" ht="14.25">
      <c r="A8" s="3349" t="s">
        <v>306</v>
      </c>
      <c r="B8" s="3375">
        <v>15</v>
      </c>
      <c r="C8" s="3373"/>
      <c r="D8" s="3377"/>
      <c r="E8" s="261" t="s">
        <v>307</v>
      </c>
      <c r="F8" s="262"/>
      <c r="G8" s="262"/>
      <c r="H8" s="262"/>
      <c r="I8" s="263"/>
      <c r="J8" s="2028"/>
      <c r="K8" s="2027"/>
      <c r="L8" s="2027"/>
      <c r="M8" s="2027"/>
      <c r="N8" s="2027"/>
      <c r="O8" s="2027"/>
      <c r="P8" s="2027"/>
      <c r="Q8" s="2027"/>
      <c r="R8" s="2027"/>
      <c r="S8" s="2027"/>
      <c r="T8" s="2027"/>
      <c r="U8" s="2027"/>
      <c r="V8" s="2027"/>
    </row>
    <row r="9" spans="1:22" ht="14.25">
      <c r="A9" s="3349"/>
      <c r="B9" s="3375"/>
      <c r="C9" s="3374"/>
      <c r="D9" s="3377"/>
      <c r="E9" s="261" t="s">
        <v>308</v>
      </c>
      <c r="F9" s="262"/>
      <c r="G9" s="262"/>
      <c r="H9" s="262"/>
      <c r="I9" s="263"/>
      <c r="J9" s="2028"/>
      <c r="K9" s="2027"/>
      <c r="L9" s="2027"/>
      <c r="M9" s="2027"/>
      <c r="N9" s="2027"/>
      <c r="O9" s="2027"/>
      <c r="P9" s="2027"/>
      <c r="Q9" s="2027"/>
      <c r="R9" s="2027"/>
      <c r="S9" s="2027"/>
      <c r="T9" s="2027"/>
      <c r="U9" s="2027"/>
      <c r="V9" s="2027"/>
    </row>
    <row r="10" spans="1:22" ht="14.25">
      <c r="A10" s="3349" t="s">
        <v>309</v>
      </c>
      <c r="B10" s="3375">
        <v>15</v>
      </c>
      <c r="C10" s="3373"/>
      <c r="D10" s="337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49"/>
      <c r="B11" s="3375"/>
      <c r="C11" s="3374"/>
      <c r="D11" s="337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49" t="s">
        <v>312</v>
      </c>
      <c r="B12" s="3375">
        <v>15</v>
      </c>
      <c r="C12" s="3373"/>
      <c r="D12" s="337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49"/>
      <c r="B13" s="3375"/>
      <c r="C13" s="3374"/>
      <c r="D13" s="337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49" t="s">
        <v>315</v>
      </c>
      <c r="B14" s="3375">
        <v>30</v>
      </c>
      <c r="C14" s="3373">
        <v>5</v>
      </c>
      <c r="D14" s="3377">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49"/>
      <c r="B15" s="3375"/>
      <c r="C15" s="3376"/>
      <c r="D15" s="337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49"/>
      <c r="B16" s="3375"/>
      <c r="C16" s="3374"/>
      <c r="D16" s="337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155655</v>
      </c>
      <c r="D19" s="271">
        <f ca="1">SUMIF(INDIRECT("'"&amp;D4&amp;"'"&amp;"!A:A"),结果表!B19,INDIRECT("'"&amp;D4&amp;"'"&amp;"!B:B"))</f>
        <v>168499</v>
      </c>
      <c r="E19" s="268" t="s">
        <v>323</v>
      </c>
      <c r="F19" s="269" t="s">
        <v>322</v>
      </c>
      <c r="G19" s="272">
        <f ca="1">ROUND(C19*$C$18+D19*$D$18,0)</f>
        <v>162077</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36098</v>
      </c>
      <c r="D20" s="277">
        <f ca="1">SUMIF(INDIRECT("'"&amp;D4&amp;"'"&amp;"!A:A"),结果表!B20,INDIRECT("'"&amp;D4&amp;"'"&amp;"!B:B"))</f>
        <v>39077</v>
      </c>
      <c r="E20" s="274"/>
      <c r="F20" s="275" t="s">
        <v>325</v>
      </c>
      <c r="G20" s="278">
        <f ca="1">ROUND(C20*$C$18+D20*$D$18,0)</f>
        <v>37588</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101075</v>
      </c>
      <c r="D21" s="151">
        <f ca="1">SUMIF(INDIRECT("'"&amp;D4&amp;"'"&amp;"!A:A"),结果表!B21,INDIRECT("'"&amp;D4&amp;"'"&amp;"!B:B"))</f>
        <v>109415</v>
      </c>
      <c r="E21" s="274"/>
      <c r="F21" s="280" t="s">
        <v>327</v>
      </c>
      <c r="G21" s="282">
        <f ca="1">ROUND(C21*$C$18+D21*$D$18,0)</f>
        <v>105245</v>
      </c>
      <c r="H21" s="1249" t="s">
        <v>326</v>
      </c>
      <c r="I21" s="311"/>
      <c r="J21" s="2027"/>
      <c r="K21" s="2027"/>
      <c r="L21" s="2027"/>
      <c r="M21" s="2027"/>
      <c r="N21" s="2027"/>
      <c r="O21" s="2027"/>
      <c r="P21" s="2027"/>
      <c r="Q21" s="2027"/>
      <c r="R21" s="2027"/>
      <c r="S21" s="2027"/>
      <c r="T21" s="2027"/>
      <c r="U21" s="2027"/>
      <c r="V21" s="2027"/>
    </row>
    <row r="22" spans="1:26" ht="15.75" thickBot="1">
      <c r="A22" s="126" t="s">
        <v>328</v>
      </c>
      <c r="B22" s="1250"/>
      <c r="C22" s="1251"/>
      <c r="D22" s="283">
        <f ca="1">IF(C19&lt;D19,D19/C19-1,C19/D19-1)</f>
        <v>8.2515820243487248E-2</v>
      </c>
      <c r="E22" s="284"/>
      <c r="F22" s="285"/>
      <c r="G22" s="286">
        <f ca="1">ROUND(G19/('数据-汇总表'!D3/666.67),0)</f>
        <v>7016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55"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56"/>
      <c r="B25" s="1319" t="s">
        <v>331</v>
      </c>
      <c r="C25" s="290">
        <f>IF(B30=0,0,C30)</f>
        <v>0</v>
      </c>
      <c r="D25" s="291"/>
      <c r="E25" s="311"/>
      <c r="F25" s="311"/>
      <c r="G25" s="311"/>
      <c r="H25" s="311"/>
      <c r="I25" s="311"/>
      <c r="J25" s="2027"/>
      <c r="K25" s="1253" t="str">
        <f ca="1">项目基本情况!B16&amp;"国有建设用地使用权价格："&amp;O38&amp;"万元"</f>
        <v>出让国有建设用地使用权价格：162077万元</v>
      </c>
      <c r="L25" s="1254"/>
      <c r="M25" s="1254"/>
      <c r="N25" s="1254"/>
      <c r="O25" s="1255"/>
      <c r="P25" s="2027"/>
      <c r="Q25" s="2027"/>
      <c r="R25" s="2027"/>
      <c r="S25" s="2027"/>
      <c r="T25" s="2027"/>
      <c r="U25" s="2027"/>
      <c r="V25" s="2027"/>
    </row>
    <row r="26" spans="1:26" s="1252" customFormat="1" ht="18">
      <c r="A26" s="293" t="s">
        <v>332</v>
      </c>
      <c r="B26" s="294" t="s">
        <v>333</v>
      </c>
      <c r="C26" s="294" t="s">
        <v>334</v>
      </c>
      <c r="D26" s="295" t="s">
        <v>335</v>
      </c>
      <c r="E26" s="311"/>
      <c r="F26" s="311"/>
      <c r="G26" s="311"/>
      <c r="H26" s="311"/>
      <c r="I26" s="311"/>
      <c r="J26" s="2027"/>
      <c r="K26" s="1256" t="str">
        <f ca="1">"大写金额：人民币"&amp;NUMBERSTRING(INT(O38*10000),2)&amp;"元整"</f>
        <v>大写金额：人民币壹拾陆亿贰仟零柒拾柒万元整</v>
      </c>
      <c r="L26" s="1250"/>
      <c r="M26" s="1250"/>
      <c r="N26" s="1250"/>
      <c r="O26" s="1249"/>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6" t="str">
        <f ca="1">"单位面积地价："&amp;M38&amp;"元/平方米"</f>
        <v>单位面积地价：105245元/平方米</v>
      </c>
      <c r="L27" s="1250"/>
      <c r="M27" s="1250"/>
      <c r="N27" s="1250"/>
      <c r="O27" s="1249"/>
      <c r="P27" s="2027"/>
      <c r="Q27" s="2027"/>
      <c r="R27" s="2027"/>
      <c r="S27" s="2027"/>
      <c r="T27" s="2027"/>
      <c r="U27" s="2027"/>
      <c r="V27" s="2027"/>
    </row>
    <row r="28" spans="1:26" ht="18.75" customHeight="1">
      <c r="A28" s="293"/>
      <c r="B28" s="294"/>
      <c r="C28" s="294"/>
      <c r="D28" s="295"/>
      <c r="E28" s="311"/>
      <c r="F28" s="311"/>
      <c r="G28" s="311"/>
      <c r="H28" s="311"/>
      <c r="I28" s="311"/>
      <c r="J28" s="2027"/>
      <c r="K28" s="1256" t="str">
        <f ca="1">"楼面地价："&amp;N38&amp;"元/平方米"</f>
        <v>楼面地价：37587元/平方米</v>
      </c>
      <c r="L28" s="1250"/>
      <c r="M28" s="1250"/>
      <c r="N28" s="1250"/>
      <c r="O28" s="1249"/>
      <c r="P28" s="2027"/>
      <c r="V28" s="2027"/>
    </row>
    <row r="29" spans="1:26" ht="18">
      <c r="A29" s="293"/>
      <c r="B29" s="294"/>
      <c r="C29" s="294"/>
      <c r="D29" s="295"/>
      <c r="E29" s="311"/>
      <c r="F29" s="311"/>
      <c r="G29" s="311"/>
      <c r="H29" s="311"/>
      <c r="I29" s="311"/>
      <c r="J29" s="2027"/>
      <c r="K29" s="1256" t="str">
        <f>IF(OR(项目基本情况!E8="抵押价格",项目基本情况!E8="已注销及未注销"),"抵押价格："&amp;O39&amp;"万元","——")</f>
        <v>——</v>
      </c>
      <c r="L29" s="1250"/>
      <c r="M29" s="1250"/>
      <c r="N29" s="1250"/>
      <c r="O29" s="1249"/>
      <c r="P29" s="2027"/>
      <c r="V29" s="2027"/>
    </row>
    <row r="30" spans="1:26" ht="18.75" thickBot="1">
      <c r="A30" s="3103" t="s">
        <v>336</v>
      </c>
      <c r="B30" s="309"/>
      <c r="C30" s="309"/>
      <c r="D30" s="310"/>
      <c r="E30" s="3104" t="s">
        <v>2969</v>
      </c>
      <c r="F30" s="311"/>
      <c r="G30" s="311"/>
      <c r="H30" s="311"/>
      <c r="I30" s="311"/>
      <c r="J30" s="2027"/>
      <c r="K30" s="1256" t="str">
        <f>IF(K29="——","——","大写金额：人民币"&amp;NUMBERSTRING(INT(O39*10000),2)&amp;"元整")</f>
        <v>——</v>
      </c>
      <c r="L30" s="1250"/>
      <c r="M30" s="1250"/>
      <c r="N30" s="1250"/>
      <c r="O30" s="1249"/>
      <c r="P30" s="2027"/>
      <c r="V30" s="2027"/>
    </row>
    <row r="31" spans="1:26" ht="24" customHeight="1" thickBot="1">
      <c r="A31" s="311"/>
      <c r="B31" s="311"/>
      <c r="C31" s="311"/>
      <c r="D31" s="311"/>
      <c r="E31" s="311"/>
      <c r="F31" s="311"/>
      <c r="G31" s="311"/>
      <c r="H31" s="311"/>
      <c r="I31" s="311"/>
      <c r="J31" s="2027"/>
      <c r="K31" s="2445" t="str">
        <f>IF(项目基本情况!E8="抵押价格","——","抵押担保权已注销时的抵押价格："&amp;O40&amp;"万元")</f>
        <v>抵押担保权已注销时的抵押价格：——万元</v>
      </c>
      <c r="L31" s="2441"/>
      <c r="M31" s="2441"/>
      <c r="N31" s="2441"/>
      <c r="O31" s="2442"/>
      <c r="P31" s="2027"/>
      <c r="V31" s="2027"/>
    </row>
    <row r="32" spans="1:26" ht="18.75" thickBot="1">
      <c r="A32" s="268" t="s">
        <v>337</v>
      </c>
      <c r="B32" s="1380" t="s">
        <v>1688</v>
      </c>
      <c r="C32" s="1381">
        <f ca="1">G19-C24</f>
        <v>162077</v>
      </c>
      <c r="D32" s="1382" t="s">
        <v>1689</v>
      </c>
      <c r="E32" s="311"/>
      <c r="F32" s="311"/>
      <c r="G32" s="311"/>
      <c r="H32" s="311"/>
      <c r="I32" s="311"/>
      <c r="J32" s="2027"/>
      <c r="K32" s="2440" t="e">
        <f>IF(K31="——","——","大写金额：人民币"&amp;NUMBERSTRING(INT(O40*10000),2)&amp;"元整")</f>
        <v>#VALUE!</v>
      </c>
      <c r="L32" s="2443"/>
      <c r="M32" s="2443"/>
      <c r="N32" s="2443"/>
      <c r="O32" s="2444"/>
      <c r="P32" s="2027"/>
      <c r="V32" s="2027"/>
    </row>
    <row r="33" spans="1:26" ht="18.75" thickBot="1">
      <c r="A33" s="298" t="s">
        <v>340</v>
      </c>
      <c r="B33" s="1383" t="s">
        <v>1690</v>
      </c>
      <c r="C33" s="264">
        <f ca="1">ROUND(C32*10000/'数据-汇总表'!E3,0)</f>
        <v>37587</v>
      </c>
      <c r="D33" s="1384" t="s">
        <v>1691</v>
      </c>
      <c r="E33" s="3355" t="s">
        <v>338</v>
      </c>
      <c r="F33" s="296" t="s">
        <v>339</v>
      </c>
      <c r="G33" s="297"/>
      <c r="H33" s="978"/>
      <c r="I33" s="1257"/>
      <c r="J33" s="2027"/>
      <c r="K33" s="1256" t="str">
        <f>IF(项目基本情况!E9="——","——","抵押净值："&amp;C46&amp;"万元")</f>
        <v>抵押净值：——万元</v>
      </c>
      <c r="L33" s="1250"/>
      <c r="M33" s="1250"/>
      <c r="N33" s="1250"/>
      <c r="O33" s="1249"/>
      <c r="P33" s="2027"/>
      <c r="V33" s="2027"/>
    </row>
    <row r="34" spans="1:26" s="1252" customFormat="1" ht="18.75" thickBot="1">
      <c r="A34" s="300"/>
      <c r="B34" s="1385" t="s">
        <v>1692</v>
      </c>
      <c r="C34" s="264">
        <f ca="1">ROUND(C32*10000/'数据-汇总表'!D3,0)</f>
        <v>105245</v>
      </c>
      <c r="D34" s="1386" t="s">
        <v>1691</v>
      </c>
      <c r="E34" s="3396"/>
      <c r="F34" s="127" t="s">
        <v>341</v>
      </c>
      <c r="G34" s="299"/>
      <c r="H34" s="105"/>
      <c r="I34" s="311"/>
      <c r="J34" s="2027"/>
      <c r="K34" s="1259" t="e">
        <f>IF(K33="——","——","大写金额：人民币"&amp;NUMBERSTRING(INT(O41*10000),2)&amp;"元整")</f>
        <v>#VALUE!</v>
      </c>
      <c r="L34" s="1260"/>
      <c r="M34" s="1260"/>
      <c r="N34" s="1260"/>
      <c r="O34" s="1261"/>
      <c r="P34" s="2027"/>
      <c r="Q34" s="292"/>
      <c r="R34" s="292"/>
      <c r="S34" s="292"/>
      <c r="T34" s="292"/>
      <c r="U34" s="292"/>
      <c r="V34" s="2027"/>
      <c r="W34" s="292"/>
      <c r="X34" s="292"/>
      <c r="Y34" s="292"/>
      <c r="Z34" s="292"/>
    </row>
    <row r="35" spans="1:26" ht="15.75" thickBot="1">
      <c r="A35" s="284"/>
      <c r="B35" s="1387"/>
      <c r="C35" s="1388">
        <f ca="1">ROUND(C32/('数据-汇总表'!D3/666.67),0)</f>
        <v>7016</v>
      </c>
      <c r="D35" s="1389" t="s">
        <v>1693</v>
      </c>
      <c r="E35" s="3397"/>
      <c r="F35" s="301" t="s">
        <v>342</v>
      </c>
      <c r="G35" s="980"/>
      <c r="H35" s="979" t="s">
        <v>343</v>
      </c>
      <c r="I35" s="311"/>
      <c r="J35" s="2027"/>
      <c r="K35" s="3370" t="s">
        <v>350</v>
      </c>
      <c r="L35" s="3370" t="s">
        <v>351</v>
      </c>
      <c r="M35" s="1262" t="s">
        <v>352</v>
      </c>
      <c r="N35" s="3370" t="s">
        <v>353</v>
      </c>
      <c r="O35" s="3370" t="s">
        <v>354</v>
      </c>
      <c r="P35" s="2027"/>
      <c r="V35" s="2027"/>
    </row>
    <row r="36" spans="1:26" ht="16.5" customHeight="1">
      <c r="A36" s="303" t="s">
        <v>344</v>
      </c>
      <c r="B36" s="304" t="s">
        <v>333</v>
      </c>
      <c r="C36" s="305" t="s">
        <v>345</v>
      </c>
      <c r="D36" s="305" t="s">
        <v>346</v>
      </c>
      <c r="E36" s="306" t="s">
        <v>347</v>
      </c>
      <c r="F36" s="311"/>
      <c r="G36" s="311"/>
      <c r="H36" s="311"/>
      <c r="I36" s="311"/>
      <c r="J36" s="2029"/>
      <c r="K36" s="3371"/>
      <c r="L36" s="3371"/>
      <c r="M36" s="1264" t="s">
        <v>355</v>
      </c>
      <c r="N36" s="3371"/>
      <c r="O36" s="3371"/>
      <c r="P36" s="2027"/>
      <c r="V36" s="2027"/>
    </row>
    <row r="37" spans="1:26" ht="16.5" customHeight="1" thickBot="1">
      <c r="A37" s="1258" t="s">
        <v>348</v>
      </c>
      <c r="B37" s="307"/>
      <c r="C37" s="294"/>
      <c r="D37" s="294"/>
      <c r="E37" s="295"/>
      <c r="F37" s="311"/>
      <c r="G37" s="311"/>
      <c r="H37" s="311"/>
      <c r="I37" s="311"/>
      <c r="J37" s="2029"/>
      <c r="K37" s="3372"/>
      <c r="L37" s="3372"/>
      <c r="M37" s="1265"/>
      <c r="N37" s="3372"/>
      <c r="O37" s="3372"/>
      <c r="P37" s="2027"/>
      <c r="V37" s="2027"/>
    </row>
    <row r="38" spans="1:26" ht="16.5" customHeight="1" thickBot="1">
      <c r="A38" s="1258" t="s">
        <v>349</v>
      </c>
      <c r="B38" s="307"/>
      <c r="C38" s="294"/>
      <c r="D38" s="294"/>
      <c r="E38" s="295"/>
      <c r="F38" s="311"/>
      <c r="G38" s="311"/>
      <c r="H38" s="311"/>
      <c r="I38" s="311"/>
      <c r="J38" s="2029"/>
      <c r="K38" s="1266">
        <f>'数据-汇总表'!D3</f>
        <v>15400</v>
      </c>
      <c r="L38" s="1267">
        <f>'数据-汇总表'!E3</f>
        <v>43120</v>
      </c>
      <c r="M38" s="1267">
        <f ca="1">C34</f>
        <v>105245</v>
      </c>
      <c r="N38" s="1267">
        <f ca="1">C33</f>
        <v>37587</v>
      </c>
      <c r="O38" s="1268">
        <f ca="1">C32</f>
        <v>162077</v>
      </c>
      <c r="P38" s="2027"/>
      <c r="V38" s="2027"/>
    </row>
    <row r="39" spans="1:26" ht="16.5" customHeight="1" thickBot="1">
      <c r="A39" s="1263"/>
      <c r="B39" s="308"/>
      <c r="C39" s="309"/>
      <c r="D39" s="309"/>
      <c r="E39" s="310"/>
      <c r="F39" s="311"/>
      <c r="G39" s="311"/>
      <c r="H39" s="311"/>
      <c r="I39" s="311"/>
      <c r="J39" s="2029"/>
      <c r="K39" s="3415" t="str">
        <f>MID(A44,3,LEN(A44)-2)</f>
        <v/>
      </c>
      <c r="L39" s="3416"/>
      <c r="M39" s="3416"/>
      <c r="N39" s="3417"/>
      <c r="O39" s="1391" t="str">
        <f>C44</f>
        <v>——</v>
      </c>
      <c r="P39" s="2027"/>
      <c r="V39" s="2027"/>
    </row>
    <row r="40" spans="1:26" ht="19.5" thickBot="1">
      <c r="A40" s="104" t="s">
        <v>872</v>
      </c>
      <c r="B40" s="311"/>
      <c r="C40" s="311"/>
      <c r="D40" s="311"/>
      <c r="E40" s="311"/>
      <c r="F40" s="311"/>
      <c r="G40" s="311"/>
      <c r="H40" s="311"/>
      <c r="I40" s="311"/>
      <c r="J40" s="2029"/>
      <c r="K40" s="3415" t="str">
        <f t="shared" ref="K40:K41" si="0">MID(A45,3,LEN(A45)-2)</f>
        <v/>
      </c>
      <c r="L40" s="3416"/>
      <c r="M40" s="3416"/>
      <c r="N40" s="3417"/>
      <c r="O40" s="1391" t="str">
        <f>C45</f>
        <v>——</v>
      </c>
      <c r="P40" s="2027"/>
      <c r="V40" s="2027"/>
    </row>
    <row r="41" spans="1:26" ht="16.5" thickBot="1">
      <c r="A41" s="312" t="s">
        <v>356</v>
      </c>
      <c r="B41" s="313"/>
      <c r="C41" s="314" t="s">
        <v>357</v>
      </c>
      <c r="D41" s="315" t="s">
        <v>358</v>
      </c>
      <c r="E41" s="315" t="s">
        <v>359</v>
      </c>
      <c r="F41" s="316" t="s">
        <v>360</v>
      </c>
      <c r="G41" s="311"/>
      <c r="H41" s="311"/>
      <c r="I41" s="311"/>
      <c r="J41" s="2029"/>
      <c r="K41" s="3415" t="str">
        <f t="shared" si="0"/>
        <v/>
      </c>
      <c r="L41" s="3416"/>
      <c r="M41" s="3416"/>
      <c r="N41" s="3417"/>
      <c r="O41" s="1391" t="str">
        <f>C46</f>
        <v>——</v>
      </c>
      <c r="P41" s="2027"/>
      <c r="V41" s="2027"/>
    </row>
    <row r="42" spans="1:26" ht="29.25">
      <c r="A42" s="3357" t="s">
        <v>2067</v>
      </c>
      <c r="B42" s="3358"/>
      <c r="C42" s="264">
        <f ca="1">C32</f>
        <v>162077</v>
      </c>
      <c r="D42" s="317">
        <f ca="1">C33</f>
        <v>37587</v>
      </c>
      <c r="E42" s="317">
        <f ca="1">C34</f>
        <v>105245</v>
      </c>
      <c r="F42" s="318">
        <f ca="1">C35</f>
        <v>7016</v>
      </c>
      <c r="G42" s="311"/>
      <c r="H42" s="311"/>
      <c r="I42" s="319"/>
      <c r="J42" s="2029"/>
      <c r="K42" s="1269" t="s">
        <v>361</v>
      </c>
      <c r="L42" s="2046" t="s">
        <v>362</v>
      </c>
      <c r="M42" s="1270" t="s">
        <v>363</v>
      </c>
      <c r="N42" s="2047" t="s">
        <v>364</v>
      </c>
      <c r="O42" s="2048" t="s">
        <v>365</v>
      </c>
      <c r="P42" s="2027"/>
      <c r="V42" s="2027"/>
    </row>
    <row r="43" spans="1:26" ht="30">
      <c r="A43" s="3368" t="s">
        <v>2729</v>
      </c>
      <c r="B43" s="3369"/>
      <c r="C43" s="264">
        <f>IF(H33="正常操作",G33+G34+G35,G34+G35)</f>
        <v>0</v>
      </c>
      <c r="D43" s="317" t="s">
        <v>43</v>
      </c>
      <c r="E43" s="317" t="s">
        <v>44</v>
      </c>
      <c r="F43" s="318" t="s">
        <v>44</v>
      </c>
      <c r="G43" s="2842" t="s">
        <v>951</v>
      </c>
      <c r="H43" s="311"/>
      <c r="I43" s="319"/>
      <c r="J43" s="2029"/>
      <c r="K43" s="1271" t="str">
        <f>C4</f>
        <v>比较法-住宅、综合</v>
      </c>
      <c r="L43" s="1272">
        <f ca="1">IF(L42="估价结果/万元",C19,C20)</f>
        <v>155655</v>
      </c>
      <c r="M43" s="1273">
        <f>C18</f>
        <v>0.5</v>
      </c>
      <c r="N43" s="1274">
        <f ca="1">IF(N42="测算结果/万元",G19,G20)</f>
        <v>162077</v>
      </c>
      <c r="O43" s="1275">
        <f ca="1">IF(O42="最终结果/万元",C32,C33)</f>
        <v>162077</v>
      </c>
      <c r="P43" s="2027"/>
      <c r="V43" s="2027"/>
    </row>
    <row r="44" spans="1:26" ht="30.75" thickBot="1">
      <c r="A44" s="3357" t="str">
        <f>IF(OR(项目基本情况!E8="抵押价格",项目基本情况!E8="已注销及未注销"),"3.抵押价格","——")</f>
        <v>——</v>
      </c>
      <c r="B44" s="3358"/>
      <c r="C44" s="264" t="str">
        <f>IF(A44="——","——",C42-C43)</f>
        <v>——</v>
      </c>
      <c r="D44" s="317" t="e">
        <f>ROUND(C44*10000/'数据-汇总表'!E3,0)</f>
        <v>#VALUE!</v>
      </c>
      <c r="E44" s="317" t="e">
        <f>ROUND(C44*10000/'数据-汇总表'!D3,0)</f>
        <v>#VALUE!</v>
      </c>
      <c r="F44" s="318" t="e">
        <f>ROUND(C44/('数据-汇总表'!D3/666.67),0)</f>
        <v>#VALUE!</v>
      </c>
      <c r="G44" s="311"/>
      <c r="H44" s="311"/>
      <c r="I44" s="319"/>
      <c r="J44" s="2029"/>
      <c r="K44" s="1276" t="str">
        <f>D4</f>
        <v>剩余法-待开发</v>
      </c>
      <c r="L44" s="1277">
        <f ca="1">IF(L42="估价结果/万元",D19,D20)</f>
        <v>168499</v>
      </c>
      <c r="M44" s="1278">
        <f>D18</f>
        <v>0.5</v>
      </c>
      <c r="N44" s="1279"/>
      <c r="O44" s="1280"/>
      <c r="P44" s="2027"/>
      <c r="V44" s="2027"/>
    </row>
    <row r="45" spans="1:26" ht="15">
      <c r="A45" s="3363" t="str">
        <f>IF(项目基本情况!E8="已注销及未注销","4.抵押担保权已注销时的抵押价格",IF(项目基本情况!E8="已注销","3.抵押担保权已注销时的抵押价格","——"))</f>
        <v>——</v>
      </c>
      <c r="B45" s="336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59" t="str">
        <f>IF(项目基本情况!E9="抵押净值",IF(A45="——","4.抵押净值","5.抵押净值"),"——")</f>
        <v>——</v>
      </c>
      <c r="B46" s="336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1"/>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404" t="s">
        <v>374</v>
      </c>
      <c r="B63" s="3405"/>
      <c r="C63" s="3406"/>
      <c r="D63" s="341">
        <f ca="1">ROUND(C42*F63,0)</f>
        <v>97246</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65" t="s">
        <v>378</v>
      </c>
      <c r="B64" s="3366"/>
      <c r="C64" s="3366"/>
      <c r="D64" s="3366"/>
      <c r="E64" s="3366"/>
      <c r="F64" s="3366"/>
      <c r="G64" s="3367"/>
      <c r="H64" s="1286"/>
      <c r="I64" s="948"/>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6"/>
      <c r="I65" s="948"/>
      <c r="J65" s="1989"/>
      <c r="K65" s="1287"/>
      <c r="L65" s="1288"/>
      <c r="M65" s="1288"/>
      <c r="N65" s="1320" t="s">
        <v>379</v>
      </c>
      <c r="O65" s="1321"/>
      <c r="P65" s="1322"/>
      <c r="Q65" s="2027"/>
      <c r="R65" s="2027"/>
      <c r="S65" s="2027"/>
      <c r="T65" s="2027"/>
      <c r="U65" s="2027"/>
      <c r="V65" s="2027"/>
    </row>
    <row r="66" spans="1:22" ht="25.5">
      <c r="A66" s="3361" t="s">
        <v>386</v>
      </c>
      <c r="B66" s="3362"/>
      <c r="C66" s="3362"/>
      <c r="D66" s="261">
        <f ca="1">IF(H66="情况1",0,IF(H66="情况2",D70,IF(H66="情况3",D71,IF(H66="情况4",D72))))</f>
        <v>5186</v>
      </c>
      <c r="E66" s="991" t="str">
        <f>IF(H66="情况4","(销售额-原购置价)×税（费）率","销售额×税（费）率")</f>
        <v>销售额×税（费）率</v>
      </c>
      <c r="F66" s="350">
        <f>IF(H66="情况1","免征",'数据-取费表'!B41)</f>
        <v>5.6000000000000001E-2</v>
      </c>
      <c r="G66" s="351" t="s">
        <v>387</v>
      </c>
      <c r="H66" s="191" t="s">
        <v>388</v>
      </c>
      <c r="I66" s="1286"/>
      <c r="J66" s="2033"/>
      <c r="K66" s="1289">
        <v>1</v>
      </c>
      <c r="L66" s="3419" t="s">
        <v>385</v>
      </c>
      <c r="M66" s="3420"/>
      <c r="N66" s="2435"/>
      <c r="O66" s="2436"/>
      <c r="P66" s="2437"/>
      <c r="Q66" s="2027"/>
      <c r="R66" s="2027"/>
      <c r="S66" s="2027"/>
      <c r="T66" s="2027"/>
      <c r="U66" s="2027"/>
      <c r="V66" s="2027"/>
    </row>
    <row r="67" spans="1:22" ht="25.5" customHeight="1">
      <c r="A67" s="352" t="s">
        <v>390</v>
      </c>
      <c r="B67" s="3352" t="s">
        <v>391</v>
      </c>
      <c r="C67" s="3352"/>
      <c r="D67" s="353">
        <v>0</v>
      </c>
      <c r="E67" s="41" t="s">
        <v>392</v>
      </c>
      <c r="F67" s="62" t="s">
        <v>21</v>
      </c>
      <c r="G67" s="3407"/>
      <c r="H67" s="311"/>
      <c r="I67" s="1290"/>
      <c r="J67" s="2034"/>
      <c r="K67" s="1975">
        <v>2</v>
      </c>
      <c r="L67" s="3418" t="s">
        <v>389</v>
      </c>
      <c r="M67" s="3418"/>
      <c r="N67" s="1323">
        <f>'数据-取费表'!B2</f>
        <v>43510</v>
      </c>
      <c r="O67" s="1323"/>
      <c r="P67" s="1323"/>
      <c r="Q67" s="2027"/>
      <c r="R67" s="2027"/>
      <c r="S67" s="2027"/>
      <c r="T67" s="2027"/>
      <c r="U67" s="2027"/>
      <c r="V67" s="2027"/>
    </row>
    <row r="68" spans="1:22" ht="25.5" customHeight="1">
      <c r="A68" s="354"/>
      <c r="B68" s="3352" t="s">
        <v>394</v>
      </c>
      <c r="C68" s="3352"/>
      <c r="D68" s="355"/>
      <c r="E68" s="77"/>
      <c r="F68" s="356"/>
      <c r="G68" s="3408"/>
      <c r="H68" s="311"/>
      <c r="I68" s="1290"/>
      <c r="J68" s="2034"/>
      <c r="K68" s="1975">
        <v>3</v>
      </c>
      <c r="L68" s="3418" t="s">
        <v>393</v>
      </c>
      <c r="M68" s="3418"/>
      <c r="N68" s="1291">
        <f ca="1">C42</f>
        <v>162077</v>
      </c>
      <c r="O68" s="1291"/>
      <c r="P68" s="1291"/>
      <c r="Q68" s="2027"/>
      <c r="R68" s="2027"/>
      <c r="S68" s="2027"/>
      <c r="T68" s="2027"/>
      <c r="U68" s="2027"/>
      <c r="V68" s="2027"/>
    </row>
    <row r="69" spans="1:22" ht="12" customHeight="1">
      <c r="A69" s="357"/>
      <c r="B69" s="3352" t="s">
        <v>395</v>
      </c>
      <c r="C69" s="3352"/>
      <c r="D69" s="358"/>
      <c r="E69" s="73"/>
      <c r="F69" s="356"/>
      <c r="G69" s="3409"/>
      <c r="H69" s="311"/>
      <c r="I69" s="1290"/>
      <c r="J69" s="2034"/>
      <c r="K69" s="1292">
        <v>4</v>
      </c>
      <c r="L69" s="3423" t="s">
        <v>2882</v>
      </c>
      <c r="M69" s="3424"/>
      <c r="N69" s="1293" t="str">
        <f>C44</f>
        <v>——</v>
      </c>
      <c r="O69" s="1293"/>
      <c r="P69" s="1293"/>
      <c r="Q69" s="2027"/>
      <c r="R69" s="2027"/>
      <c r="S69" s="2027"/>
      <c r="T69" s="2027"/>
      <c r="U69" s="2027"/>
      <c r="V69" s="2027"/>
    </row>
    <row r="70" spans="1:22" ht="24" customHeight="1">
      <c r="A70" s="359" t="s">
        <v>396</v>
      </c>
      <c r="B70" s="3352" t="s">
        <v>397</v>
      </c>
      <c r="C70" s="3352"/>
      <c r="D70" s="358">
        <f ca="1">ROUND(D63*'数据-取费表'!B41/(1+'数据-取费表'!C42),0)</f>
        <v>5186</v>
      </c>
      <c r="E70" s="17" t="s">
        <v>398</v>
      </c>
      <c r="F70" s="360">
        <f>'数据-取费表'!B41</f>
        <v>5.6000000000000001E-2</v>
      </c>
      <c r="G70" s="361"/>
      <c r="H70" s="311"/>
      <c r="I70" s="1290"/>
      <c r="J70" s="2034"/>
      <c r="K70" s="3035"/>
      <c r="L70" s="3036"/>
      <c r="M70" s="3036"/>
      <c r="N70" s="3037" t="s">
        <v>2887</v>
      </c>
      <c r="O70" s="3036"/>
      <c r="P70" s="3038"/>
      <c r="Q70" s="2027"/>
      <c r="R70" s="2027"/>
      <c r="S70" s="2027"/>
      <c r="T70" s="2027"/>
      <c r="U70" s="2027"/>
      <c r="V70" s="2027"/>
    </row>
    <row r="71" spans="1:22" ht="12" customHeight="1">
      <c r="A71" s="359" t="s">
        <v>404</v>
      </c>
      <c r="B71" s="3353" t="s">
        <v>405</v>
      </c>
      <c r="C71" s="3354"/>
      <c r="D71" s="358">
        <f ca="1">ROUND(D63*'数据-取费表'!B41/(1+'数据-取费表'!C42),0)</f>
        <v>5186</v>
      </c>
      <c r="E71" s="17" t="s">
        <v>398</v>
      </c>
      <c r="F71" s="360">
        <f>'数据-取费表'!B41</f>
        <v>5.6000000000000001E-2</v>
      </c>
      <c r="G71" s="361"/>
      <c r="H71" s="311"/>
      <c r="I71" s="1290"/>
      <c r="J71" s="2034"/>
      <c r="K71" s="3034" t="s">
        <v>399</v>
      </c>
      <c r="L71" s="3425" t="s">
        <v>400</v>
      </c>
      <c r="M71" s="3425"/>
      <c r="N71" s="3034" t="s">
        <v>401</v>
      </c>
      <c r="O71" s="3034" t="s">
        <v>402</v>
      </c>
      <c r="P71" s="3034" t="s">
        <v>403</v>
      </c>
      <c r="Q71" s="2027"/>
      <c r="R71" s="2027"/>
      <c r="S71" s="2027"/>
      <c r="T71" s="2027"/>
      <c r="U71" s="2027"/>
      <c r="V71" s="2027"/>
    </row>
    <row r="72" spans="1:22" ht="12" customHeight="1">
      <c r="A72" s="359" t="s">
        <v>407</v>
      </c>
      <c r="B72" s="3353" t="s">
        <v>408</v>
      </c>
      <c r="C72" s="3354"/>
      <c r="D72" s="358">
        <f ca="1">C86</f>
        <v>5074</v>
      </c>
      <c r="E72" s="73" t="s">
        <v>409</v>
      </c>
      <c r="F72" s="360">
        <f>'数据-取费表'!B41</f>
        <v>5.6000000000000001E-2</v>
      </c>
      <c r="G72" s="361"/>
      <c r="H72" s="1296"/>
      <c r="I72" s="1290"/>
      <c r="J72" s="2034"/>
      <c r="K72" s="1975">
        <v>1</v>
      </c>
      <c r="L72" s="3400" t="s">
        <v>406</v>
      </c>
      <c r="M72" s="3400"/>
      <c r="N72" s="1294">
        <f ca="1">D66</f>
        <v>5186</v>
      </c>
      <c r="O72" s="1858" t="str">
        <f>E66</f>
        <v>销售额×税（费）率</v>
      </c>
      <c r="P72" s="1295">
        <f>F66</f>
        <v>5.6000000000000001E-2</v>
      </c>
      <c r="Q72" s="2027"/>
      <c r="R72" s="2027"/>
      <c r="S72" s="2027"/>
      <c r="T72" s="2027"/>
      <c r="U72" s="2027"/>
      <c r="V72" s="2027"/>
    </row>
    <row r="73" spans="1:22" ht="24" customHeight="1">
      <c r="A73" s="3394" t="s">
        <v>411</v>
      </c>
      <c r="B73" s="3362"/>
      <c r="C73" s="3362"/>
      <c r="D73" s="362">
        <f>IF(H73="个人住宅",0,ROUND(D63*I73,0))</f>
        <v>0</v>
      </c>
      <c r="E73" s="17" t="s">
        <v>412</v>
      </c>
      <c r="F73" s="360" t="str">
        <f>IF(H73="正常",I73,"免征")</f>
        <v>免征</v>
      </c>
      <c r="G73" s="361"/>
      <c r="H73" s="191" t="s">
        <v>2455</v>
      </c>
      <c r="I73" s="360">
        <f>'数据-取费表'!B49</f>
        <v>5.0000000000000001E-4</v>
      </c>
      <c r="J73" s="2034"/>
      <c r="K73" s="1975">
        <v>2</v>
      </c>
      <c r="L73" s="3400" t="s">
        <v>410</v>
      </c>
      <c r="M73" s="3400"/>
      <c r="N73" s="1294">
        <f t="shared" ref="N73:P74" si="1">D73</f>
        <v>0</v>
      </c>
      <c r="O73" s="1858" t="str">
        <f t="shared" si="1"/>
        <v>销售额×税（费）率</v>
      </c>
      <c r="P73" s="1295" t="str">
        <f t="shared" si="1"/>
        <v>免征</v>
      </c>
      <c r="Q73" s="2027"/>
      <c r="R73" s="2027"/>
      <c r="S73" s="2027"/>
      <c r="T73" s="2027"/>
      <c r="U73" s="2027"/>
      <c r="V73" s="2027"/>
    </row>
    <row r="74" spans="1:22" ht="24.75">
      <c r="A74" s="3394" t="s">
        <v>415</v>
      </c>
      <c r="B74" s="3362"/>
      <c r="C74" s="3362"/>
      <c r="D74" s="362">
        <f ca="1">IF(H74="个人住宅",D75,D76)</f>
        <v>54385</v>
      </c>
      <c r="E74" s="17" t="s">
        <v>416</v>
      </c>
      <c r="F74" s="360" t="str">
        <f>IF(H74="正常",F76,"免征")</f>
        <v>——</v>
      </c>
      <c r="G74" s="981" t="s">
        <v>417</v>
      </c>
      <c r="H74" s="363" t="s">
        <v>413</v>
      </c>
      <c r="I74" s="42"/>
      <c r="J74" s="2034"/>
      <c r="K74" s="1975">
        <v>3</v>
      </c>
      <c r="L74" s="3400" t="s">
        <v>414</v>
      </c>
      <c r="M74" s="3400"/>
      <c r="N74" s="1294">
        <f t="shared" ca="1" si="1"/>
        <v>54385</v>
      </c>
      <c r="O74" s="1858" t="str">
        <f t="shared" si="1"/>
        <v>增值额×税（费）率</v>
      </c>
      <c r="P74" s="1297" t="str">
        <f t="shared" si="1"/>
        <v>——</v>
      </c>
      <c r="Q74" s="2027"/>
      <c r="R74" s="2027"/>
      <c r="S74" s="2027"/>
      <c r="T74" s="2027"/>
      <c r="U74" s="2027"/>
      <c r="V74" s="2027"/>
    </row>
    <row r="75" spans="1:22" ht="24">
      <c r="A75" s="359" t="s">
        <v>418</v>
      </c>
      <c r="B75" s="3350" t="s">
        <v>419</v>
      </c>
      <c r="C75" s="3380"/>
      <c r="D75" s="364">
        <v>0</v>
      </c>
      <c r="E75" s="41" t="s">
        <v>420</v>
      </c>
      <c r="F75" s="365"/>
      <c r="G75" s="361"/>
      <c r="H75" s="42"/>
      <c r="I75" s="42"/>
      <c r="J75" s="2034"/>
      <c r="K75" s="3027">
        <f>IF(H77="非个人房产","",4)</f>
        <v>4</v>
      </c>
      <c r="L75" s="3400" t="str">
        <f>IF(H77="非个人房产","——","个人所得税")</f>
        <v>个人所得税</v>
      </c>
      <c r="M75" s="3400"/>
      <c r="N75" s="1298">
        <f ca="1">D77</f>
        <v>972</v>
      </c>
      <c r="O75" s="1871" t="str">
        <f>E77</f>
        <v>销售额×税（费）率</v>
      </c>
      <c r="P75" s="1299">
        <f>F77</f>
        <v>0.01</v>
      </c>
      <c r="Q75" s="2027"/>
      <c r="R75" s="2027"/>
      <c r="S75" s="2027"/>
      <c r="T75" s="2027"/>
      <c r="U75" s="2027"/>
      <c r="V75" s="2027"/>
    </row>
    <row r="76" spans="1:22" ht="24.75">
      <c r="A76" s="359" t="s">
        <v>396</v>
      </c>
      <c r="B76" s="3350" t="s">
        <v>422</v>
      </c>
      <c r="C76" s="3351"/>
      <c r="D76" s="362">
        <f ca="1">IF(H76="转让取得",C99,C115)</f>
        <v>54385</v>
      </c>
      <c r="E76" s="17" t="s">
        <v>423</v>
      </c>
      <c r="F76" s="53" t="s">
        <v>21</v>
      </c>
      <c r="G76" s="361"/>
      <c r="H76" s="363" t="s">
        <v>424</v>
      </c>
      <c r="I76" s="42"/>
      <c r="J76" s="2034"/>
      <c r="K76" s="3027" t="str">
        <f>IF(项目基本情况!K6="上海银行",IF(K75="",4,K75+1),"")</f>
        <v/>
      </c>
      <c r="L76" s="3411" t="str">
        <f>IF(项目基本情况!K6="上海银行","其他处置费用","")</f>
        <v/>
      </c>
      <c r="M76" s="3412"/>
      <c r="N76" s="1294" t="str">
        <f>IF(项目基本情况!K6="上海银行",N89,"")</f>
        <v/>
      </c>
      <c r="O76" s="3413" t="str">
        <f>IF(项目基本情况!K6="上海银行","包含处置中涉及的律师、诉讼、拍卖、评估等费用","")</f>
        <v/>
      </c>
      <c r="P76" s="3414"/>
      <c r="Q76" s="2027"/>
      <c r="R76" s="2027"/>
      <c r="S76" s="2027"/>
      <c r="T76" s="2027"/>
      <c r="U76" s="2027"/>
      <c r="V76" s="2027"/>
    </row>
    <row r="77" spans="1:22" ht="26.25" thickBot="1">
      <c r="A77" s="3402" t="s">
        <v>426</v>
      </c>
      <c r="B77" s="3403"/>
      <c r="C77" s="3403"/>
      <c r="D77" s="366">
        <f ca="1">IF(H77="非个人房产","——",IF(H77="个人住宅",0,ROUND(D63*I77,0)))</f>
        <v>972</v>
      </c>
      <c r="E77" s="367" t="str">
        <f>IF(H77="非个人房产","——","销售额×税（费）率")</f>
        <v>销售额×税（费）率</v>
      </c>
      <c r="F77" s="368">
        <f>IF(H77="非个人房产","——",IF(H77="个人住宅","免征",I77))</f>
        <v>0.01</v>
      </c>
      <c r="G77" s="982" t="s">
        <v>417</v>
      </c>
      <c r="H77" s="363" t="s">
        <v>2883</v>
      </c>
      <c r="I77" s="369">
        <v>0.01</v>
      </c>
      <c r="J77" s="2034"/>
      <c r="K77" s="3401">
        <f>IF(AND(K75="",K76=""),4,IF(项目基本情况!K6="上海银行",K76+1,K75+1))</f>
        <v>5</v>
      </c>
      <c r="L77" s="3400" t="s">
        <v>2884</v>
      </c>
      <c r="M77" s="3033" t="s">
        <v>421</v>
      </c>
      <c r="N77" s="1300"/>
      <c r="O77" s="1301">
        <f ca="1">SUMIF(N72:N76,"&lt;9e307")</f>
        <v>60543</v>
      </c>
      <c r="P77" s="1302"/>
      <c r="Q77" s="3031" t="e">
        <f ca="1">O77/N69</f>
        <v>#VALUE!</v>
      </c>
      <c r="R77" s="2027"/>
      <c r="S77" s="2027"/>
      <c r="T77" s="2027"/>
      <c r="U77" s="2027"/>
      <c r="V77" s="2027"/>
    </row>
    <row r="78" spans="1:22" ht="12" customHeight="1">
      <c r="A78" s="1303"/>
      <c r="B78" s="311"/>
      <c r="C78" s="311"/>
      <c r="D78" s="311"/>
      <c r="E78" s="42"/>
      <c r="F78" s="42"/>
      <c r="G78" s="42"/>
      <c r="H78" s="1001"/>
      <c r="I78" s="311"/>
      <c r="J78" s="2034"/>
      <c r="K78" s="3401"/>
      <c r="L78" s="3400"/>
      <c r="M78" s="3033" t="s">
        <v>425</v>
      </c>
      <c r="N78" s="1300"/>
      <c r="O78" s="1301" t="str">
        <f ca="1">NUMBERSTRING(INT(O77*10000),2)&amp;"元整"</f>
        <v>陆亿零伍佰肆拾叁万元整</v>
      </c>
      <c r="P78" s="1302"/>
      <c r="Q78" s="2027"/>
      <c r="R78" s="2027"/>
      <c r="S78" s="2027"/>
      <c r="T78" s="2027"/>
      <c r="U78" s="2027"/>
      <c r="V78" s="2027"/>
    </row>
    <row r="79" spans="1:22" ht="13.5" thickBot="1">
      <c r="A79" s="3395" t="s">
        <v>427</v>
      </c>
      <c r="B79" s="3395"/>
      <c r="C79" s="3395"/>
      <c r="D79" s="3395"/>
      <c r="E79" s="3395"/>
      <c r="F79" s="42"/>
      <c r="G79" s="42"/>
      <c r="H79" s="1001"/>
      <c r="I79" s="311"/>
      <c r="J79" s="2034"/>
      <c r="K79" s="3421">
        <f>K77+1</f>
        <v>6</v>
      </c>
      <c r="L79" s="3400" t="s">
        <v>2885</v>
      </c>
      <c r="M79" s="3033" t="s">
        <v>421</v>
      </c>
      <c r="N79" s="1300"/>
      <c r="O79" s="1301" t="e">
        <f ca="1">N69-O77</f>
        <v>#VALUE!</v>
      </c>
      <c r="P79" s="1302"/>
      <c r="Q79" s="2027"/>
      <c r="R79" s="2027"/>
      <c r="S79" s="2027"/>
      <c r="T79" s="2027"/>
      <c r="U79" s="2027"/>
      <c r="V79" s="2027"/>
    </row>
    <row r="80" spans="1:22" ht="12.75">
      <c r="A80" s="3390" t="s">
        <v>428</v>
      </c>
      <c r="B80" s="3391"/>
      <c r="C80" s="992"/>
      <c r="D80" s="992" t="s">
        <v>429</v>
      </c>
      <c r="E80" s="370" t="s">
        <v>430</v>
      </c>
      <c r="F80" s="42"/>
      <c r="G80" s="42"/>
      <c r="H80" s="1001"/>
      <c r="I80" s="311"/>
      <c r="J80" s="2027"/>
      <c r="K80" s="3422"/>
      <c r="L80" s="3400"/>
      <c r="M80" s="3033" t="s">
        <v>425</v>
      </c>
      <c r="N80" s="1300"/>
      <c r="O80" s="1301" t="e">
        <f ca="1">NUMBERSTRING(INT(O79*10000),2)&amp;"元整"</f>
        <v>#VALUE!</v>
      </c>
      <c r="P80" s="1302"/>
      <c r="Q80" s="2027"/>
      <c r="R80" s="2027"/>
      <c r="S80" s="2027"/>
      <c r="T80" s="2027"/>
      <c r="U80" s="2027"/>
      <c r="V80" s="2027"/>
    </row>
    <row r="81" spans="1:26" ht="13.5" thickBot="1">
      <c r="A81" s="381" t="s">
        <v>1823</v>
      </c>
      <c r="B81" s="371" t="s">
        <v>431</v>
      </c>
      <c r="C81" s="372">
        <f ca="1">ROUND((C82+C83)/(1+'数据-取费表'!C42),0)</f>
        <v>92615</v>
      </c>
      <c r="D81" s="373"/>
      <c r="E81" s="374"/>
      <c r="F81" s="42"/>
      <c r="G81" s="42"/>
      <c r="H81" s="1001"/>
      <c r="I81" s="311"/>
      <c r="J81" s="2027"/>
      <c r="K81" s="3027">
        <f>K79+1</f>
        <v>7</v>
      </c>
      <c r="L81" s="3398" t="s">
        <v>2886</v>
      </c>
      <c r="M81" s="3399"/>
      <c r="N81" s="1304"/>
      <c r="O81" s="1305" t="e">
        <f ca="1">ROUND(O79*10000/'数据-汇总表'!E3,0)</f>
        <v>#VALUE!</v>
      </c>
      <c r="P81" s="1306"/>
      <c r="Q81" s="2027"/>
      <c r="R81" s="2027"/>
      <c r="S81" s="2027"/>
      <c r="T81" s="2027"/>
      <c r="U81" s="2027"/>
      <c r="V81" s="2027"/>
    </row>
    <row r="82" spans="1:26" ht="13.5" thickTop="1">
      <c r="A82" s="375" t="s">
        <v>1824</v>
      </c>
      <c r="B82" s="376" t="s">
        <v>432</v>
      </c>
      <c r="C82" s="377">
        <f ca="1">D63</f>
        <v>97246</v>
      </c>
      <c r="D82" s="378" t="s">
        <v>19</v>
      </c>
      <c r="E82" s="379"/>
      <c r="F82" s="42"/>
      <c r="G82" s="42"/>
      <c r="H82" s="1001"/>
      <c r="I82" s="311"/>
      <c r="J82" s="2027"/>
      <c r="K82" s="2027"/>
      <c r="L82" s="2027"/>
      <c r="M82" s="2027"/>
      <c r="N82" s="2027"/>
      <c r="O82" s="2027"/>
      <c r="P82" s="2027"/>
      <c r="Q82" s="2027"/>
      <c r="R82" s="2027"/>
      <c r="S82" s="2027"/>
      <c r="T82" s="2027"/>
      <c r="U82" s="2027"/>
      <c r="V82" s="2027"/>
    </row>
    <row r="83" spans="1:26" ht="12.75">
      <c r="A83" s="375" t="s">
        <v>1825</v>
      </c>
      <c r="B83" s="376" t="s">
        <v>433</v>
      </c>
      <c r="C83" s="380">
        <v>0</v>
      </c>
      <c r="D83" s="378"/>
      <c r="E83" s="379"/>
      <c r="F83" s="42"/>
      <c r="G83" s="42"/>
      <c r="H83" s="1001"/>
      <c r="I83" s="311"/>
      <c r="J83" s="2027"/>
      <c r="K83" s="3410" t="s">
        <v>2873</v>
      </c>
      <c r="L83" s="3039" t="s">
        <v>2874</v>
      </c>
      <c r="M83" s="3029" t="e">
        <f>IF(N69&gt;10000,N69*0.5%,IF(AND(N69&gt;1000,N69&lt;=10000),N69*1%,IF(AND(N69&gt;100,N69&lt;=1000),N69*3%,IF(AND(N69&gt;10,N69&lt;=100),N69*5%,N69*8%))))</f>
        <v>#VALUE!</v>
      </c>
      <c r="N83" s="53" t="e">
        <f>ROUND(M83,1)</f>
        <v>#VALUE!</v>
      </c>
      <c r="O83" s="3032"/>
      <c r="P83" s="2027"/>
      <c r="Q83" s="2027"/>
      <c r="R83" s="2027"/>
      <c r="S83" s="2027"/>
      <c r="T83" s="2027"/>
      <c r="U83" s="2027"/>
      <c r="V83" s="2027"/>
    </row>
    <row r="84" spans="1:26" ht="12.75">
      <c r="A84" s="381" t="s">
        <v>1826</v>
      </c>
      <c r="B84" s="382" t="s">
        <v>434</v>
      </c>
      <c r="C84" s="383">
        <v>2000</v>
      </c>
      <c r="D84" s="384" t="s">
        <v>19</v>
      </c>
      <c r="E84" s="3074" t="s">
        <v>2941</v>
      </c>
      <c r="F84" s="42"/>
      <c r="G84" s="42"/>
      <c r="H84" s="1001"/>
      <c r="I84" s="311"/>
      <c r="J84" s="2027"/>
      <c r="K84" s="3410"/>
      <c r="L84" s="3039" t="s">
        <v>2875</v>
      </c>
      <c r="M84" s="302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435</v>
      </c>
      <c r="C85" s="385">
        <f ca="1">C81-C84</f>
        <v>90615</v>
      </c>
      <c r="D85" s="378" t="s">
        <v>19</v>
      </c>
      <c r="E85" s="379"/>
      <c r="F85" s="42"/>
      <c r="G85" s="42"/>
      <c r="H85" s="1001"/>
      <c r="I85" s="311"/>
      <c r="J85" s="2027"/>
      <c r="K85" s="3410"/>
      <c r="L85" s="3039" t="s">
        <v>2877</v>
      </c>
      <c r="M85" s="3029"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436</v>
      </c>
      <c r="C86" s="388">
        <f ca="1">IF(C85&lt;=0,0,ROUND(C85*D86,0))</f>
        <v>5074</v>
      </c>
      <c r="D86" s="389">
        <f>'数据-取费表'!B41</f>
        <v>5.6000000000000001E-2</v>
      </c>
      <c r="E86" s="390"/>
      <c r="F86" s="42"/>
      <c r="G86" s="42"/>
      <c r="H86" s="1001"/>
      <c r="I86" s="311"/>
      <c r="J86" s="2027"/>
      <c r="K86" s="3410"/>
      <c r="L86" s="3039" t="s">
        <v>2878</v>
      </c>
      <c r="M86" s="3029" t="e">
        <f>N69*0.5%</f>
        <v>#VALUE!</v>
      </c>
      <c r="N86" s="53" t="e">
        <f>IF(M86&gt;0.5,0.5,ROUND(M86,0))</f>
        <v>#VALUE!</v>
      </c>
      <c r="O86" s="2027" t="s">
        <v>2879</v>
      </c>
      <c r="P86" s="2027"/>
      <c r="Q86" s="2027"/>
      <c r="R86" s="2027"/>
      <c r="S86" s="2027"/>
      <c r="T86" s="2027"/>
      <c r="U86" s="2027"/>
      <c r="V86" s="2027"/>
    </row>
    <row r="87" spans="1:26" s="1252" customFormat="1" ht="14.25" customHeight="1">
      <c r="A87" s="1307"/>
      <c r="B87" s="1308"/>
      <c r="C87" s="1309"/>
      <c r="D87" s="1310"/>
      <c r="E87" s="1311"/>
      <c r="F87" s="42"/>
      <c r="G87" s="42"/>
      <c r="H87" s="1001"/>
      <c r="I87" s="311"/>
      <c r="J87" s="2027"/>
      <c r="K87" s="3410"/>
      <c r="L87" s="3039" t="s">
        <v>2880</v>
      </c>
      <c r="M87" s="302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2"/>
      <c r="P87" s="311"/>
      <c r="Q87" s="2027"/>
      <c r="R87" s="2027"/>
      <c r="S87" s="2027"/>
      <c r="T87" s="2027"/>
      <c r="U87" s="2027"/>
      <c r="V87" s="2027"/>
      <c r="W87" s="292"/>
      <c r="X87" s="292"/>
      <c r="Y87" s="292"/>
      <c r="Z87" s="292"/>
    </row>
    <row r="88" spans="1:26" s="1312" customFormat="1" ht="15" thickBot="1">
      <c r="A88" s="3392" t="s">
        <v>437</v>
      </c>
      <c r="B88" s="3393"/>
      <c r="C88" s="3393"/>
      <c r="D88" s="3393"/>
      <c r="E88" s="3393"/>
      <c r="F88" s="3393"/>
      <c r="G88" s="3393"/>
      <c r="H88" s="3393"/>
      <c r="I88" s="1313"/>
      <c r="J88" s="2035"/>
      <c r="K88" s="3410"/>
      <c r="L88" s="3039" t="s">
        <v>2881</v>
      </c>
      <c r="M88" s="3029" t="e">
        <f>IF(N69&gt;10000,N69*0.5%,IF(AND(N69&gt;5000,N69&lt;=10000),N69*1%,IF(AND(N69&gt;1000,N69&lt;=5000),N69*2%,IF(AND(N69&gt;200,N69&lt;=1000),N69*3%,N69*5%))))</f>
        <v>#VALUE!</v>
      </c>
      <c r="N88" s="53" t="e">
        <f>ROUND(M88,1)</f>
        <v>#VALUE!</v>
      </c>
      <c r="O88" s="3032"/>
      <c r="P88" s="11"/>
      <c r="Q88" s="2032"/>
      <c r="R88" s="2032"/>
      <c r="S88" s="2032"/>
      <c r="T88" s="2032"/>
      <c r="U88" s="2032"/>
      <c r="V88" s="2032"/>
      <c r="W88" s="2036"/>
      <c r="X88" s="2036"/>
      <c r="Y88" s="2036"/>
      <c r="Z88" s="2036"/>
    </row>
    <row r="89" spans="1:26" s="1312" customFormat="1" ht="14.25">
      <c r="A89" s="3390" t="s">
        <v>428</v>
      </c>
      <c r="B89" s="3391"/>
      <c r="C89" s="992"/>
      <c r="D89" s="992" t="s">
        <v>429</v>
      </c>
      <c r="E89" s="391" t="s">
        <v>438</v>
      </c>
      <c r="F89" s="392"/>
      <c r="G89" s="392"/>
      <c r="H89" s="393"/>
      <c r="I89" s="1314"/>
      <c r="J89" s="2037"/>
      <c r="K89" s="3410"/>
      <c r="L89" s="3039" t="s">
        <v>27</v>
      </c>
      <c r="M89" s="3030"/>
      <c r="N89" s="53" t="e">
        <f>ROUND(SUM(N83:N88),0)</f>
        <v>#VALUE!</v>
      </c>
      <c r="O89" s="3040" t="e">
        <f>N89/N69</f>
        <v>#VALUE!</v>
      </c>
      <c r="P89" s="2032"/>
      <c r="Q89" s="2032"/>
      <c r="R89" s="2032"/>
      <c r="S89" s="2032"/>
      <c r="T89" s="2032"/>
      <c r="U89" s="2032"/>
      <c r="V89" s="2032"/>
      <c r="W89" s="2036"/>
      <c r="X89" s="2036"/>
      <c r="Y89" s="2036"/>
      <c r="Z89" s="2036"/>
    </row>
    <row r="90" spans="1:26" s="1312" customFormat="1" ht="14.25">
      <c r="A90" s="381" t="s">
        <v>1823</v>
      </c>
      <c r="B90" s="382" t="s">
        <v>439</v>
      </c>
      <c r="C90" s="385">
        <f ca="1">ROUND(D63/(1+'数据-取费表'!C42),0)</f>
        <v>92615</v>
      </c>
      <c r="D90" s="378" t="s">
        <v>19</v>
      </c>
      <c r="E90" s="989"/>
      <c r="F90" s="988"/>
      <c r="G90" s="988"/>
      <c r="H90" s="394"/>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1" t="s">
        <v>1829</v>
      </c>
      <c r="B91" s="348" t="s">
        <v>440</v>
      </c>
      <c r="C91" s="385">
        <f ca="1">C92+C96</f>
        <v>3117</v>
      </c>
      <c r="D91" s="378" t="s">
        <v>19</v>
      </c>
      <c r="E91" s="989"/>
      <c r="F91" s="988"/>
      <c r="G91" s="988"/>
      <c r="H91" s="394"/>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5" t="s">
        <v>1830</v>
      </c>
      <c r="B92" s="376" t="s">
        <v>441</v>
      </c>
      <c r="C92" s="378">
        <f>ROUND(IF(G95="2016年5月1日后购买",C93/(1+'数据-取费表'!C30)+C94+C95,C93+C94+C95),0)</f>
        <v>2561</v>
      </c>
      <c r="D92" s="378" t="s">
        <v>19</v>
      </c>
      <c r="E92" s="989"/>
      <c r="F92" s="988"/>
      <c r="G92" s="988"/>
      <c r="H92" s="394"/>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5" t="s">
        <v>1831</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5" t="s">
        <v>1832</v>
      </c>
      <c r="B94" s="400" t="s">
        <v>446</v>
      </c>
      <c r="C94" s="378">
        <f>IF(F93="购房发票",ROUND(C93*H93*5%,0),0)</f>
        <v>500</v>
      </c>
      <c r="D94" s="401">
        <v>0.05</v>
      </c>
      <c r="E94" s="3353" t="s">
        <v>447</v>
      </c>
      <c r="F94" s="3352"/>
      <c r="G94" s="3352"/>
      <c r="H94" s="3389"/>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5" t="s">
        <v>1834</v>
      </c>
      <c r="B96" s="376" t="s">
        <v>450</v>
      </c>
      <c r="C96" s="405">
        <f ca="1">ROUND(D63*D96/(1+'数据-取费表'!C42),0)</f>
        <v>556</v>
      </c>
      <c r="D96" s="406">
        <f>'数据-取费表'!B43</f>
        <v>6.000000000000001E-3</v>
      </c>
      <c r="E96" s="3381" t="s">
        <v>2428</v>
      </c>
      <c r="F96" s="3382"/>
      <c r="G96" s="3382"/>
      <c r="H96" s="3383"/>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6" t="s">
        <v>1835</v>
      </c>
      <c r="B97" s="382" t="s">
        <v>451</v>
      </c>
      <c r="C97" s="385">
        <f ca="1">C90-C91</f>
        <v>89498</v>
      </c>
      <c r="D97" s="378" t="s">
        <v>19</v>
      </c>
      <c r="E97" s="989"/>
      <c r="F97" s="988"/>
      <c r="G97" s="988"/>
      <c r="H97" s="394"/>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6" t="s">
        <v>1836</v>
      </c>
      <c r="B98" s="382" t="s">
        <v>452</v>
      </c>
      <c r="C98" s="407">
        <f ca="1">IF(C97&lt;=0,0,C97/C91)</f>
        <v>28.712864934231632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7" t="s">
        <v>1837</v>
      </c>
      <c r="B99" s="387" t="s">
        <v>453</v>
      </c>
      <c r="C99" s="408">
        <f ca="1">ROUND(IF(C97&lt;=0,0,IF(C98&gt;=200%,C97*60%-C91*35%,IF(C98&gt;=100%,C97*50%-C91*15%,IF(C98&gt;=50%,C97*40%-C91*5%,IF(C98&lt;50%,C97*30%,0))))),0)</f>
        <v>52608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92" t="s">
        <v>454</v>
      </c>
      <c r="B101" s="3393"/>
      <c r="C101" s="3393"/>
      <c r="D101" s="3393"/>
      <c r="E101" s="3393"/>
      <c r="F101" s="3393"/>
      <c r="G101" s="3393"/>
      <c r="H101" s="3393"/>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90" t="s">
        <v>428</v>
      </c>
      <c r="B102" s="3391"/>
      <c r="C102" s="992"/>
      <c r="D102" s="992"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1" t="s">
        <v>1823</v>
      </c>
      <c r="B103" s="382" t="s">
        <v>439</v>
      </c>
      <c r="C103" s="385">
        <f ca="1">ROUND(D63/(1+'数据-取费表'!C42),0)</f>
        <v>92615</v>
      </c>
      <c r="D103" s="378" t="s">
        <v>19</v>
      </c>
      <c r="E103" s="989"/>
      <c r="F103" s="988"/>
      <c r="G103" s="988"/>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1" t="s">
        <v>1829</v>
      </c>
      <c r="B104" s="348" t="s">
        <v>440</v>
      </c>
      <c r="C104" s="385">
        <f ca="1">IF(H106="仅含出让金",C105+C108+C109+C110+C111+C112,C105+C109+C110+C111+C112)</f>
        <v>1246</v>
      </c>
      <c r="D104" s="415"/>
      <c r="E104" s="989"/>
      <c r="F104" s="988"/>
      <c r="G104" s="988"/>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5" t="s">
        <v>1830</v>
      </c>
      <c r="B105" s="376" t="s">
        <v>455</v>
      </c>
      <c r="C105" s="405">
        <f>C106+C107</f>
        <v>572</v>
      </c>
      <c r="D105" s="406"/>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5" t="s">
        <v>1831</v>
      </c>
      <c r="B106" s="376" t="s">
        <v>456</v>
      </c>
      <c r="C106" s="416">
        <v>555</v>
      </c>
      <c r="D106" s="406"/>
      <c r="E106" s="417" t="s">
        <v>457</v>
      </c>
      <c r="F106" s="984"/>
      <c r="G106" s="418" t="s">
        <v>458</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5" t="s">
        <v>1832</v>
      </c>
      <c r="B107" s="376" t="s">
        <v>448</v>
      </c>
      <c r="C107" s="405">
        <f>ROUND(C106*D107,0)</f>
        <v>17</v>
      </c>
      <c r="D107" s="406">
        <f>'数据-取费表'!B48+'数据-取费表'!B49</f>
        <v>3.0499999999999999E-2</v>
      </c>
      <c r="E107" s="417"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5" t="s">
        <v>1834</v>
      </c>
      <c r="B108" s="376" t="s">
        <v>460</v>
      </c>
      <c r="C108" s="416"/>
      <c r="D108" s="406"/>
      <c r="E108" s="417"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8" t="s">
        <v>1838</v>
      </c>
      <c r="B109" s="376" t="s">
        <v>461</v>
      </c>
      <c r="C109" s="405">
        <f>IF(H109="——",IF(F1="现房",'剩余法-现房'!C18,'剩余法-待开发'!C18),I109)</f>
        <v>55</v>
      </c>
      <c r="D109" s="406"/>
      <c r="E109" s="3384" t="s">
        <v>462</v>
      </c>
      <c r="F109" s="3382"/>
      <c r="G109" s="3382"/>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8" t="s">
        <v>1839</v>
      </c>
      <c r="B110" s="376" t="s">
        <v>463</v>
      </c>
      <c r="C110" s="405">
        <f>ROUND((C105+C108+C109)*D110,0)</f>
        <v>63</v>
      </c>
      <c r="D110" s="406">
        <v>0.1</v>
      </c>
      <c r="E110" s="3384" t="s">
        <v>464</v>
      </c>
      <c r="F110" s="3382"/>
      <c r="G110" s="3382"/>
      <c r="H110" s="3383"/>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8" t="s">
        <v>1840</v>
      </c>
      <c r="B111" s="376" t="s">
        <v>450</v>
      </c>
      <c r="C111" s="405">
        <f ca="1">ROUND(D63*D111/(1+'数据-取费表'!C42),0)</f>
        <v>556</v>
      </c>
      <c r="D111" s="406">
        <f>'数据-取费表'!B43</f>
        <v>6.000000000000001E-3</v>
      </c>
      <c r="E111" s="3381" t="s">
        <v>2428</v>
      </c>
      <c r="F111" s="3382"/>
      <c r="G111" s="3382"/>
      <c r="H111" s="3383"/>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8" t="s">
        <v>1841</v>
      </c>
      <c r="B112" s="376" t="s">
        <v>465</v>
      </c>
      <c r="C112" s="405">
        <f>ROUND(C108*D112,0)</f>
        <v>0</v>
      </c>
      <c r="D112" s="406">
        <v>0.2</v>
      </c>
      <c r="E112" s="3384" t="s">
        <v>2453</v>
      </c>
      <c r="F112" s="3382"/>
      <c r="G112" s="3382"/>
      <c r="H112" s="3383"/>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6" t="s">
        <v>1835</v>
      </c>
      <c r="B113" s="382" t="s">
        <v>451</v>
      </c>
      <c r="C113" s="385">
        <f ca="1">ROUND(C103-C104,0)</f>
        <v>91369</v>
      </c>
      <c r="D113" s="378" t="s">
        <v>19</v>
      </c>
      <c r="E113" s="989"/>
      <c r="F113" s="988"/>
      <c r="G113" s="988"/>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6" t="s">
        <v>1836</v>
      </c>
      <c r="B114" s="382" t="s">
        <v>452</v>
      </c>
      <c r="C114" s="407">
        <f ca="1">IF(C113&lt;=0,0,C113/C104)</f>
        <v>73.329855537720704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7" t="s">
        <v>1837</v>
      </c>
      <c r="B115" s="387" t="s">
        <v>453</v>
      </c>
      <c r="C115" s="408">
        <f ca="1">ROUND(IF(C113&lt;=0,0,IF(C114&gt;=200%,C113*60%-C104*35%,IF(C114&gt;=100%,C113*50%-C104*15%,IF(C114&gt;=50%,C113*40%-C104*5%,IF(C114&lt;50%,C113*30%,0))))),0)</f>
        <v>54385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R25" sqref="R25"/>
    </sheetView>
  </sheetViews>
  <sheetFormatPr defaultColWidth="9" defaultRowHeight="12.75"/>
  <cols>
    <col min="1" max="1" width="16.5" style="1248" customWidth="1"/>
    <col min="2" max="2" width="16.625" style="1216" customWidth="1"/>
    <col min="3" max="3" width="5" style="1216" customWidth="1"/>
    <col min="4" max="4" width="9" style="1216"/>
    <col min="5" max="5" width="12.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3" t="s">
        <v>2303</v>
      </c>
      <c r="C1" s="3429" t="s">
        <v>2304</v>
      </c>
      <c r="D1" s="3430"/>
      <c r="E1" s="3430"/>
      <c r="F1" s="3430"/>
      <c r="G1" s="3430"/>
      <c r="H1" s="3430"/>
      <c r="I1" s="3430"/>
      <c r="J1" s="3430"/>
      <c r="K1" s="3430"/>
      <c r="L1" s="3430"/>
      <c r="M1" s="3430"/>
      <c r="N1" s="3430"/>
      <c r="O1" s="3430"/>
      <c r="P1" s="3430"/>
      <c r="Q1" s="3430"/>
      <c r="R1" s="3430"/>
      <c r="S1" s="3431"/>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51">
      <c r="A2" s="2234"/>
      <c r="B2" s="949" t="s">
        <v>2306</v>
      </c>
      <c r="C2" s="950" t="str">
        <f t="shared" ref="C2:L2" si="0">C3&amp;"(含)"&amp;"-"&amp;D3</f>
        <v>0(含)-40000</v>
      </c>
      <c r="D2" s="951" t="str">
        <f t="shared" si="0"/>
        <v>40000(含)-80000</v>
      </c>
      <c r="E2" s="951" t="str">
        <f t="shared" si="0"/>
        <v>80000(含)-120000</v>
      </c>
      <c r="F2" s="951" t="str">
        <f t="shared" si="0"/>
        <v>120000(含)-160000</v>
      </c>
      <c r="G2" s="951" t="str">
        <f t="shared" si="0"/>
        <v>160000(含)-200000</v>
      </c>
      <c r="H2" s="951" t="str">
        <f t="shared" si="0"/>
        <v>200000(含)-240000</v>
      </c>
      <c r="I2" s="951" t="str">
        <f t="shared" si="0"/>
        <v>240000(含)-280000</v>
      </c>
      <c r="J2" s="951" t="str">
        <f t="shared" si="0"/>
        <v>280000(含)-320000</v>
      </c>
      <c r="K2" s="951" t="str">
        <f t="shared" si="0"/>
        <v>320000(含)-0</v>
      </c>
      <c r="L2" s="951" t="str">
        <f t="shared" si="0"/>
        <v>0(含)-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f>'比较法-住宅、综合'!C119</f>
        <v>0</v>
      </c>
      <c r="D3" s="954">
        <f>'比较法-住宅、综合'!D119</f>
        <v>40000</v>
      </c>
      <c r="E3" s="954">
        <f>'比较法-住宅、综合'!E119</f>
        <v>80000</v>
      </c>
      <c r="F3" s="954">
        <f>'比较法-住宅、综合'!F119</f>
        <v>120000</v>
      </c>
      <c r="G3" s="954">
        <f>'比较法-住宅、综合'!G119</f>
        <v>160000</v>
      </c>
      <c r="H3" s="954">
        <f>'比较法-住宅、综合'!H119</f>
        <v>200000</v>
      </c>
      <c r="I3" s="954">
        <f>'比较法-住宅、综合'!I119</f>
        <v>240000</v>
      </c>
      <c r="J3" s="954">
        <f>'比较法-住宅、综合'!J119</f>
        <v>280000</v>
      </c>
      <c r="K3" s="954">
        <f>'比较法-住宅、综合'!K119</f>
        <v>320000</v>
      </c>
      <c r="L3" s="954">
        <f>'比较法-住宅、综合'!L119</f>
        <v>0</v>
      </c>
      <c r="M3" s="2238"/>
      <c r="N3" s="2239"/>
      <c r="O3" s="955"/>
      <c r="P3" s="955"/>
      <c r="Q3" s="955"/>
      <c r="R3" s="955"/>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f>'比较法-住宅、综合'!C120</f>
        <v>100</v>
      </c>
      <c r="D4" s="2244">
        <f>'比较法-住宅、综合'!D120</f>
        <v>102</v>
      </c>
      <c r="E4" s="2244">
        <f>'比较法-住宅、综合'!E120</f>
        <v>104</v>
      </c>
      <c r="F4" s="2244">
        <f>'比较法-住宅、综合'!F120</f>
        <v>106</v>
      </c>
      <c r="G4" s="2244">
        <f>'比较法-住宅、综合'!G120</f>
        <v>108</v>
      </c>
      <c r="H4" s="2244">
        <f>'比较法-住宅、综合'!H120</f>
        <v>110</v>
      </c>
      <c r="I4" s="2244">
        <f>'比较法-住宅、综合'!I120</f>
        <v>112</v>
      </c>
      <c r="J4" s="2244">
        <f>'比较法-住宅、综合'!J120</f>
        <v>114</v>
      </c>
      <c r="K4" s="2244">
        <f>'比较法-住宅、综合'!K120</f>
        <v>116</v>
      </c>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98" t="s">
        <v>3405</v>
      </c>
      <c r="C5" s="2251"/>
      <c r="D5" s="2252"/>
      <c r="E5" s="2252"/>
      <c r="F5" s="2252"/>
      <c r="G5" s="2252"/>
      <c r="H5" s="2252"/>
      <c r="I5" s="2252"/>
      <c r="J5" s="2252"/>
      <c r="K5" s="2252"/>
      <c r="L5" s="2253"/>
      <c r="M5" s="2254"/>
      <c r="N5" s="2254"/>
      <c r="O5" s="2252"/>
      <c r="P5" s="2252"/>
      <c r="Q5" s="2252"/>
      <c r="R5" s="2252"/>
      <c r="S5" s="2255"/>
      <c r="T5" s="2256">
        <v>10</v>
      </c>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90</v>
      </c>
      <c r="E6" s="1968">
        <f t="shared" ref="E6:S6" si="7">D6-$T5</f>
        <v>80</v>
      </c>
      <c r="F6" s="1968">
        <f t="shared" si="7"/>
        <v>70</v>
      </c>
      <c r="G6" s="1968">
        <f t="shared" si="7"/>
        <v>60</v>
      </c>
      <c r="H6" s="1968">
        <f t="shared" si="7"/>
        <v>50</v>
      </c>
      <c r="I6" s="1968">
        <f t="shared" si="7"/>
        <v>40</v>
      </c>
      <c r="J6" s="1968">
        <f t="shared" si="7"/>
        <v>30</v>
      </c>
      <c r="K6" s="1968">
        <f t="shared" si="7"/>
        <v>20</v>
      </c>
      <c r="L6" s="1968">
        <f t="shared" si="7"/>
        <v>10</v>
      </c>
      <c r="M6" s="1968">
        <f t="shared" si="7"/>
        <v>0</v>
      </c>
      <c r="N6" s="1968">
        <f t="shared" si="7"/>
        <v>-10</v>
      </c>
      <c r="O6" s="1968">
        <f t="shared" si="7"/>
        <v>-20</v>
      </c>
      <c r="P6" s="1968">
        <f t="shared" si="7"/>
        <v>-30</v>
      </c>
      <c r="Q6" s="1968">
        <f t="shared" si="7"/>
        <v>-40</v>
      </c>
      <c r="R6" s="1968">
        <f t="shared" si="7"/>
        <v>-50</v>
      </c>
      <c r="S6" s="1968">
        <f t="shared" si="7"/>
        <v>-60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2940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58" t="s">
        <v>828</v>
      </c>
      <c r="B20" s="775">
        <f ca="1">S22</f>
        <v>889910</v>
      </c>
      <c r="C20" s="1989"/>
      <c r="D20" s="1989"/>
      <c r="E20" s="1989"/>
      <c r="F20" s="1989"/>
      <c r="G20" s="1989"/>
      <c r="H20" s="1989"/>
      <c r="I20" s="1989"/>
      <c r="J20" s="1989"/>
      <c r="K20" s="1989"/>
      <c r="L20" s="1989"/>
      <c r="M20" s="1989"/>
      <c r="N20" s="1989"/>
      <c r="O20" s="1989"/>
      <c r="P20" s="1989"/>
      <c r="Q20" s="1989"/>
      <c r="R20" s="2224"/>
      <c r="S20" s="2027"/>
    </row>
    <row r="21" spans="1:45" ht="15.75">
      <c r="A21" s="958" t="s">
        <v>829</v>
      </c>
      <c r="B21" s="775">
        <f ca="1">R22</f>
        <v>106960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83200</v>
      </c>
      <c r="C22" s="3426" t="s">
        <v>20</v>
      </c>
      <c r="D22" s="3427"/>
      <c r="E22" s="3427"/>
      <c r="F22" s="3427"/>
      <c r="G22" s="3427"/>
      <c r="H22" s="3427"/>
      <c r="I22" s="3427"/>
      <c r="J22" s="3427"/>
      <c r="K22" s="3427"/>
      <c r="L22" s="3427"/>
      <c r="M22" s="3427"/>
      <c r="N22" s="3427"/>
      <c r="O22" s="3427"/>
      <c r="P22" s="3427"/>
      <c r="Q22" s="3428"/>
      <c r="R22" s="490">
        <f ca="1">ROUND(S22*10000/B22,0)</f>
        <v>106960</v>
      </c>
      <c r="S22" s="53">
        <f ca="1">SUM(S24:S10000)</f>
        <v>889910</v>
      </c>
    </row>
    <row r="23" spans="1:45" s="1613"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59" t="str">
        <f>'综合考虑后规划指标（测算用）'!A3</f>
        <v>FZX0-0401-6006（无问题）</v>
      </c>
      <c r="B24" s="959">
        <f>'综合考虑后规划指标（测算用）'!B3</f>
        <v>15400</v>
      </c>
      <c r="C24" s="960">
        <v>1</v>
      </c>
      <c r="D24" s="961"/>
      <c r="E24" s="960">
        <v>1</v>
      </c>
      <c r="F24" s="961"/>
      <c r="G24" s="960">
        <v>1</v>
      </c>
      <c r="H24" s="961"/>
      <c r="I24" s="960">
        <v>1</v>
      </c>
      <c r="J24" s="961"/>
      <c r="K24" s="960">
        <v>1</v>
      </c>
      <c r="L24" s="961"/>
      <c r="M24" s="960">
        <v>1</v>
      </c>
      <c r="N24" s="961"/>
      <c r="O24" s="960">
        <v>1</v>
      </c>
      <c r="P24" s="961"/>
      <c r="Q24" s="960">
        <v>1</v>
      </c>
      <c r="R24" s="962">
        <f ca="1">结果表!G21</f>
        <v>105245</v>
      </c>
      <c r="S24" s="960">
        <f t="shared" ref="S24:S54" ca="1" si="11">ROUND(R24*B24/10000,0)</f>
        <v>162077</v>
      </c>
      <c r="T24" s="1972"/>
      <c r="U24" s="1972"/>
      <c r="V24" s="1972"/>
      <c r="W24" s="1972"/>
      <c r="X24" s="1972"/>
      <c r="Y24" s="1972"/>
      <c r="Z24" s="1972"/>
      <c r="AA24" s="1972"/>
      <c r="AB24" s="1972"/>
      <c r="AC24" s="1972"/>
      <c r="AD24" s="1972"/>
      <c r="AE24" s="1972"/>
      <c r="AF24" s="1972"/>
      <c r="AG24" s="1972"/>
      <c r="AH24" s="1972"/>
      <c r="AI24" s="1972"/>
    </row>
    <row r="25" spans="1:45">
      <c r="A25" s="963" t="str">
        <f>'综合考虑后规划指标（测算用）'!A4</f>
        <v>FZX0-0401-6011（无问题）</v>
      </c>
      <c r="B25" s="137">
        <f>'综合考虑后规划指标（测算用）'!B4</f>
        <v>67800</v>
      </c>
      <c r="C25" s="53">
        <f>IF(B25="",1,(LOOKUP(B25,$3:$3,$4:$4)-LOOKUP($B$24,$3:$3,$4:$4)+100)/100)</f>
        <v>1.02</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 ca="1">IF(B25="",0,ROUND($R$24*C25*E25*G25*I25*K25*M25*O25*Q25,0))</f>
        <v>107350</v>
      </c>
      <c r="S25" s="799">
        <f t="shared" ca="1" si="11"/>
        <v>727833</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D73" sqref="D73:N73"/>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467</v>
      </c>
      <c r="B2" s="508">
        <f>F68</f>
        <v>155655</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3"/>
    </row>
    <row r="3" spans="1:30" s="1334" customFormat="1" ht="28.5" customHeight="1">
      <c r="A3" s="1378" t="s">
        <v>1684</v>
      </c>
      <c r="B3" s="510">
        <f>ROUND(B2*10000/'数据-汇总表'!E3,0)</f>
        <v>36098</v>
      </c>
      <c r="C3" s="2060"/>
      <c r="D3" s="2547"/>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4" customFormat="1" ht="28.5" customHeight="1">
      <c r="A4" s="511" t="s">
        <v>520</v>
      </c>
      <c r="B4" s="427">
        <f>IF(B48="单位面积地价",C50,ROUND(B2*10000/'数据-汇总表'!D3,0))</f>
        <v>101075</v>
      </c>
      <c r="C4" s="2060"/>
      <c r="D4" s="2547"/>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6738</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41" t="s">
        <v>522</v>
      </c>
      <c r="D6" s="3442"/>
      <c r="E6" s="3441" t="s">
        <v>523</v>
      </c>
      <c r="F6" s="3442"/>
      <c r="G6" s="3441" t="s">
        <v>524</v>
      </c>
      <c r="H6" s="3442"/>
      <c r="I6" s="3441" t="s">
        <v>525</v>
      </c>
      <c r="J6" s="3442"/>
      <c r="K6" s="514" t="s">
        <v>526</v>
      </c>
      <c r="L6" s="2132"/>
      <c r="M6" s="2131"/>
      <c r="N6" s="2131"/>
      <c r="O6" s="2133"/>
      <c r="P6" s="3443" t="s">
        <v>527</v>
      </c>
      <c r="Q6" s="3444"/>
      <c r="R6" s="3449" t="s">
        <v>523</v>
      </c>
      <c r="S6" s="3450"/>
      <c r="T6" s="3449" t="s">
        <v>524</v>
      </c>
      <c r="U6" s="3450"/>
      <c r="V6" s="3436" t="s">
        <v>525</v>
      </c>
      <c r="W6" s="3436"/>
      <c r="X6" s="1566"/>
      <c r="Y6" s="3449" t="s">
        <v>527</v>
      </c>
      <c r="Z6" s="3450"/>
      <c r="AA6" s="3438" t="s">
        <v>523</v>
      </c>
      <c r="AB6" s="3439" t="s">
        <v>524</v>
      </c>
      <c r="AC6" s="3438" t="s">
        <v>525</v>
      </c>
    </row>
    <row r="7" spans="1:30" ht="62.25" customHeight="1">
      <c r="A7" s="515"/>
      <c r="B7" s="516"/>
      <c r="C7" s="3459" t="str">
        <f>项目基本情况!F10</f>
        <v>FXX0-0401-6016</v>
      </c>
      <c r="D7" s="3458"/>
      <c r="E7" s="3457" t="s">
        <v>3158</v>
      </c>
      <c r="F7" s="3458"/>
      <c r="G7" s="3457" t="s">
        <v>3154</v>
      </c>
      <c r="H7" s="3458"/>
      <c r="I7" s="3457" t="s">
        <v>3308</v>
      </c>
      <c r="J7" s="3458"/>
      <c r="K7" s="514"/>
      <c r="L7" s="2132"/>
      <c r="M7" s="2131"/>
      <c r="N7" s="2131"/>
      <c r="O7" s="2133"/>
      <c r="P7" s="3445"/>
      <c r="Q7" s="3446"/>
      <c r="R7" s="3451"/>
      <c r="S7" s="3452"/>
      <c r="T7" s="3451"/>
      <c r="U7" s="3452"/>
      <c r="V7" s="3436"/>
      <c r="W7" s="3436"/>
      <c r="X7" s="1566"/>
      <c r="Y7" s="3451"/>
      <c r="Z7" s="3452"/>
      <c r="AA7" s="3439"/>
      <c r="AB7" s="3439"/>
      <c r="AC7" s="3439"/>
    </row>
    <row r="8" spans="1:30" ht="16.5" customHeight="1" thickBot="1">
      <c r="A8" s="515"/>
      <c r="B8" s="516"/>
      <c r="C8" s="3460" t="s">
        <v>2932</v>
      </c>
      <c r="D8" s="3461"/>
      <c r="E8" s="3460" t="s">
        <v>3159</v>
      </c>
      <c r="F8" s="3461"/>
      <c r="G8" s="3455" t="s">
        <v>3138</v>
      </c>
      <c r="H8" s="3456"/>
      <c r="I8" s="3455" t="s">
        <v>3309</v>
      </c>
      <c r="J8" s="3456"/>
      <c r="K8" s="514" t="s">
        <v>528</v>
      </c>
      <c r="L8" s="2132"/>
      <c r="M8" s="2131"/>
      <c r="N8" s="2131"/>
      <c r="O8" s="2133"/>
      <c r="P8" s="3447"/>
      <c r="Q8" s="3448"/>
      <c r="R8" s="3451"/>
      <c r="S8" s="3452"/>
      <c r="T8" s="3453"/>
      <c r="U8" s="3454"/>
      <c r="V8" s="3436"/>
      <c r="W8" s="3436"/>
      <c r="X8" s="1566"/>
      <c r="Y8" s="3453"/>
      <c r="Z8" s="3454"/>
      <c r="AA8" s="3440"/>
      <c r="AB8" s="3440"/>
      <c r="AC8" s="3440"/>
    </row>
    <row r="9" spans="1:30" s="1218" customFormat="1" ht="21" thickBot="1">
      <c r="A9" s="2888"/>
      <c r="B9" s="2895" t="s">
        <v>529</v>
      </c>
      <c r="C9" s="2887">
        <f>'数据-取费表'!B2</f>
        <v>43510</v>
      </c>
      <c r="D9" s="520">
        <v>100</v>
      </c>
      <c r="E9" s="521" t="s">
        <v>3162</v>
      </c>
      <c r="F9" s="522">
        <f>SUMIF(72:72,YEAR(E9)&amp;"-"&amp;INT((MONTH(E9)+2)/3),73:73)</f>
        <v>100</v>
      </c>
      <c r="G9" s="521" t="s">
        <v>3156</v>
      </c>
      <c r="H9" s="520">
        <f>SUMIF(72:72,YEAR(G9)&amp;"-"&amp;INT((MONTH(G9)+2)/3),73:73)</f>
        <v>98</v>
      </c>
      <c r="I9" s="521" t="s">
        <v>3306</v>
      </c>
      <c r="J9" s="520">
        <f>SUMIF(72:72,YEAR(I9)&amp;"-"&amp;INT((MONTH(I9)+2)/3),73:73)</f>
        <v>98</v>
      </c>
      <c r="K9" s="524"/>
      <c r="L9" s="2134"/>
      <c r="M9" s="2131"/>
      <c r="N9" s="2131"/>
      <c r="O9" s="2135"/>
      <c r="P9" s="3467" t="s">
        <v>530</v>
      </c>
      <c r="Q9" s="3469"/>
      <c r="R9" s="1567" t="s">
        <v>8</v>
      </c>
      <c r="S9" s="1568">
        <f t="shared" ref="S9:S17" si="0">F9</f>
        <v>100</v>
      </c>
      <c r="T9" s="1567" t="s">
        <v>8</v>
      </c>
      <c r="U9" s="1568">
        <f t="shared" ref="U9:U17" si="1">H9</f>
        <v>98</v>
      </c>
      <c r="V9" s="1567" t="s">
        <v>8</v>
      </c>
      <c r="W9" s="1568">
        <f t="shared" ref="W9:W17" si="2">J9</f>
        <v>98</v>
      </c>
      <c r="X9" s="1569"/>
      <c r="Y9" s="3467" t="s">
        <v>530</v>
      </c>
      <c r="Z9" s="3468"/>
      <c r="AA9" s="1570">
        <f>D9/F9</f>
        <v>1</v>
      </c>
      <c r="AB9" s="1570">
        <f>D9/H9</f>
        <v>1.0204081632653061</v>
      </c>
      <c r="AC9" s="1570">
        <f>D9/J9</f>
        <v>1.0204081632653061</v>
      </c>
    </row>
    <row r="10" spans="1:30" s="1218" customFormat="1" ht="21" thickBot="1">
      <c r="A10" s="2889"/>
      <c r="B10" s="2896" t="s">
        <v>531</v>
      </c>
      <c r="C10" s="856" t="s">
        <v>532</v>
      </c>
      <c r="D10" s="520">
        <v>100</v>
      </c>
      <c r="E10" s="525" t="s">
        <v>3260</v>
      </c>
      <c r="F10" s="522">
        <f>SUMIF(75:75,E10,76:76)-SUMIF(75:75,C10,76:76)+100</f>
        <v>100</v>
      </c>
      <c r="G10" s="525" t="s">
        <v>3260</v>
      </c>
      <c r="H10" s="520">
        <f>SUMIF(75:75,G10,76:76)-SUMIF(75:75,C10,76:76)+100</f>
        <v>100</v>
      </c>
      <c r="I10" s="525" t="s">
        <v>3260</v>
      </c>
      <c r="J10" s="520">
        <f>SUMIF(75:75,I10,76:76)-SUMIF(75:75,C10,76:76)+100</f>
        <v>100</v>
      </c>
      <c r="K10" s="524"/>
      <c r="L10" s="2134"/>
      <c r="M10" s="2131"/>
      <c r="N10" s="2131"/>
      <c r="O10" s="2135"/>
      <c r="P10" s="3467" t="s">
        <v>533</v>
      </c>
      <c r="Q10" s="3468"/>
      <c r="R10" s="1567" t="s">
        <v>8</v>
      </c>
      <c r="S10" s="1568">
        <f t="shared" si="0"/>
        <v>100</v>
      </c>
      <c r="T10" s="1567" t="s">
        <v>8</v>
      </c>
      <c r="U10" s="1568">
        <f t="shared" si="1"/>
        <v>100</v>
      </c>
      <c r="V10" s="1567" t="s">
        <v>8</v>
      </c>
      <c r="W10" s="1568">
        <f t="shared" si="2"/>
        <v>100</v>
      </c>
      <c r="X10" s="1569"/>
      <c r="Y10" s="3467" t="s">
        <v>533</v>
      </c>
      <c r="Z10" s="3468"/>
      <c r="AA10" s="1570">
        <f t="shared" ref="AA10:AA47" si="3">D10/F10</f>
        <v>1</v>
      </c>
      <c r="AB10" s="1570">
        <f t="shared" ref="AB10:AB47" si="4">D10/H10</f>
        <v>1</v>
      </c>
      <c r="AC10" s="1570">
        <f t="shared" ref="AC10:AC47" si="5">D10/J10</f>
        <v>1</v>
      </c>
    </row>
    <row r="11" spans="1:30" s="1218" customFormat="1" ht="20.25">
      <c r="A11" s="2890"/>
      <c r="B11" s="2897" t="s">
        <v>2755</v>
      </c>
      <c r="C11" s="2884" t="s">
        <v>3071</v>
      </c>
      <c r="D11" s="254">
        <v>100</v>
      </c>
      <c r="E11" s="526" t="s">
        <v>3071</v>
      </c>
      <c r="F11" s="254">
        <f>SUMIF(77:77,E11,78:78)-SUMIF(77:77,C11,78:78)+100</f>
        <v>100</v>
      </c>
      <c r="G11" s="526" t="s">
        <v>3071</v>
      </c>
      <c r="H11" s="254">
        <f>SUMIF(77:77,G11,78:78)-SUMIF(77:77,C11,78:78)+100</f>
        <v>100</v>
      </c>
      <c r="I11" s="526" t="s">
        <v>3071</v>
      </c>
      <c r="J11" s="254">
        <f>SUMIF(77:77,I11,78:78)-SUMIF(77:77,C11,78:78)+100</f>
        <v>100</v>
      </c>
      <c r="K11" s="524"/>
      <c r="L11" s="2134"/>
      <c r="M11" s="2131"/>
      <c r="N11" s="2131"/>
      <c r="O11" s="2136"/>
      <c r="P11" s="3435" t="s">
        <v>535</v>
      </c>
      <c r="Q11" s="1149" t="str">
        <f t="shared" ref="Q11:Q17" si="6">B11</f>
        <v>用途</v>
      </c>
      <c r="R11" s="1567" t="s">
        <v>8</v>
      </c>
      <c r="S11" s="1568">
        <f t="shared" si="0"/>
        <v>100</v>
      </c>
      <c r="T11" s="1567" t="s">
        <v>8</v>
      </c>
      <c r="U11" s="1568">
        <f t="shared" si="1"/>
        <v>100</v>
      </c>
      <c r="V11" s="1567" t="s">
        <v>8</v>
      </c>
      <c r="W11" s="1568">
        <f t="shared" si="2"/>
        <v>100</v>
      </c>
      <c r="X11" s="1569"/>
      <c r="Y11" s="3375" t="s">
        <v>536</v>
      </c>
      <c r="Z11" s="1148" t="str">
        <f t="shared" ref="Z11:Z17" si="7">Q11</f>
        <v>用途</v>
      </c>
      <c r="AA11" s="1570">
        <f t="shared" si="3"/>
        <v>1</v>
      </c>
      <c r="AB11" s="1570">
        <f t="shared" si="4"/>
        <v>1</v>
      </c>
      <c r="AC11" s="1570">
        <f t="shared" si="5"/>
        <v>1</v>
      </c>
    </row>
    <row r="12" spans="1:30" s="1336" customFormat="1" ht="27">
      <c r="A12" s="2891"/>
      <c r="B12" s="2896" t="s">
        <v>2756</v>
      </c>
      <c r="C12" s="910"/>
      <c r="D12" s="255">
        <v>100</v>
      </c>
      <c r="E12" s="529"/>
      <c r="F12" s="255">
        <f>ROUND(100/'数据-取费表'!G16,0)</f>
        <v>106</v>
      </c>
      <c r="G12" s="529"/>
      <c r="H12" s="255">
        <f>ROUND(100/'数据-取费表'!G16,0)</f>
        <v>106</v>
      </c>
      <c r="I12" s="529"/>
      <c r="J12" s="255">
        <f>ROUND(100/'数据-取费表'!G16,0)</f>
        <v>106</v>
      </c>
      <c r="K12" s="531"/>
      <c r="L12" s="2137"/>
      <c r="M12" s="2131"/>
      <c r="N12" s="2131"/>
      <c r="O12" s="2138"/>
      <c r="P12" s="3435"/>
      <c r="Q12" s="1149" t="str">
        <f t="shared" si="6"/>
        <v>土地使用年限（年）</v>
      </c>
      <c r="R12" s="1567" t="s">
        <v>8</v>
      </c>
      <c r="S12" s="1568">
        <f t="shared" si="0"/>
        <v>106</v>
      </c>
      <c r="T12" s="1567" t="s">
        <v>8</v>
      </c>
      <c r="U12" s="1568">
        <f t="shared" si="1"/>
        <v>106</v>
      </c>
      <c r="V12" s="1567" t="s">
        <v>8</v>
      </c>
      <c r="W12" s="1568">
        <f t="shared" si="2"/>
        <v>106</v>
      </c>
      <c r="X12" s="1569"/>
      <c r="Y12" s="3375"/>
      <c r="Z12" s="1148" t="str">
        <f t="shared" si="7"/>
        <v>土地使用年限（年）</v>
      </c>
      <c r="AA12" s="1570">
        <f t="shared" si="3"/>
        <v>0.94339622641509435</v>
      </c>
      <c r="AB12" s="1570">
        <f t="shared" si="4"/>
        <v>0.94339622641509435</v>
      </c>
      <c r="AC12" s="1570">
        <f t="shared" si="5"/>
        <v>0.94339622641509435</v>
      </c>
    </row>
    <row r="13" spans="1:30" ht="20.25">
      <c r="A13" s="2892"/>
      <c r="B13" s="2896" t="s">
        <v>2757</v>
      </c>
      <c r="C13" s="534">
        <f>'数据-汇总表'!I4</f>
        <v>2.8</v>
      </c>
      <c r="D13" s="255">
        <v>100</v>
      </c>
      <c r="E13" s="533">
        <v>1.6</v>
      </c>
      <c r="F13" s="255">
        <f>LOOKUP(E13,82:82,83:83)-LOOKUP(C13,82:82,83:83)+100</f>
        <v>105</v>
      </c>
      <c r="G13" s="533">
        <v>2</v>
      </c>
      <c r="H13" s="255">
        <f>LOOKUP(G13,82:82,83:83)-LOOKUP(C13,82:82,83:83)+100</f>
        <v>100</v>
      </c>
      <c r="I13" s="533">
        <v>2.5</v>
      </c>
      <c r="J13" s="255">
        <f>LOOKUP(I13,82:82,83:83)-LOOKUP(C13,82:82,83:83)+100</f>
        <v>100</v>
      </c>
      <c r="K13" s="535">
        <v>5</v>
      </c>
      <c r="L13" s="2139"/>
      <c r="M13" s="2131"/>
      <c r="N13" s="2131"/>
      <c r="O13" s="2140"/>
      <c r="P13" s="3435"/>
      <c r="Q13" s="1149" t="str">
        <f t="shared" si="6"/>
        <v>容积率</v>
      </c>
      <c r="R13" s="1567" t="s">
        <v>8</v>
      </c>
      <c r="S13" s="1568">
        <f t="shared" si="0"/>
        <v>105</v>
      </c>
      <c r="T13" s="1567" t="s">
        <v>8</v>
      </c>
      <c r="U13" s="1568">
        <f t="shared" si="1"/>
        <v>100</v>
      </c>
      <c r="V13" s="1567" t="s">
        <v>8</v>
      </c>
      <c r="W13" s="1568">
        <f t="shared" si="2"/>
        <v>100</v>
      </c>
      <c r="X13" s="1569"/>
      <c r="Y13" s="3375"/>
      <c r="Z13" s="1148" t="str">
        <f t="shared" si="7"/>
        <v>容积率</v>
      </c>
      <c r="AA13" s="1570">
        <f t="shared" si="3"/>
        <v>0.95238095238095233</v>
      </c>
      <c r="AB13" s="1570">
        <f t="shared" si="4"/>
        <v>1</v>
      </c>
      <c r="AC13" s="1570">
        <f t="shared" si="5"/>
        <v>1</v>
      </c>
    </row>
    <row r="14" spans="1:30" s="1218" customFormat="1" ht="20.25">
      <c r="A14" s="2889"/>
      <c r="B14" s="2898" t="s">
        <v>2758</v>
      </c>
      <c r="C14" s="2885" t="s">
        <v>3107</v>
      </c>
      <c r="D14" s="538">
        <v>100</v>
      </c>
      <c r="E14" s="1373" t="s">
        <v>3412</v>
      </c>
      <c r="F14" s="255">
        <f>SUMIF(84:84,E14,85:85)-SUMIF(84:84,C14,85:85)+100</f>
        <v>90</v>
      </c>
      <c r="G14" s="3195" t="s">
        <v>3402</v>
      </c>
      <c r="H14" s="255">
        <f>SUMIF(84:84,G14,85:85)-SUMIF(84:84,C14,85:85)+100</f>
        <v>100</v>
      </c>
      <c r="I14" s="3196" t="s">
        <v>3402</v>
      </c>
      <c r="J14" s="255">
        <f>SUMIF(84:84,I14,85:85)-SUMIF(84:84,C14,85:85)+100</f>
        <v>100</v>
      </c>
      <c r="K14" s="531"/>
      <c r="L14" s="2134"/>
      <c r="M14" s="2131"/>
      <c r="N14" s="2131"/>
      <c r="O14" s="2136"/>
      <c r="P14" s="3435"/>
      <c r="Q14" s="1149" t="str">
        <f t="shared" si="6"/>
        <v>配建</v>
      </c>
      <c r="R14" s="1567" t="s">
        <v>8</v>
      </c>
      <c r="S14" s="1568">
        <f t="shared" si="0"/>
        <v>90</v>
      </c>
      <c r="T14" s="1567" t="s">
        <v>8</v>
      </c>
      <c r="U14" s="1568">
        <f t="shared" si="1"/>
        <v>100</v>
      </c>
      <c r="V14" s="1567" t="s">
        <v>8</v>
      </c>
      <c r="W14" s="1568">
        <f t="shared" si="2"/>
        <v>100</v>
      </c>
      <c r="X14" s="1569"/>
      <c r="Y14" s="3375"/>
      <c r="Z14" s="1148" t="str">
        <f t="shared" si="7"/>
        <v>配建</v>
      </c>
      <c r="AA14" s="1570">
        <f>D14/F14</f>
        <v>1.1111111111111112</v>
      </c>
      <c r="AB14" s="1570">
        <f>D14/H14</f>
        <v>1</v>
      </c>
      <c r="AC14" s="1570">
        <f>D14/J14</f>
        <v>1</v>
      </c>
    </row>
    <row r="15" spans="1:30" ht="20.25">
      <c r="A15" s="2893"/>
      <c r="B15" s="2899">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435"/>
      <c r="Q15" s="1149">
        <f t="shared" si="6"/>
        <v>111</v>
      </c>
      <c r="R15" s="1567" t="s">
        <v>8</v>
      </c>
      <c r="S15" s="1568">
        <f t="shared" si="0"/>
        <v>100</v>
      </c>
      <c r="T15" s="1567" t="s">
        <v>8</v>
      </c>
      <c r="U15" s="1568">
        <f t="shared" si="1"/>
        <v>100</v>
      </c>
      <c r="V15" s="1567" t="s">
        <v>8</v>
      </c>
      <c r="W15" s="1568">
        <f t="shared" si="2"/>
        <v>100</v>
      </c>
      <c r="X15" s="1569"/>
      <c r="Y15" s="3375"/>
      <c r="Z15" s="1148">
        <f t="shared" si="7"/>
        <v>111</v>
      </c>
      <c r="AA15" s="1570">
        <f>D15/F15</f>
        <v>1</v>
      </c>
      <c r="AB15" s="1570">
        <f>D15/H15</f>
        <v>1</v>
      </c>
      <c r="AC15" s="1570">
        <f>D15/J15</f>
        <v>1</v>
      </c>
    </row>
    <row r="16" spans="1:30" ht="21" thickBot="1">
      <c r="A16" s="2894"/>
      <c r="B16" s="2900">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35"/>
      <c r="Q16" s="1149">
        <f t="shared" si="6"/>
        <v>111</v>
      </c>
      <c r="R16" s="1567" t="s">
        <v>8</v>
      </c>
      <c r="S16" s="1568">
        <f t="shared" si="0"/>
        <v>100</v>
      </c>
      <c r="T16" s="1567" t="s">
        <v>8</v>
      </c>
      <c r="U16" s="1568">
        <f t="shared" si="1"/>
        <v>100</v>
      </c>
      <c r="V16" s="1567" t="s">
        <v>8</v>
      </c>
      <c r="W16" s="1568">
        <f t="shared" si="2"/>
        <v>100</v>
      </c>
      <c r="X16" s="1569"/>
      <c r="Y16" s="3375"/>
      <c r="Z16" s="1148">
        <f t="shared" si="7"/>
        <v>111</v>
      </c>
      <c r="AA16" s="1570">
        <f>D16/F16</f>
        <v>1</v>
      </c>
      <c r="AB16" s="1570">
        <f>D16/H16</f>
        <v>1</v>
      </c>
      <c r="AC16" s="1570">
        <f>D16/J16</f>
        <v>1</v>
      </c>
    </row>
    <row r="17" spans="1:29" ht="99.75">
      <c r="A17" s="288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95</v>
      </c>
      <c r="G17" s="550"/>
      <c r="H17" s="549">
        <f>SUMIF(90:90,G18,91:91)-SUMIF(90:90,C18,91:91)+100</f>
        <v>95</v>
      </c>
      <c r="I17" s="550"/>
      <c r="J17" s="549">
        <f>SUMIF(90:90,I18,91:91)-SUMIF(90:90,C18,91:91)+100</f>
        <v>95</v>
      </c>
      <c r="K17" s="535">
        <v>5</v>
      </c>
      <c r="L17" s="2141"/>
      <c r="M17" s="2131"/>
      <c r="N17" s="2131"/>
      <c r="O17" s="2140"/>
      <c r="P17" s="3470" t="s">
        <v>540</v>
      </c>
      <c r="Q17" s="1571" t="str">
        <f t="shared" si="6"/>
        <v>居住社区成熟度</v>
      </c>
      <c r="R17" s="1572" t="s">
        <v>8</v>
      </c>
      <c r="S17" s="1573">
        <f t="shared" si="0"/>
        <v>95</v>
      </c>
      <c r="T17" s="1572" t="s">
        <v>8</v>
      </c>
      <c r="U17" s="1573">
        <f t="shared" si="1"/>
        <v>95</v>
      </c>
      <c r="V17" s="1572" t="s">
        <v>8</v>
      </c>
      <c r="W17" s="1573">
        <f t="shared" si="2"/>
        <v>95</v>
      </c>
      <c r="X17" s="1566"/>
      <c r="Y17" s="3470" t="s">
        <v>540</v>
      </c>
      <c r="Z17" s="1574" t="str">
        <f t="shared" si="7"/>
        <v>居住社区成熟度</v>
      </c>
      <c r="AA17" s="1575">
        <f t="shared" si="3"/>
        <v>1.0526315789473684</v>
      </c>
      <c r="AB17" s="1575">
        <f t="shared" si="4"/>
        <v>1.0526315789473684</v>
      </c>
      <c r="AC17" s="1575">
        <f t="shared" si="5"/>
        <v>1.0526315789473684</v>
      </c>
    </row>
    <row r="18" spans="1:29" ht="20.25">
      <c r="A18" s="532"/>
      <c r="B18" s="553"/>
      <c r="C18" s="554" t="s">
        <v>3040</v>
      </c>
      <c r="D18" s="557"/>
      <c r="E18" s="558" t="s">
        <v>3106</v>
      </c>
      <c r="F18" s="555"/>
      <c r="G18" s="556" t="s">
        <v>3106</v>
      </c>
      <c r="H18" s="559"/>
      <c r="I18" s="556" t="s">
        <v>3106</v>
      </c>
      <c r="J18" s="555"/>
      <c r="K18" s="531"/>
      <c r="L18" s="2141"/>
      <c r="M18" s="2131"/>
      <c r="N18" s="2131"/>
      <c r="O18" s="2140"/>
      <c r="P18" s="3471"/>
      <c r="Q18" s="1571"/>
      <c r="R18" s="1572"/>
      <c r="S18" s="1573"/>
      <c r="T18" s="1572"/>
      <c r="U18" s="1573"/>
      <c r="V18" s="1572"/>
      <c r="W18" s="1573"/>
      <c r="X18" s="1566"/>
      <c r="Y18" s="3471"/>
      <c r="Z18" s="1574"/>
      <c r="AA18" s="1575">
        <v>1</v>
      </c>
      <c r="AB18" s="1575">
        <v>1</v>
      </c>
      <c r="AC18" s="1575">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2"/>
      <c r="J19" s="565">
        <f>SUMIF(92:92,I20,93:93)-SUMIF(92:92,C20,93:93)+100</f>
        <v>100</v>
      </c>
      <c r="K19" s="535"/>
      <c r="L19" s="2141"/>
      <c r="M19" s="2131"/>
      <c r="N19" s="2131"/>
      <c r="O19" s="2140"/>
      <c r="P19" s="3471"/>
      <c r="Q19" s="1571" t="str">
        <f>B19</f>
        <v>商业繁华度</v>
      </c>
      <c r="R19" s="1572" t="s">
        <v>8</v>
      </c>
      <c r="S19" s="1573">
        <f>F19</f>
        <v>100</v>
      </c>
      <c r="T19" s="1572" t="s">
        <v>8</v>
      </c>
      <c r="U19" s="1573">
        <f>H19</f>
        <v>100</v>
      </c>
      <c r="V19" s="1572" t="s">
        <v>8</v>
      </c>
      <c r="W19" s="1573">
        <f>J19</f>
        <v>100</v>
      </c>
      <c r="X19" s="1566"/>
      <c r="Y19" s="3471"/>
      <c r="Z19" s="1574" t="str">
        <f>Q19</f>
        <v>商业繁华度</v>
      </c>
      <c r="AA19" s="1575">
        <f t="shared" si="3"/>
        <v>1</v>
      </c>
      <c r="AB19" s="1575">
        <f t="shared" si="4"/>
        <v>1</v>
      </c>
      <c r="AC19" s="1575">
        <f t="shared" si="5"/>
        <v>1</v>
      </c>
    </row>
    <row r="20" spans="1:29" ht="20.25" hidden="1">
      <c r="A20" s="532"/>
      <c r="B20" s="566"/>
      <c r="C20" s="567"/>
      <c r="D20" s="563"/>
      <c r="E20" s="569"/>
      <c r="F20" s="559"/>
      <c r="G20" s="568"/>
      <c r="H20" s="555"/>
      <c r="I20" s="568"/>
      <c r="J20" s="555"/>
      <c r="K20" s="531"/>
      <c r="L20" s="2141"/>
      <c r="M20" s="2131"/>
      <c r="N20" s="2131"/>
      <c r="O20" s="2140"/>
      <c r="P20" s="3471"/>
      <c r="Q20" s="1571"/>
      <c r="R20" s="1572"/>
      <c r="S20" s="1573"/>
      <c r="T20" s="1572"/>
      <c r="U20" s="1573"/>
      <c r="V20" s="1572"/>
      <c r="W20" s="1573"/>
      <c r="X20" s="1566"/>
      <c r="Y20" s="3471"/>
      <c r="Z20" s="1574"/>
      <c r="AA20" s="1575">
        <v>1</v>
      </c>
      <c r="AB20" s="1575">
        <v>1</v>
      </c>
      <c r="AC20" s="1575">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0"/>
      <c r="J21" s="559">
        <f>SUMIF(94:94,I22,95:95)-SUMIF(94:94,C22,95:95)+100</f>
        <v>100</v>
      </c>
      <c r="K21" s="535"/>
      <c r="L21" s="2141"/>
      <c r="M21" s="2131"/>
      <c r="N21" s="2131"/>
      <c r="O21" s="2140"/>
      <c r="P21" s="3471"/>
      <c r="Q21" s="1571" t="str">
        <f>B21</f>
        <v>办公集聚程度</v>
      </c>
      <c r="R21" s="1572" t="s">
        <v>8</v>
      </c>
      <c r="S21" s="1573">
        <f>F21</f>
        <v>100</v>
      </c>
      <c r="T21" s="1572" t="s">
        <v>8</v>
      </c>
      <c r="U21" s="1573">
        <f>H21</f>
        <v>100</v>
      </c>
      <c r="V21" s="1572" t="s">
        <v>8</v>
      </c>
      <c r="W21" s="1573">
        <f>J21</f>
        <v>100</v>
      </c>
      <c r="X21" s="1566"/>
      <c r="Y21" s="3471"/>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6"/>
      <c r="J22" s="555"/>
      <c r="K22" s="531"/>
      <c r="L22" s="2141"/>
      <c r="M22" s="2131"/>
      <c r="N22" s="2131"/>
      <c r="O22" s="2140"/>
      <c r="P22" s="3471"/>
      <c r="Q22" s="1571"/>
      <c r="R22" s="1572"/>
      <c r="S22" s="1573"/>
      <c r="T22" s="1572"/>
      <c r="U22" s="1573"/>
      <c r="V22" s="1572"/>
      <c r="W22" s="1573"/>
      <c r="X22" s="1566"/>
      <c r="Y22" s="3471"/>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95</v>
      </c>
      <c r="G23" s="562"/>
      <c r="H23" s="559">
        <f>SUMIF(96:96,G24,97:97)-SUMIF(96:96,C24,97:97)+100</f>
        <v>95</v>
      </c>
      <c r="I23" s="562"/>
      <c r="J23" s="559">
        <f>SUMIF(96:96,I24,97:97)-SUMIF(96:96,C24,97:97)+100</f>
        <v>95</v>
      </c>
      <c r="K23" s="535">
        <v>5</v>
      </c>
      <c r="L23" s="2141"/>
      <c r="M23" s="2131"/>
      <c r="N23" s="2131"/>
      <c r="O23" s="2140"/>
      <c r="P23" s="3471"/>
      <c r="Q23" s="1571" t="str">
        <f>B23</f>
        <v>交通便捷度</v>
      </c>
      <c r="R23" s="1572" t="s">
        <v>8</v>
      </c>
      <c r="S23" s="1573">
        <f>F23</f>
        <v>95</v>
      </c>
      <c r="T23" s="1572" t="s">
        <v>8</v>
      </c>
      <c r="U23" s="1573">
        <f>H23</f>
        <v>95</v>
      </c>
      <c r="V23" s="1572" t="s">
        <v>8</v>
      </c>
      <c r="W23" s="1573">
        <f>J23</f>
        <v>95</v>
      </c>
      <c r="X23" s="1566"/>
      <c r="Y23" s="3471"/>
      <c r="Z23" s="1574" t="str">
        <f>Q23</f>
        <v>交通便捷度</v>
      </c>
      <c r="AA23" s="1575">
        <f t="shared" si="3"/>
        <v>1.0526315789473684</v>
      </c>
      <c r="AB23" s="1575">
        <f t="shared" si="4"/>
        <v>1.0526315789473684</v>
      </c>
      <c r="AC23" s="1575">
        <f t="shared" si="5"/>
        <v>1.0526315789473684</v>
      </c>
    </row>
    <row r="24" spans="1:29" ht="20.25">
      <c r="A24" s="532"/>
      <c r="B24" s="578"/>
      <c r="C24" s="554" t="s">
        <v>3040</v>
      </c>
      <c r="D24" s="557"/>
      <c r="E24" s="558" t="s">
        <v>3106</v>
      </c>
      <c r="F24" s="555"/>
      <c r="G24" s="556" t="s">
        <v>3106</v>
      </c>
      <c r="H24" s="555"/>
      <c r="I24" s="556" t="s">
        <v>3106</v>
      </c>
      <c r="J24" s="555"/>
      <c r="K24" s="531"/>
      <c r="L24" s="2141"/>
      <c r="M24" s="2131"/>
      <c r="N24" s="2131"/>
      <c r="O24" s="2140"/>
      <c r="P24" s="3471"/>
      <c r="Q24" s="1571"/>
      <c r="R24" s="1572"/>
      <c r="S24" s="1573"/>
      <c r="T24" s="1572"/>
      <c r="U24" s="1573"/>
      <c r="V24" s="1572"/>
      <c r="W24" s="1573"/>
      <c r="X24" s="1566"/>
      <c r="Y24" s="3471"/>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2"/>
      <c r="J25" s="559">
        <f>SUMIF(98:98,I26,99:99)-SUMIF(98:98,C26,99:99)+100</f>
        <v>100</v>
      </c>
      <c r="K25" s="535">
        <v>5</v>
      </c>
      <c r="L25" s="2141"/>
      <c r="M25" s="2131"/>
      <c r="N25" s="2131"/>
      <c r="O25" s="2140"/>
      <c r="P25" s="3471"/>
      <c r="Q25" s="1571" t="str">
        <f t="shared" ref="Q25:Q39" si="8">B25</f>
        <v>区域土地利用方向</v>
      </c>
      <c r="R25" s="1572" t="s">
        <v>8</v>
      </c>
      <c r="S25" s="1573">
        <f>F25</f>
        <v>100</v>
      </c>
      <c r="T25" s="1572" t="s">
        <v>8</v>
      </c>
      <c r="U25" s="1573">
        <f>H25</f>
        <v>100</v>
      </c>
      <c r="V25" s="1572" t="s">
        <v>8</v>
      </c>
      <c r="W25" s="1573">
        <f>J25</f>
        <v>100</v>
      </c>
      <c r="X25" s="1566"/>
      <c r="Y25" s="3471"/>
      <c r="Z25" s="1574" t="str">
        <f>Q25</f>
        <v>区域土地利用方向</v>
      </c>
      <c r="AA25" s="1575">
        <f t="shared" si="3"/>
        <v>1</v>
      </c>
      <c r="AB25" s="1575">
        <f t="shared" si="4"/>
        <v>1</v>
      </c>
      <c r="AC25" s="1575">
        <f t="shared" si="5"/>
        <v>1</v>
      </c>
    </row>
    <row r="26" spans="1:29" ht="20.25">
      <c r="A26" s="515"/>
      <c r="B26" s="1005"/>
      <c r="C26" s="554" t="s">
        <v>3040</v>
      </c>
      <c r="D26" s="557"/>
      <c r="E26" s="558" t="s">
        <v>3040</v>
      </c>
      <c r="F26" s="555"/>
      <c r="G26" s="556" t="s">
        <v>3040</v>
      </c>
      <c r="H26" s="555"/>
      <c r="I26" s="556" t="s">
        <v>3040</v>
      </c>
      <c r="J26" s="555"/>
      <c r="K26" s="531"/>
      <c r="L26" s="2141"/>
      <c r="M26" s="2131"/>
      <c r="N26" s="2131"/>
      <c r="O26" s="2140"/>
      <c r="P26" s="3471"/>
      <c r="Q26" s="1571"/>
      <c r="R26" s="1572"/>
      <c r="S26" s="1573"/>
      <c r="T26" s="1572"/>
      <c r="U26" s="1573"/>
      <c r="V26" s="1572"/>
      <c r="W26" s="1573"/>
      <c r="X26" s="1566"/>
      <c r="Y26" s="3471"/>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2"/>
      <c r="J27" s="559">
        <f>SUMIF(100:100,I28,101:101)-SUMIF(100:100,C28,101:101)+100</f>
        <v>100</v>
      </c>
      <c r="K27" s="535">
        <v>3</v>
      </c>
      <c r="L27" s="2141"/>
      <c r="M27" s="2131"/>
      <c r="N27" s="2131"/>
      <c r="O27" s="2140"/>
      <c r="P27" s="3471"/>
      <c r="Q27" s="1571" t="str">
        <f t="shared" si="8"/>
        <v>自然及人文环境状况</v>
      </c>
      <c r="R27" s="1572" t="s">
        <v>8</v>
      </c>
      <c r="S27" s="1573">
        <f>F27</f>
        <v>100</v>
      </c>
      <c r="T27" s="1572" t="s">
        <v>8</v>
      </c>
      <c r="U27" s="1573">
        <f>H27</f>
        <v>100</v>
      </c>
      <c r="V27" s="1572" t="s">
        <v>8</v>
      </c>
      <c r="W27" s="1573">
        <f>J27</f>
        <v>100</v>
      </c>
      <c r="X27" s="1566"/>
      <c r="Y27" s="3471"/>
      <c r="Z27" s="1574" t="str">
        <f>Q27</f>
        <v>自然及人文环境状况</v>
      </c>
      <c r="AA27" s="1575">
        <f t="shared" si="3"/>
        <v>1</v>
      </c>
      <c r="AB27" s="1575">
        <f t="shared" si="4"/>
        <v>1</v>
      </c>
      <c r="AC27" s="1575">
        <f t="shared" si="5"/>
        <v>1</v>
      </c>
    </row>
    <row r="28" spans="1:29" ht="20.25">
      <c r="A28" s="515"/>
      <c r="B28" s="566"/>
      <c r="C28" s="554" t="s">
        <v>3106</v>
      </c>
      <c r="D28" s="557"/>
      <c r="E28" s="576" t="s">
        <v>3106</v>
      </c>
      <c r="F28" s="555"/>
      <c r="G28" s="554" t="s">
        <v>3106</v>
      </c>
      <c r="H28" s="555"/>
      <c r="I28" s="554" t="s">
        <v>3106</v>
      </c>
      <c r="J28" s="555"/>
      <c r="K28" s="531"/>
      <c r="L28" s="2141"/>
      <c r="M28" s="2131"/>
      <c r="N28" s="2131"/>
      <c r="O28" s="2140"/>
      <c r="P28" s="3471"/>
      <c r="Q28" s="1571"/>
      <c r="R28" s="1572"/>
      <c r="S28" s="1573"/>
      <c r="T28" s="1572"/>
      <c r="U28" s="1573"/>
      <c r="V28" s="1572"/>
      <c r="W28" s="1573"/>
      <c r="X28" s="1566"/>
      <c r="Y28" s="3471"/>
      <c r="Z28" s="1574"/>
      <c r="AA28" s="1575">
        <v>1</v>
      </c>
      <c r="AB28" s="1575">
        <v>1</v>
      </c>
      <c r="AC28" s="1575">
        <v>1</v>
      </c>
    </row>
    <row r="29" spans="1:29" s="1218" customFormat="1" ht="42.75">
      <c r="A29" s="577"/>
      <c r="B29" s="2568" t="s">
        <v>2548</v>
      </c>
      <c r="C29" s="573" t="str">
        <f>估价对象房地状况!C21</f>
        <v>估价对象所在区域公共配套设施齐备情况</v>
      </c>
      <c r="D29" s="563">
        <v>100</v>
      </c>
      <c r="E29" s="564"/>
      <c r="F29" s="559">
        <f>SUMIF(102:102,E30,103:103)-SUMIF(102:102,C30,103:103)+100</f>
        <v>97</v>
      </c>
      <c r="G29" s="562"/>
      <c r="H29" s="559">
        <f>SUMIF(102:102,G30,103:103)-SUMIF(102:102,C30,103:103)+100</f>
        <v>97</v>
      </c>
      <c r="I29" s="562"/>
      <c r="J29" s="559">
        <f>SUMIF(102:102,I30,103:103)-SUMIF(102:102,C30,103:103)+100</f>
        <v>97</v>
      </c>
      <c r="K29" s="535">
        <v>3</v>
      </c>
      <c r="L29" s="2134"/>
      <c r="M29" s="2131"/>
      <c r="N29" s="2131"/>
      <c r="O29" s="2136"/>
      <c r="P29" s="3471"/>
      <c r="Q29" s="1149" t="str">
        <f t="shared" si="8"/>
        <v>公共配套设施</v>
      </c>
      <c r="R29" s="1567" t="s">
        <v>8</v>
      </c>
      <c r="S29" s="1568">
        <f>F29</f>
        <v>97</v>
      </c>
      <c r="T29" s="1567" t="s">
        <v>8</v>
      </c>
      <c r="U29" s="1568">
        <f>H29</f>
        <v>97</v>
      </c>
      <c r="V29" s="1567" t="s">
        <v>8</v>
      </c>
      <c r="W29" s="1568">
        <f>J29</f>
        <v>97</v>
      </c>
      <c r="X29" s="1569"/>
      <c r="Y29" s="3471"/>
      <c r="Z29" s="1148" t="str">
        <f>Q29</f>
        <v>公共配套设施</v>
      </c>
      <c r="AA29" s="1575">
        <f>D29/F29</f>
        <v>1.0309278350515463</v>
      </c>
      <c r="AB29" s="1575">
        <f>D29/H29</f>
        <v>1.0309278350515463</v>
      </c>
      <c r="AC29" s="1575">
        <f>D29/J29</f>
        <v>1.0309278350515463</v>
      </c>
    </row>
    <row r="30" spans="1:29" s="1218" customFormat="1" ht="20.25">
      <c r="A30" s="577"/>
      <c r="B30" s="566"/>
      <c r="C30" s="579" t="s">
        <v>3040</v>
      </c>
      <c r="D30" s="557"/>
      <c r="E30" s="576" t="s">
        <v>3106</v>
      </c>
      <c r="F30" s="555"/>
      <c r="G30" s="554" t="s">
        <v>3106</v>
      </c>
      <c r="H30" s="555"/>
      <c r="I30" s="554" t="s">
        <v>3106</v>
      </c>
      <c r="J30" s="555"/>
      <c r="K30" s="531"/>
      <c r="L30" s="2134"/>
      <c r="M30" s="2131"/>
      <c r="N30" s="2131"/>
      <c r="O30" s="2136"/>
      <c r="P30" s="3471"/>
      <c r="Q30" s="1149"/>
      <c r="R30" s="1567"/>
      <c r="S30" s="1568"/>
      <c r="T30" s="1567"/>
      <c r="U30" s="1568"/>
      <c r="V30" s="1567"/>
      <c r="W30" s="1568"/>
      <c r="X30" s="1569"/>
      <c r="Y30" s="3471"/>
      <c r="Z30" s="1148"/>
      <c r="AA30" s="1575">
        <v>1</v>
      </c>
      <c r="AB30" s="1575">
        <v>1</v>
      </c>
      <c r="AC30" s="1575">
        <v>1</v>
      </c>
    </row>
    <row r="31" spans="1:29" s="1218" customFormat="1" ht="28.5">
      <c r="A31" s="577"/>
      <c r="B31" s="2568"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2"/>
      <c r="J31" s="559">
        <f>SUMIF(104:104,I32,105:105)-SUMIF(104:104,C32,105:105)+100</f>
        <v>100</v>
      </c>
      <c r="K31" s="535">
        <v>1</v>
      </c>
      <c r="L31" s="2134"/>
      <c r="M31" s="2131"/>
      <c r="N31" s="2131"/>
      <c r="O31" s="2136"/>
      <c r="P31" s="3471"/>
      <c r="Q31" s="2555" t="str">
        <f t="shared" ref="Q31" si="9">B31</f>
        <v>基础设施水平</v>
      </c>
      <c r="R31" s="1567" t="s">
        <v>8</v>
      </c>
      <c r="S31" s="1568">
        <f>F31</f>
        <v>100</v>
      </c>
      <c r="T31" s="1567" t="s">
        <v>8</v>
      </c>
      <c r="U31" s="1568">
        <f>H31</f>
        <v>100</v>
      </c>
      <c r="V31" s="1567" t="s">
        <v>8</v>
      </c>
      <c r="W31" s="1568">
        <f>J31</f>
        <v>100</v>
      </c>
      <c r="X31" s="1569"/>
      <c r="Y31" s="3471"/>
      <c r="Z31" s="2552" t="str">
        <f>Q31</f>
        <v>基础设施水平</v>
      </c>
      <c r="AA31" s="1575">
        <f>D31/F31</f>
        <v>1</v>
      </c>
      <c r="AB31" s="1575">
        <f>D31/H31</f>
        <v>1</v>
      </c>
      <c r="AC31" s="1575">
        <f>D31/J31</f>
        <v>1</v>
      </c>
    </row>
    <row r="32" spans="1:29" s="1218" customFormat="1" ht="20.25">
      <c r="A32" s="577"/>
      <c r="B32" s="566"/>
      <c r="C32" s="579" t="s">
        <v>3252</v>
      </c>
      <c r="D32" s="557"/>
      <c r="E32" s="2569" t="s">
        <v>3252</v>
      </c>
      <c r="F32" s="555"/>
      <c r="G32" s="579" t="s">
        <v>3252</v>
      </c>
      <c r="H32" s="555"/>
      <c r="I32" s="579" t="s">
        <v>3252</v>
      </c>
      <c r="J32" s="555"/>
      <c r="K32" s="531"/>
      <c r="L32" s="2134"/>
      <c r="M32" s="2131"/>
      <c r="N32" s="2131"/>
      <c r="O32" s="2136"/>
      <c r="P32" s="3471"/>
      <c r="Q32" s="2555"/>
      <c r="R32" s="1567"/>
      <c r="S32" s="1568"/>
      <c r="T32" s="1567"/>
      <c r="U32" s="1568"/>
      <c r="V32" s="1567"/>
      <c r="W32" s="1568"/>
      <c r="X32" s="1569"/>
      <c r="Y32" s="3471"/>
      <c r="Z32" s="2552"/>
      <c r="AA32" s="1575">
        <v>1</v>
      </c>
      <c r="AB32" s="1575">
        <v>1</v>
      </c>
      <c r="AC32" s="1575">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1"/>
      <c r="M33" s="2131"/>
      <c r="N33" s="2131"/>
      <c r="O33" s="2140"/>
      <c r="P33" s="347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71"/>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2"/>
      <c r="J34" s="559">
        <f>SUMIF(108:108,I35,109:109)-SUMIF(108:108,C35,109:109)+100</f>
        <v>100</v>
      </c>
      <c r="K34" s="535">
        <v>1</v>
      </c>
      <c r="L34" s="2141"/>
      <c r="M34" s="2131"/>
      <c r="N34" s="2131"/>
      <c r="O34" s="2140"/>
      <c r="P34" s="3471"/>
      <c r="Q34" s="1571" t="str">
        <f t="shared" si="8"/>
        <v>毗邻道路的类型与等级</v>
      </c>
      <c r="R34" s="1572" t="s">
        <v>8</v>
      </c>
      <c r="S34" s="1573">
        <f t="shared" si="10"/>
        <v>100</v>
      </c>
      <c r="T34" s="1572" t="s">
        <v>8</v>
      </c>
      <c r="U34" s="1573">
        <f t="shared" si="11"/>
        <v>100</v>
      </c>
      <c r="V34" s="1572" t="s">
        <v>8</v>
      </c>
      <c r="W34" s="1573">
        <f t="shared" si="12"/>
        <v>100</v>
      </c>
      <c r="X34" s="1566"/>
      <c r="Y34" s="3471"/>
      <c r="Z34" s="1574" t="str">
        <f t="shared" si="13"/>
        <v>毗邻道路的类型与等级</v>
      </c>
      <c r="AA34" s="1575">
        <f t="shared" si="3"/>
        <v>1</v>
      </c>
      <c r="AB34" s="1575">
        <f t="shared" si="4"/>
        <v>1</v>
      </c>
      <c r="AC34" s="1575">
        <f t="shared" si="5"/>
        <v>1</v>
      </c>
    </row>
    <row r="35" spans="1:29" ht="21" thickBot="1">
      <c r="A35" s="532"/>
      <c r="B35" s="566"/>
      <c r="C35" s="554" t="s">
        <v>3257</v>
      </c>
      <c r="D35" s="557"/>
      <c r="E35" s="576" t="s">
        <v>3257</v>
      </c>
      <c r="F35" s="555"/>
      <c r="G35" s="554" t="s">
        <v>3257</v>
      </c>
      <c r="H35" s="555"/>
      <c r="I35" s="554" t="s">
        <v>3257</v>
      </c>
      <c r="J35" s="555"/>
      <c r="K35" s="581"/>
      <c r="L35" s="2141"/>
      <c r="M35" s="2131"/>
      <c r="N35" s="2131"/>
      <c r="O35" s="2140"/>
      <c r="P35" s="3471"/>
      <c r="Q35" s="1571"/>
      <c r="R35" s="1572"/>
      <c r="S35" s="1573"/>
      <c r="T35" s="1572"/>
      <c r="U35" s="1573"/>
      <c r="V35" s="1572"/>
      <c r="W35" s="1573"/>
      <c r="X35" s="1566"/>
      <c r="Y35" s="3471"/>
      <c r="Z35" s="1574"/>
      <c r="AA35" s="1575">
        <v>1</v>
      </c>
      <c r="AB35" s="1575">
        <v>1</v>
      </c>
      <c r="AC35" s="1575">
        <v>1</v>
      </c>
    </row>
    <row r="36" spans="1:29" ht="20.25" hidden="1">
      <c r="A36" s="532"/>
      <c r="B36" s="582" t="s">
        <v>549</v>
      </c>
      <c r="C36" s="580" t="s">
        <v>3094</v>
      </c>
      <c r="D36" s="575">
        <v>100</v>
      </c>
      <c r="E36" s="583" t="s">
        <v>3094</v>
      </c>
      <c r="F36" s="540">
        <f>SUMIF(110:110,E36,111:111)-SUMIF(110:110,C36,111:111)+100</f>
        <v>100</v>
      </c>
      <c r="G36" s="580" t="s">
        <v>3094</v>
      </c>
      <c r="H36" s="540">
        <f>SUMIF(110:110,G36,111:111)-SUMIF(110:110,C36,111:111)+100</f>
        <v>100</v>
      </c>
      <c r="I36" s="580" t="s">
        <v>3094</v>
      </c>
      <c r="J36" s="540">
        <f>SUMIF(110:110,I36,111:111)-SUMIF(110:110,C36,111:111)+100</f>
        <v>100</v>
      </c>
      <c r="K36" s="584">
        <v>10</v>
      </c>
      <c r="L36" s="2141"/>
      <c r="M36" s="2131"/>
      <c r="N36" s="2131"/>
      <c r="O36" s="2140"/>
      <c r="P36" s="3471"/>
      <c r="Q36" s="1571" t="str">
        <f t="shared" si="8"/>
        <v>土地级别</v>
      </c>
      <c r="R36" s="1572" t="s">
        <v>8</v>
      </c>
      <c r="S36" s="1573">
        <f t="shared" si="10"/>
        <v>100</v>
      </c>
      <c r="T36" s="1572" t="s">
        <v>8</v>
      </c>
      <c r="U36" s="1573">
        <f t="shared" si="11"/>
        <v>100</v>
      </c>
      <c r="V36" s="1572" t="s">
        <v>8</v>
      </c>
      <c r="W36" s="1573">
        <f t="shared" si="12"/>
        <v>100</v>
      </c>
      <c r="X36" s="1566"/>
      <c r="Y36" s="3471"/>
      <c r="Z36" s="1574" t="str">
        <f t="shared" si="13"/>
        <v>土地级别</v>
      </c>
      <c r="AA36" s="1575">
        <f t="shared" si="3"/>
        <v>1</v>
      </c>
      <c r="AB36" s="1575">
        <f t="shared" si="4"/>
        <v>1</v>
      </c>
      <c r="AC36" s="1575">
        <f t="shared" si="5"/>
        <v>1</v>
      </c>
    </row>
    <row r="37" spans="1:29" ht="20.25" hidden="1">
      <c r="A37" s="515"/>
      <c r="B37" s="585">
        <v>111</v>
      </c>
      <c r="C37" s="3192" t="s">
        <v>3253</v>
      </c>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71"/>
      <c r="Q37" s="1571">
        <f t="shared" si="8"/>
        <v>111</v>
      </c>
      <c r="R37" s="1572" t="s">
        <v>8</v>
      </c>
      <c r="S37" s="1573">
        <f t="shared" si="10"/>
        <v>100</v>
      </c>
      <c r="T37" s="1572" t="s">
        <v>8</v>
      </c>
      <c r="U37" s="1573">
        <f t="shared" si="11"/>
        <v>100</v>
      </c>
      <c r="V37" s="1572" t="s">
        <v>8</v>
      </c>
      <c r="W37" s="1573">
        <f t="shared" si="12"/>
        <v>100</v>
      </c>
      <c r="X37" s="1566"/>
      <c r="Y37" s="3471"/>
      <c r="Z37" s="1574">
        <f t="shared" si="13"/>
        <v>111</v>
      </c>
      <c r="AA37" s="1575">
        <f t="shared" si="3"/>
        <v>1</v>
      </c>
      <c r="AB37" s="1575">
        <f t="shared" si="4"/>
        <v>1</v>
      </c>
      <c r="AC37" s="1575">
        <f t="shared" si="5"/>
        <v>1</v>
      </c>
    </row>
    <row r="38" spans="1:29" ht="20.25" hidden="1">
      <c r="A38" s="587"/>
      <c r="B38" s="588">
        <v>111</v>
      </c>
      <c r="C38" s="586" t="s">
        <v>3254</v>
      </c>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72" t="s">
        <v>550</v>
      </c>
      <c r="Q38" s="1571">
        <f t="shared" si="8"/>
        <v>111</v>
      </c>
      <c r="R38" s="1572" t="s">
        <v>8</v>
      </c>
      <c r="S38" s="1573">
        <f t="shared" si="10"/>
        <v>100</v>
      </c>
      <c r="T38" s="1572" t="s">
        <v>8</v>
      </c>
      <c r="U38" s="1573">
        <f t="shared" si="11"/>
        <v>100</v>
      </c>
      <c r="V38" s="1572" t="s">
        <v>8</v>
      </c>
      <c r="W38" s="1573">
        <f t="shared" si="12"/>
        <v>100</v>
      </c>
      <c r="X38" s="1566"/>
      <c r="Y38" s="3473" t="s">
        <v>550</v>
      </c>
      <c r="Z38" s="1574">
        <f t="shared" si="13"/>
        <v>111</v>
      </c>
      <c r="AA38" s="1575">
        <f t="shared" si="3"/>
        <v>1</v>
      </c>
      <c r="AB38" s="1575">
        <f t="shared" si="4"/>
        <v>1</v>
      </c>
      <c r="AC38" s="1575">
        <f t="shared" si="5"/>
        <v>1</v>
      </c>
    </row>
    <row r="39" spans="1:29" s="1337"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73"/>
      <c r="Q39" s="1571">
        <f t="shared" si="8"/>
        <v>111</v>
      </c>
      <c r="R39" s="1576" t="s">
        <v>8</v>
      </c>
      <c r="S39" s="1577">
        <f t="shared" si="10"/>
        <v>100</v>
      </c>
      <c r="T39" s="1576" t="s">
        <v>8</v>
      </c>
      <c r="U39" s="1577">
        <f t="shared" si="11"/>
        <v>100</v>
      </c>
      <c r="V39" s="1576" t="s">
        <v>8</v>
      </c>
      <c r="W39" s="1577">
        <f t="shared" si="12"/>
        <v>100</v>
      </c>
      <c r="X39" s="1578"/>
      <c r="Y39" s="3473"/>
      <c r="Z39" s="1579">
        <f t="shared" si="13"/>
        <v>111</v>
      </c>
      <c r="AA39" s="1575">
        <f t="shared" si="3"/>
        <v>1</v>
      </c>
      <c r="AB39" s="1575">
        <f t="shared" si="4"/>
        <v>1</v>
      </c>
      <c r="AC39" s="1575">
        <f t="shared" si="5"/>
        <v>1</v>
      </c>
    </row>
    <row r="40" spans="1:29" ht="20.25">
      <c r="A40" s="2883" t="s">
        <v>2754</v>
      </c>
      <c r="B40" s="595" t="s">
        <v>552</v>
      </c>
      <c r="C40" s="596">
        <f>'数据-汇总表'!D3</f>
        <v>15400</v>
      </c>
      <c r="D40" s="597">
        <v>100</v>
      </c>
      <c r="E40" s="596">
        <v>39084.339999999997</v>
      </c>
      <c r="F40" s="597">
        <f>LOOKUP(E40,119:119,120:120)-LOOKUP(C40,119:119,120:120)+100</f>
        <v>100</v>
      </c>
      <c r="G40" s="596">
        <v>66475.23</v>
      </c>
      <c r="H40" s="597">
        <f>LOOKUP(G40,119:119,120:120)-LOOKUP(C40,119:119,120:120)+100</f>
        <v>102</v>
      </c>
      <c r="I40" s="598">
        <v>44933.4</v>
      </c>
      <c r="J40" s="597">
        <f>LOOKUP(I40,119:119,120:120)-LOOKUP(C40,119:119,120:120)+100</f>
        <v>102</v>
      </c>
      <c r="K40" s="581"/>
      <c r="L40" s="2141"/>
      <c r="M40" s="2131"/>
      <c r="N40" s="2131"/>
      <c r="O40" s="2140"/>
      <c r="P40" s="3473"/>
      <c r="Q40" s="1571" t="str">
        <f>B40</f>
        <v>宗地面积</v>
      </c>
      <c r="R40" s="1572" t="s">
        <v>8</v>
      </c>
      <c r="S40" s="1573">
        <f t="shared" si="10"/>
        <v>100</v>
      </c>
      <c r="T40" s="1572" t="s">
        <v>8</v>
      </c>
      <c r="U40" s="1573">
        <f t="shared" si="11"/>
        <v>102</v>
      </c>
      <c r="V40" s="1572" t="s">
        <v>8</v>
      </c>
      <c r="W40" s="1573">
        <f t="shared" si="12"/>
        <v>102</v>
      </c>
      <c r="X40" s="1566"/>
      <c r="Y40" s="3473"/>
      <c r="Z40" s="1574" t="str">
        <f t="shared" si="13"/>
        <v>宗地面积</v>
      </c>
      <c r="AA40" s="1575">
        <f t="shared" si="3"/>
        <v>1</v>
      </c>
      <c r="AB40" s="1575">
        <f t="shared" si="4"/>
        <v>0.98039215686274506</v>
      </c>
      <c r="AC40" s="1575">
        <f t="shared" si="5"/>
        <v>0.98039215686274506</v>
      </c>
    </row>
    <row r="41" spans="1:29" ht="20.25">
      <c r="A41" s="594"/>
      <c r="B41" s="527" t="s">
        <v>553</v>
      </c>
      <c r="C41" s="599" t="s">
        <v>3098</v>
      </c>
      <c r="D41" s="540">
        <v>100</v>
      </c>
      <c r="E41" s="599" t="s">
        <v>3098</v>
      </c>
      <c r="F41" s="540">
        <f>SUMIF(121:121,E41,122:122)-SUMIF(121:121,C41,122:122)+100</f>
        <v>100</v>
      </c>
      <c r="G41" s="599" t="s">
        <v>3098</v>
      </c>
      <c r="H41" s="540">
        <f>SUMIF(121:121,G41,122:122)-SUMIF(121:121,C41,122:122)+100</f>
        <v>100</v>
      </c>
      <c r="I41" s="599" t="s">
        <v>3098</v>
      </c>
      <c r="J41" s="540">
        <f>SUMIF(121:121,I41,122:122)-SUMIF(121:121,C41,122:122)+100</f>
        <v>100</v>
      </c>
      <c r="K41" s="584">
        <v>3</v>
      </c>
      <c r="L41" s="2141"/>
      <c r="M41" s="2131"/>
      <c r="N41" s="2131"/>
      <c r="O41" s="2140"/>
      <c r="P41" s="3473"/>
      <c r="Q41" s="1571" t="str">
        <f t="shared" ref="Q41:Q47" si="14">B41</f>
        <v>宗地形状</v>
      </c>
      <c r="R41" s="1572" t="s">
        <v>8</v>
      </c>
      <c r="S41" s="1573">
        <f t="shared" si="10"/>
        <v>100</v>
      </c>
      <c r="T41" s="1572" t="s">
        <v>8</v>
      </c>
      <c r="U41" s="1573">
        <f t="shared" si="11"/>
        <v>100</v>
      </c>
      <c r="V41" s="1572" t="s">
        <v>8</v>
      </c>
      <c r="W41" s="1573">
        <f t="shared" si="12"/>
        <v>100</v>
      </c>
      <c r="X41" s="1566"/>
      <c r="Y41" s="3473"/>
      <c r="Z41" s="1574" t="str">
        <f t="shared" si="13"/>
        <v>宗地形状</v>
      </c>
      <c r="AA41" s="1575">
        <f t="shared" si="3"/>
        <v>1</v>
      </c>
      <c r="AB41" s="1575">
        <f t="shared" si="4"/>
        <v>1</v>
      </c>
      <c r="AC41" s="1575">
        <f t="shared" si="5"/>
        <v>1</v>
      </c>
    </row>
    <row r="42" spans="1:29" ht="20.25">
      <c r="A42" s="594"/>
      <c r="B42" s="527" t="s">
        <v>554</v>
      </c>
      <c r="C42" s="599" t="s">
        <v>3403</v>
      </c>
      <c r="D42" s="540">
        <v>100</v>
      </c>
      <c r="E42" s="599" t="s">
        <v>3403</v>
      </c>
      <c r="F42" s="540">
        <f>SUMIF(123:123,E42,124:124)-SUMIF(123:123,C42,124:124)+100</f>
        <v>100</v>
      </c>
      <c r="G42" s="599" t="s">
        <v>3403</v>
      </c>
      <c r="H42" s="540">
        <f>SUMIF(123:123,G42,124:124)-SUMIF(123:123,C42,124:124)+100</f>
        <v>100</v>
      </c>
      <c r="I42" s="599" t="s">
        <v>3403</v>
      </c>
      <c r="J42" s="540">
        <f>SUMIF(123:123,I42,124:124)-SUMIF(123:123,C42,124:124)+100</f>
        <v>100</v>
      </c>
      <c r="K42" s="584">
        <v>1</v>
      </c>
      <c r="L42" s="2141"/>
      <c r="M42" s="2131"/>
      <c r="N42" s="2131"/>
      <c r="O42" s="2140"/>
      <c r="P42" s="3473"/>
      <c r="Q42" s="1571" t="str">
        <f t="shared" si="14"/>
        <v>临街宽度及深度</v>
      </c>
      <c r="R42" s="1572" t="s">
        <v>8</v>
      </c>
      <c r="S42" s="1573">
        <f t="shared" si="10"/>
        <v>100</v>
      </c>
      <c r="T42" s="1572" t="s">
        <v>8</v>
      </c>
      <c r="U42" s="1573">
        <f t="shared" si="11"/>
        <v>100</v>
      </c>
      <c r="V42" s="1572" t="s">
        <v>8</v>
      </c>
      <c r="W42" s="1573">
        <f t="shared" si="12"/>
        <v>100</v>
      </c>
      <c r="X42" s="1566"/>
      <c r="Y42" s="3473"/>
      <c r="Z42" s="1574" t="str">
        <f t="shared" si="13"/>
        <v>临街宽度及深度</v>
      </c>
      <c r="AA42" s="1575">
        <f t="shared" si="3"/>
        <v>1</v>
      </c>
      <c r="AB42" s="1575">
        <f t="shared" si="4"/>
        <v>1</v>
      </c>
      <c r="AC42" s="1575">
        <f t="shared" si="5"/>
        <v>1</v>
      </c>
    </row>
    <row r="43" spans="1:29" s="1218" customFormat="1" ht="20.25">
      <c r="A43" s="600"/>
      <c r="B43" s="1894" t="s">
        <v>2424</v>
      </c>
      <c r="C43" s="601" t="s">
        <v>3404</v>
      </c>
      <c r="D43" s="255">
        <v>100</v>
      </c>
      <c r="E43" s="601" t="s">
        <v>3404</v>
      </c>
      <c r="F43" s="540">
        <f>SUMIF(125:125,E43,126:126)-SUMIF(125:125,C43,126:126)+100</f>
        <v>100</v>
      </c>
      <c r="G43" s="601" t="s">
        <v>3404</v>
      </c>
      <c r="H43" s="540">
        <f>SUMIF(125:125,G43,126:126)-SUMIF(125:125,C43,126:126)+100</f>
        <v>100</v>
      </c>
      <c r="I43" s="601" t="s">
        <v>3404</v>
      </c>
      <c r="J43" s="540">
        <f>SUMIF(125:125,I43,126:126)-SUMIF(125:125,C43,126:126)+100</f>
        <v>100</v>
      </c>
      <c r="K43" s="584">
        <v>1</v>
      </c>
      <c r="L43" s="2134"/>
      <c r="M43" s="2131"/>
      <c r="N43" s="2131"/>
      <c r="O43" s="2136"/>
      <c r="P43" s="3473"/>
      <c r="Q43" s="1571" t="str">
        <f t="shared" si="14"/>
        <v>宗地开发程度</v>
      </c>
      <c r="R43" s="1567" t="s">
        <v>8</v>
      </c>
      <c r="S43" s="1568">
        <f t="shared" si="10"/>
        <v>100</v>
      </c>
      <c r="T43" s="1567" t="s">
        <v>8</v>
      </c>
      <c r="U43" s="1568">
        <f t="shared" si="11"/>
        <v>100</v>
      </c>
      <c r="V43" s="1567" t="s">
        <v>8</v>
      </c>
      <c r="W43" s="1568">
        <f t="shared" si="12"/>
        <v>100</v>
      </c>
      <c r="X43" s="1569"/>
      <c r="Y43" s="3473"/>
      <c r="Z43" s="1148" t="str">
        <f t="shared" si="13"/>
        <v>宗地开发程度</v>
      </c>
      <c r="AA43" s="1570">
        <f t="shared" si="3"/>
        <v>1</v>
      </c>
      <c r="AB43" s="1570">
        <f t="shared" si="4"/>
        <v>1</v>
      </c>
      <c r="AC43" s="1570">
        <f t="shared" si="5"/>
        <v>1</v>
      </c>
    </row>
    <row r="44" spans="1:29" ht="20.25">
      <c r="A44" s="594"/>
      <c r="B44" s="527" t="s">
        <v>555</v>
      </c>
      <c r="C44" s="599" t="s">
        <v>3040</v>
      </c>
      <c r="D44" s="540">
        <v>100</v>
      </c>
      <c r="E44" s="599" t="s">
        <v>3040</v>
      </c>
      <c r="F44" s="540">
        <f>SUMIF(127:127,E44,128:128)-SUMIF(127:127,C44,128:128)+100</f>
        <v>100</v>
      </c>
      <c r="G44" s="599" t="s">
        <v>3040</v>
      </c>
      <c r="H44" s="540">
        <f>SUMIF(127:127,G44,128:128)-SUMIF(127:127,C44,128:128)+100</f>
        <v>100</v>
      </c>
      <c r="I44" s="599" t="s">
        <v>3040</v>
      </c>
      <c r="J44" s="540">
        <f>SUMIF(127:127,I44,128:128)-SUMIF(127:127,C44,128:128)+100</f>
        <v>100</v>
      </c>
      <c r="K44" s="584">
        <v>1</v>
      </c>
      <c r="L44" s="2141"/>
      <c r="M44" s="2131"/>
      <c r="N44" s="2131"/>
      <c r="O44" s="2140"/>
      <c r="P44" s="3473" t="s">
        <v>550</v>
      </c>
      <c r="Q44" s="1571" t="str">
        <f t="shared" si="14"/>
        <v>工程地质条件</v>
      </c>
      <c r="R44" s="1572" t="s">
        <v>8</v>
      </c>
      <c r="S44" s="1573">
        <f t="shared" si="10"/>
        <v>100</v>
      </c>
      <c r="T44" s="1572" t="s">
        <v>8</v>
      </c>
      <c r="U44" s="1573">
        <f t="shared" si="11"/>
        <v>100</v>
      </c>
      <c r="V44" s="1572" t="s">
        <v>8</v>
      </c>
      <c r="W44" s="1573">
        <f t="shared" si="12"/>
        <v>100</v>
      </c>
      <c r="X44" s="1566"/>
      <c r="Y44" s="3473" t="s">
        <v>550</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73"/>
      <c r="Q45" s="1571">
        <f t="shared" si="14"/>
        <v>111</v>
      </c>
      <c r="R45" s="1572" t="s">
        <v>8</v>
      </c>
      <c r="S45" s="1573">
        <f t="shared" si="10"/>
        <v>100</v>
      </c>
      <c r="T45" s="1572" t="s">
        <v>8</v>
      </c>
      <c r="U45" s="1573">
        <f t="shared" si="11"/>
        <v>100</v>
      </c>
      <c r="V45" s="1572" t="s">
        <v>8</v>
      </c>
      <c r="W45" s="1573">
        <f t="shared" si="12"/>
        <v>100</v>
      </c>
      <c r="X45" s="1566"/>
      <c r="Y45" s="3473"/>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73"/>
      <c r="Q46" s="1571">
        <f t="shared" si="14"/>
        <v>111</v>
      </c>
      <c r="R46" s="1572" t="s">
        <v>8</v>
      </c>
      <c r="S46" s="1573">
        <f t="shared" si="10"/>
        <v>100</v>
      </c>
      <c r="T46" s="1572" t="s">
        <v>8</v>
      </c>
      <c r="U46" s="1573">
        <f t="shared" si="11"/>
        <v>100</v>
      </c>
      <c r="V46" s="1572" t="s">
        <v>8</v>
      </c>
      <c r="W46" s="1573">
        <f t="shared" si="12"/>
        <v>100</v>
      </c>
      <c r="X46" s="1566"/>
      <c r="Y46" s="3473"/>
      <c r="Z46" s="1574">
        <f t="shared" si="13"/>
        <v>111</v>
      </c>
      <c r="AA46" s="1575">
        <f t="shared" si="3"/>
        <v>1</v>
      </c>
      <c r="AB46" s="1575">
        <f t="shared" si="4"/>
        <v>1</v>
      </c>
      <c r="AC46" s="1575">
        <f t="shared" si="5"/>
        <v>1</v>
      </c>
    </row>
    <row r="47" spans="1:29" s="1337"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73"/>
      <c r="Q47" s="1571">
        <f t="shared" si="14"/>
        <v>111</v>
      </c>
      <c r="R47" s="1576" t="s">
        <v>8</v>
      </c>
      <c r="S47" s="1577">
        <f t="shared" si="10"/>
        <v>100</v>
      </c>
      <c r="T47" s="1576" t="s">
        <v>8</v>
      </c>
      <c r="U47" s="1577">
        <f t="shared" si="11"/>
        <v>100</v>
      </c>
      <c r="V47" s="1576" t="s">
        <v>8</v>
      </c>
      <c r="W47" s="1577">
        <f t="shared" si="12"/>
        <v>100</v>
      </c>
      <c r="X47" s="1578"/>
      <c r="Y47" s="3473"/>
      <c r="Z47" s="1579">
        <f t="shared" si="13"/>
        <v>111</v>
      </c>
      <c r="AA47" s="1575">
        <f t="shared" si="3"/>
        <v>1</v>
      </c>
      <c r="AB47" s="1575">
        <f t="shared" si="4"/>
        <v>1</v>
      </c>
      <c r="AC47" s="1575">
        <f t="shared" si="5"/>
        <v>1</v>
      </c>
    </row>
    <row r="48" spans="1:29" ht="20.25">
      <c r="A48" s="607" t="s">
        <v>556</v>
      </c>
      <c r="B48" s="608" t="s">
        <v>3259</v>
      </c>
      <c r="C48" s="609" t="s">
        <v>1</v>
      </c>
      <c r="D48" s="610"/>
      <c r="E48" s="611">
        <v>31826</v>
      </c>
      <c r="F48" s="612"/>
      <c r="G48" s="613">
        <v>33847</v>
      </c>
      <c r="H48" s="614"/>
      <c r="I48" s="611">
        <v>32938</v>
      </c>
      <c r="J48" s="614"/>
      <c r="K48" s="1338"/>
      <c r="L48" s="2143"/>
      <c r="M48" s="2131"/>
      <c r="N48" s="2131"/>
      <c r="O48" s="2144"/>
      <c r="P48" s="3435" t="str">
        <f>A48</f>
        <v>成交单价</v>
      </c>
      <c r="Q48" s="3435"/>
      <c r="R48" s="3436">
        <f>E48</f>
        <v>31826</v>
      </c>
      <c r="S48" s="3436"/>
      <c r="T48" s="3436">
        <f>G48</f>
        <v>33847</v>
      </c>
      <c r="U48" s="3436"/>
      <c r="V48" s="3436">
        <f>I48</f>
        <v>32938</v>
      </c>
      <c r="W48" s="3436"/>
      <c r="X48" s="1558"/>
      <c r="Y48" s="1580"/>
      <c r="Z48" s="1558"/>
      <c r="AA48" s="1558"/>
      <c r="AB48" s="1558"/>
      <c r="AC48" s="1558"/>
    </row>
    <row r="49" spans="1:29" ht="21" thickBot="1">
      <c r="A49" s="615" t="s">
        <v>2692</v>
      </c>
      <c r="B49" s="616"/>
      <c r="C49" s="617">
        <f>R50</f>
        <v>36098</v>
      </c>
      <c r="D49" s="618"/>
      <c r="E49" s="617">
        <f>R49</f>
        <v>36293</v>
      </c>
      <c r="F49" s="619"/>
      <c r="G49" s="620">
        <f>T49</f>
        <v>36490</v>
      </c>
      <c r="H49" s="618"/>
      <c r="I49" s="617">
        <f>V49</f>
        <v>35510</v>
      </c>
      <c r="J49" s="618"/>
      <c r="K49" s="1339"/>
      <c r="L49" s="2143"/>
      <c r="M49" s="2131"/>
      <c r="N49" s="2131"/>
      <c r="O49" s="2144"/>
      <c r="P49" s="3435" t="str">
        <f>A49</f>
        <v>比较价格（元/平方米）</v>
      </c>
      <c r="Q49" s="3435"/>
      <c r="R49" s="3437">
        <f>ROUND(PRODUCT(R48,AA9:AA47),0)</f>
        <v>36293</v>
      </c>
      <c r="S49" s="3437"/>
      <c r="T49" s="3437">
        <f>ROUND(PRODUCT(T48,AB9:AB47),0)</f>
        <v>36490</v>
      </c>
      <c r="U49" s="3437"/>
      <c r="V49" s="3437">
        <f>ROUND(PRODUCT(V48,AC9:AC47),0)</f>
        <v>35510</v>
      </c>
      <c r="W49" s="3437"/>
      <c r="X49" s="1558"/>
      <c r="Y49" s="1558"/>
      <c r="Z49" s="1558"/>
      <c r="AA49" s="1558"/>
      <c r="AB49" s="1558"/>
      <c r="AC49" s="1558"/>
    </row>
    <row r="50" spans="1:29" ht="21" thickBot="1">
      <c r="A50" s="621" t="s">
        <v>2934</v>
      </c>
      <c r="B50" s="622"/>
      <c r="C50" s="623">
        <f>R50</f>
        <v>36098</v>
      </c>
      <c r="D50" s="623"/>
      <c r="E50" s="623"/>
      <c r="F50" s="623"/>
      <c r="G50" s="623"/>
      <c r="H50" s="623"/>
      <c r="I50" s="623"/>
      <c r="J50" s="623"/>
      <c r="K50" s="1340"/>
      <c r="L50" s="2143"/>
      <c r="M50" s="2131"/>
      <c r="N50" s="2131"/>
      <c r="O50" s="2144"/>
      <c r="P50" s="3432" t="str">
        <f>A50</f>
        <v>估价对象XX用房的比较价格（楼面单价，元/平方米）</v>
      </c>
      <c r="Q50" s="3433"/>
      <c r="R50" s="3434">
        <f>ROUND(AVERAGE(R49:V49),0)</f>
        <v>36098</v>
      </c>
      <c r="S50" s="3434"/>
      <c r="T50" s="3434"/>
      <c r="U50" s="3434"/>
      <c r="V50" s="3434"/>
      <c r="W50" s="3434"/>
      <c r="X50" s="1558"/>
      <c r="Y50" s="1558"/>
      <c r="Z50" s="1558"/>
      <c r="AA50" s="1558"/>
      <c r="AB50" s="1558"/>
      <c r="AC50" s="1558"/>
    </row>
    <row r="51" spans="1:29" ht="20.25">
      <c r="A51" s="2144"/>
      <c r="B51" s="2144"/>
      <c r="C51" s="2144"/>
      <c r="D51" s="2144"/>
      <c r="E51" s="2144">
        <f>E49*E40*E13</f>
        <v>2269580722.592</v>
      </c>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0.14035694086595862</v>
      </c>
      <c r="F53" s="627" t="str">
        <f>IF(OR(E53&gt;=0.3,E53&lt;=-0.3),"超过30%","")</f>
        <v/>
      </c>
      <c r="G53" s="626">
        <f>IF(G48&lt;G49,G49/G48-1,G48/G49-1)</f>
        <v>7.8086684196531531E-2</v>
      </c>
      <c r="H53" s="627" t="str">
        <f>IF(OR(G53&gt;=0.3,G53&lt;=-0.3),"超过30%","")</f>
        <v/>
      </c>
      <c r="I53" s="626">
        <f>IF(I48&lt;I49,I49/I48-1,I48/I49-1)</f>
        <v>7.8086101159754673E-2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5.428043975422181E-3</v>
      </c>
      <c r="F54" s="627" t="str">
        <f>IF(OR(E54&gt;=0.2,E54&lt;=-0.2),"超过20%","")</f>
        <v/>
      </c>
      <c r="G54" s="626">
        <f>IF(G49&lt;I49,I49/G49-1,G49/I49-1)</f>
        <v>2.7597859757814591E-2</v>
      </c>
      <c r="H54" s="627" t="str">
        <f>IF(OR(G54&gt;=0.2,G54&lt;=-0.2),"超过20%","")</f>
        <v/>
      </c>
      <c r="I54" s="626">
        <f>IF(I49&lt;E49,E49/I49-1,I49/E49-1)</f>
        <v>2.2050126724866281E-2</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3" customFormat="1" ht="13.5" customHeight="1">
      <c r="A55" s="2145"/>
      <c r="B55" s="2145"/>
      <c r="C55" s="624" t="s">
        <v>559</v>
      </c>
      <c r="D55" s="628"/>
      <c r="E55" s="626">
        <f>IF(E48&lt;G48,G48/E48-1,E48/G48-1)</f>
        <v>6.3501539621692915E-2</v>
      </c>
      <c r="F55" s="627" t="str">
        <f>IF(OR(E55&gt;=0.3,E55&lt;=-0.3),"超过30%","")</f>
        <v/>
      </c>
      <c r="G55" s="626">
        <f>IF(G48&lt;I48,I48/G48-1,G48/I48-1)</f>
        <v>2.7597304025745339E-2</v>
      </c>
      <c r="H55" s="627" t="str">
        <f>IF(OR(G55&gt;=0.3,G55&lt;=-0.3),"超过30%","")</f>
        <v/>
      </c>
      <c r="I55" s="626">
        <f>IF(I48&lt;E48,E48/I48-1,I48/E48-1)</f>
        <v>3.4939986174825632E-2</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1724</v>
      </c>
      <c r="D57" s="2226" t="s">
        <v>2293</v>
      </c>
      <c r="E57" s="631" t="s">
        <v>562</v>
      </c>
      <c r="F57" s="632" t="s">
        <v>563</v>
      </c>
      <c r="G57" s="3462" t="s">
        <v>2281</v>
      </c>
      <c r="H57" s="3463"/>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3" t="s">
        <v>564</v>
      </c>
      <c r="B58" s="634">
        <f>C50</f>
        <v>36098</v>
      </c>
      <c r="C58" s="635">
        <v>1</v>
      </c>
      <c r="D58" s="2227">
        <v>1</v>
      </c>
      <c r="E58" s="635">
        <f>'数据-汇总表'!E8+'数据-汇总表'!E9</f>
        <v>43120</v>
      </c>
      <c r="F58" s="636">
        <f t="shared" ref="F58:F67" si="15">ROUND(B58*E58/10000,0)</f>
        <v>155655</v>
      </c>
      <c r="G58" s="3464"/>
      <c r="H58" s="3465"/>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7" t="s">
        <v>565</v>
      </c>
      <c r="B59" s="638">
        <f>ROUND($C$50*C59*D59,0)</f>
        <v>0</v>
      </c>
      <c r="C59" s="378">
        <f t="shared" ref="C59:C67" si="16">IF($C$57="北京市系数",I59,J59)</f>
        <v>0</v>
      </c>
      <c r="D59" s="2228">
        <v>0.25</v>
      </c>
      <c r="E59" s="639">
        <v>0</v>
      </c>
      <c r="F59" s="636">
        <f t="shared" si="15"/>
        <v>0</v>
      </c>
      <c r="G59" s="3466"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7" t="s">
        <v>566</v>
      </c>
      <c r="B60" s="638">
        <f t="shared" ref="B60:B67" si="17">ROUND($C$50*C60*D60,0)</f>
        <v>0</v>
      </c>
      <c r="C60" s="378">
        <f t="shared" si="16"/>
        <v>0</v>
      </c>
      <c r="D60" s="2228">
        <v>0.25</v>
      </c>
      <c r="E60" s="639">
        <v>0</v>
      </c>
      <c r="F60" s="636">
        <f t="shared" si="15"/>
        <v>0</v>
      </c>
      <c r="G60" s="3466"/>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7" t="s">
        <v>567</v>
      </c>
      <c r="B61" s="638">
        <f t="shared" si="17"/>
        <v>0</v>
      </c>
      <c r="C61" s="378">
        <f t="shared" si="16"/>
        <v>0</v>
      </c>
      <c r="D61" s="2228">
        <v>0.25</v>
      </c>
      <c r="E61" s="639">
        <v>0</v>
      </c>
      <c r="F61" s="636">
        <f t="shared" si="15"/>
        <v>0</v>
      </c>
      <c r="G61" s="3466"/>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7" t="s">
        <v>568</v>
      </c>
      <c r="B62" s="638">
        <f t="shared" si="17"/>
        <v>0</v>
      </c>
      <c r="C62" s="378">
        <f t="shared" si="16"/>
        <v>0</v>
      </c>
      <c r="D62" s="2228">
        <v>0.25</v>
      </c>
      <c r="E62" s="639">
        <v>0</v>
      </c>
      <c r="F62" s="636">
        <f t="shared" si="15"/>
        <v>0</v>
      </c>
      <c r="G62" s="3466"/>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2328</v>
      </c>
      <c r="B63" s="638">
        <f t="shared" si="17"/>
        <v>0</v>
      </c>
      <c r="C63" s="378">
        <f t="shared" si="16"/>
        <v>0</v>
      </c>
      <c r="D63" s="2228">
        <v>0.25</v>
      </c>
      <c r="E63" s="641">
        <f>'数据-汇总表'!E11</f>
        <v>0</v>
      </c>
      <c r="F63" s="636">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7" t="s">
        <v>569</v>
      </c>
      <c r="B64" s="638">
        <f t="shared" si="17"/>
        <v>0</v>
      </c>
      <c r="C64" s="378">
        <f t="shared" si="16"/>
        <v>0</v>
      </c>
      <c r="D64" s="2228">
        <v>0.25</v>
      </c>
      <c r="E64" s="641">
        <f>'数据-汇总表'!E12</f>
        <v>0</v>
      </c>
      <c r="F64" s="636">
        <f t="shared" si="15"/>
        <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7" t="s">
        <v>570</v>
      </c>
      <c r="B65" s="638">
        <f t="shared" si="17"/>
        <v>0</v>
      </c>
      <c r="C65" s="378">
        <f t="shared" si="16"/>
        <v>0</v>
      </c>
      <c r="D65" s="2228">
        <v>0.25</v>
      </c>
      <c r="E65" s="641">
        <f>'数据-汇总表'!E13</f>
        <v>0</v>
      </c>
      <c r="F65" s="636">
        <f t="shared" si="15"/>
        <v>0</v>
      </c>
      <c r="G65" s="1945" t="s">
        <v>922</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7" t="s">
        <v>571</v>
      </c>
      <c r="B66" s="638">
        <f t="shared" si="17"/>
        <v>0</v>
      </c>
      <c r="C66" s="378">
        <f t="shared" si="16"/>
        <v>0</v>
      </c>
      <c r="D66" s="2228">
        <v>0.25</v>
      </c>
      <c r="E66" s="641">
        <f>'数据-汇总表'!E14</f>
        <v>0</v>
      </c>
      <c r="F66" s="636">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2" t="s">
        <v>573</v>
      </c>
      <c r="B68" s="643" t="s">
        <v>17</v>
      </c>
      <c r="C68" s="643" t="s">
        <v>18</v>
      </c>
      <c r="D68" s="643" t="s">
        <v>2294</v>
      </c>
      <c r="E68" s="643">
        <f>IF(B48="楼面地价",SUM(E58:E67),'数据-汇总表'!D3)</f>
        <v>43120</v>
      </c>
      <c r="F68" s="644">
        <f>IF(B48="楼面地价",SUM(F58:F67),ROUND(C50*E68/10000,0))</f>
        <v>155655</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5" t="str">
        <f>YEAR(C9)&amp;"-"&amp;MONTH(C9)&amp;"-1"</f>
        <v>2019-2-1</v>
      </c>
      <c r="D70" s="2775">
        <f>EDATE(C70,-3)</f>
        <v>43405</v>
      </c>
      <c r="E70" s="2775">
        <f t="shared" ref="E70:N70" si="18">EDATE(D70,-3)</f>
        <v>43313</v>
      </c>
      <c r="F70" s="2775">
        <f t="shared" si="18"/>
        <v>43221</v>
      </c>
      <c r="G70" s="2775">
        <f t="shared" si="18"/>
        <v>43132</v>
      </c>
      <c r="H70" s="2775">
        <f t="shared" si="18"/>
        <v>43040</v>
      </c>
      <c r="I70" s="2775">
        <f t="shared" si="18"/>
        <v>42948</v>
      </c>
      <c r="J70" s="2775">
        <f t="shared" si="18"/>
        <v>42856</v>
      </c>
      <c r="K70" s="2775">
        <f t="shared" si="18"/>
        <v>42767</v>
      </c>
      <c r="L70" s="2775">
        <f t="shared" si="18"/>
        <v>42675</v>
      </c>
      <c r="M70" s="2775">
        <f t="shared" si="18"/>
        <v>42583</v>
      </c>
      <c r="N70" s="2775">
        <f t="shared" si="18"/>
        <v>42491</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5" customFormat="1" ht="15">
      <c r="A72" s="2545" t="s">
        <v>2532</v>
      </c>
      <c r="B72" s="2546"/>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8"/>
      <c r="P72" s="2159"/>
      <c r="Q72" s="2160"/>
      <c r="R72" s="2160"/>
      <c r="S72" s="2160"/>
      <c r="T72" s="2160"/>
      <c r="U72" s="2160"/>
      <c r="V72" s="2160"/>
      <c r="W72" s="2160"/>
      <c r="X72" s="2160"/>
      <c r="Y72" s="2160"/>
      <c r="Z72" s="2160"/>
      <c r="AA72" s="2160"/>
      <c r="AB72" s="2160"/>
      <c r="AC72" s="2160"/>
    </row>
    <row r="73" spans="1:29" s="1218" customFormat="1" ht="27" customHeight="1">
      <c r="A73" s="2782" t="s">
        <v>922</v>
      </c>
      <c r="B73" s="479" t="str">
        <f>"北京市平均增长率"&amp;TEXT(SUMIF(基准地价!N21:N25,A73,基准地价!P21:P25),"0.00%")</f>
        <v>北京市平均增长率2.34%</v>
      </c>
      <c r="C73" s="894">
        <v>100</v>
      </c>
      <c r="D73" s="730">
        <v>98</v>
      </c>
      <c r="E73" s="730">
        <v>96</v>
      </c>
      <c r="F73" s="730">
        <v>94</v>
      </c>
      <c r="G73" s="730">
        <v>92</v>
      </c>
      <c r="H73" s="730">
        <v>90</v>
      </c>
      <c r="I73" s="730">
        <v>88</v>
      </c>
      <c r="J73" s="730">
        <v>86</v>
      </c>
      <c r="K73" s="730">
        <v>84</v>
      </c>
      <c r="L73" s="730">
        <v>82</v>
      </c>
      <c r="M73" s="730">
        <v>80</v>
      </c>
      <c r="N73" s="730">
        <v>78</v>
      </c>
      <c r="O73" s="730"/>
      <c r="P73" s="730"/>
      <c r="Q73" s="1992"/>
      <c r="R73" s="1992"/>
      <c r="S73" s="1992"/>
      <c r="T73" s="1992"/>
      <c r="U73" s="1992"/>
      <c r="V73" s="1992"/>
      <c r="W73" s="1992"/>
      <c r="X73" s="1992"/>
      <c r="Y73" s="1992"/>
      <c r="Z73" s="1992"/>
      <c r="AA73" s="1992"/>
      <c r="AB73" s="1992"/>
      <c r="AC73" s="1992"/>
    </row>
    <row r="74" spans="1:29" s="1218" customFormat="1" ht="15" customHeight="1" thickBot="1">
      <c r="A74" s="2772" t="s">
        <v>2646</v>
      </c>
      <c r="B74" s="2781"/>
      <c r="C74" s="2766"/>
      <c r="D74" s="2767"/>
      <c r="E74" s="2767"/>
      <c r="F74" s="2767"/>
      <c r="G74" s="2767"/>
      <c r="H74" s="2767"/>
      <c r="I74" s="2767"/>
      <c r="J74" s="2767"/>
      <c r="K74" s="2767"/>
      <c r="L74" s="2767"/>
      <c r="M74" s="2767"/>
      <c r="N74" s="2767"/>
      <c r="O74" s="2161"/>
      <c r="P74" s="2157"/>
      <c r="Q74" s="2157"/>
      <c r="R74" s="1992"/>
      <c r="S74" s="1992"/>
      <c r="T74" s="1992"/>
      <c r="U74" s="1992"/>
      <c r="V74" s="1992"/>
      <c r="W74" s="1992"/>
      <c r="X74" s="1992"/>
      <c r="Y74" s="1992"/>
      <c r="Z74" s="1992"/>
      <c r="AA74" s="1992"/>
      <c r="AB74" s="1992"/>
      <c r="AC74" s="1992"/>
    </row>
    <row r="75" spans="1:29" s="1218"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88" t="s">
        <v>3088</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1（含）-2</v>
      </c>
      <c r="D81" s="682" t="str">
        <f t="shared" ref="D81:L81" si="20">D82&amp;"（含）"&amp;"-"&amp;E82</f>
        <v>2（含）-3</v>
      </c>
      <c r="E81" s="682" t="str">
        <f t="shared" si="20"/>
        <v>3（含）-4</v>
      </c>
      <c r="F81" s="682" t="str">
        <f t="shared" si="20"/>
        <v>4（含）-5</v>
      </c>
      <c r="G81" s="682" t="str">
        <f t="shared" si="20"/>
        <v>5（含）-6</v>
      </c>
      <c r="H81" s="682" t="str">
        <f t="shared" si="20"/>
        <v>6（含）-7</v>
      </c>
      <c r="I81" s="682" t="str">
        <f t="shared" si="20"/>
        <v>7（含）-8</v>
      </c>
      <c r="J81" s="682" t="str">
        <f t="shared" si="20"/>
        <v>8（含）-9</v>
      </c>
      <c r="K81" s="682" t="str">
        <f t="shared" si="20"/>
        <v>9（含）-10</v>
      </c>
      <c r="L81" s="682" t="str">
        <f t="shared" si="20"/>
        <v>10（含）-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1</v>
      </c>
      <c r="D82" s="541">
        <v>2</v>
      </c>
      <c r="E82" s="541">
        <v>3</v>
      </c>
      <c r="F82" s="541">
        <v>4</v>
      </c>
      <c r="G82" s="541">
        <v>5</v>
      </c>
      <c r="H82" s="541">
        <v>6</v>
      </c>
      <c r="I82" s="541">
        <v>7</v>
      </c>
      <c r="J82" s="541">
        <v>8</v>
      </c>
      <c r="K82" s="541">
        <v>9</v>
      </c>
      <c r="L82" s="541">
        <v>10</v>
      </c>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7"/>
      <c r="B84" s="673" t="str">
        <f>B14</f>
        <v>配建</v>
      </c>
      <c r="C84" s="3190" t="s">
        <v>3261</v>
      </c>
      <c r="D84" s="1374" t="s">
        <v>3262</v>
      </c>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7"/>
      <c r="B85" s="678"/>
      <c r="C85" s="692">
        <v>100</v>
      </c>
      <c r="D85" s="671">
        <v>90</v>
      </c>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95</v>
      </c>
      <c r="E91" s="679">
        <f>D91-$K17</f>
        <v>90</v>
      </c>
      <c r="F91" s="679">
        <f>E91-$K17</f>
        <v>85</v>
      </c>
      <c r="G91" s="679">
        <f>F91-$K17</f>
        <v>80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95</v>
      </c>
      <c r="E97" s="679">
        <f>D97-$K23</f>
        <v>90</v>
      </c>
      <c r="F97" s="679">
        <f>E97-$K23</f>
        <v>85</v>
      </c>
      <c r="G97" s="679">
        <f>F97-$K23</f>
        <v>80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7"/>
      <c r="B102" s="1895" t="s">
        <v>2548</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7"/>
      <c r="B104" s="2574" t="s">
        <v>2550</v>
      </c>
      <c r="C104" s="2575" t="s">
        <v>2551</v>
      </c>
      <c r="D104" s="2575" t="s">
        <v>2552</v>
      </c>
      <c r="E104" s="2575" t="s">
        <v>2553</v>
      </c>
      <c r="F104" s="2575" t="s">
        <v>2554</v>
      </c>
      <c r="G104" s="2575"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7"/>
      <c r="B105" s="681"/>
      <c r="C105" s="679">
        <v>100</v>
      </c>
      <c r="D105" s="679">
        <f>C105-$K31</f>
        <v>99</v>
      </c>
      <c r="E105" s="679">
        <f>D105-$K31</f>
        <v>98</v>
      </c>
      <c r="F105" s="679">
        <f>E105-$K31</f>
        <v>97</v>
      </c>
      <c r="G105" s="679">
        <f>F105-$K31</f>
        <v>96</v>
      </c>
      <c r="H105" s="683"/>
      <c r="I105" s="683"/>
      <c r="J105" s="683"/>
      <c r="K105" s="683"/>
      <c r="L105" s="683"/>
      <c r="M105" s="2567"/>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688"/>
      <c r="D108" s="3190" t="s">
        <v>3258</v>
      </c>
      <c r="E108" s="3190" t="s">
        <v>3256</v>
      </c>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3189" t="s">
        <v>3089</v>
      </c>
      <c r="D110" s="3189" t="s">
        <v>3090</v>
      </c>
      <c r="E110" s="3189" t="s">
        <v>3091</v>
      </c>
      <c r="F110" s="3189" t="s">
        <v>3092</v>
      </c>
      <c r="G110" s="3189" t="s">
        <v>3093</v>
      </c>
      <c r="H110" s="3189" t="s">
        <v>3094</v>
      </c>
      <c r="I110" s="3189" t="s">
        <v>3095</v>
      </c>
      <c r="J110" s="3189" t="s">
        <v>3096</v>
      </c>
      <c r="K110" s="3189" t="s">
        <v>3097</v>
      </c>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90</v>
      </c>
      <c r="E111" s="679">
        <f t="shared" ref="E111:M111" si="24">D111-$K36</f>
        <v>80</v>
      </c>
      <c r="F111" s="679">
        <f t="shared" si="24"/>
        <v>70</v>
      </c>
      <c r="G111" s="679">
        <f t="shared" si="24"/>
        <v>60</v>
      </c>
      <c r="H111" s="679">
        <f t="shared" si="24"/>
        <v>50</v>
      </c>
      <c r="I111" s="679">
        <f t="shared" si="24"/>
        <v>40</v>
      </c>
      <c r="J111" s="679">
        <f t="shared" si="24"/>
        <v>30</v>
      </c>
      <c r="K111" s="679">
        <f t="shared" si="24"/>
        <v>20</v>
      </c>
      <c r="L111" s="679">
        <f t="shared" si="24"/>
        <v>10</v>
      </c>
      <c r="M111" s="679">
        <f t="shared" si="24"/>
        <v>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0(含)-40000</v>
      </c>
      <c r="D118" s="704" t="str">
        <f t="shared" si="25"/>
        <v>40000(含)-80000</v>
      </c>
      <c r="E118" s="704" t="str">
        <f t="shared" si="25"/>
        <v>80000(含)-120000</v>
      </c>
      <c r="F118" s="704" t="str">
        <f t="shared" si="25"/>
        <v>120000(含)-160000</v>
      </c>
      <c r="G118" s="704" t="str">
        <f t="shared" si="25"/>
        <v>160000(含)-200000</v>
      </c>
      <c r="H118" s="704" t="str">
        <f t="shared" si="25"/>
        <v>200000(含)-240000</v>
      </c>
      <c r="I118" s="704" t="str">
        <f t="shared" si="25"/>
        <v>240000(含)-280000</v>
      </c>
      <c r="J118" s="3066" t="str">
        <f t="shared" si="25"/>
        <v>280000(含)-320000</v>
      </c>
      <c r="K118" s="3066" t="str">
        <f t="shared" si="25"/>
        <v>320000(含)-</v>
      </c>
      <c r="L118" s="3067" t="str">
        <f t="shared" si="25"/>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40000</v>
      </c>
      <c r="E119" s="730">
        <v>80000</v>
      </c>
      <c r="F119" s="730">
        <v>120000</v>
      </c>
      <c r="G119" s="730">
        <v>160000</v>
      </c>
      <c r="H119" s="730">
        <v>200000</v>
      </c>
      <c r="I119" s="730">
        <v>240000</v>
      </c>
      <c r="J119" s="730">
        <v>280000</v>
      </c>
      <c r="K119" s="730">
        <v>320000</v>
      </c>
      <c r="L119" s="2345"/>
      <c r="M119" s="2346"/>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102</v>
      </c>
      <c r="E120" s="700">
        <v>104</v>
      </c>
      <c r="F120" s="726">
        <v>106</v>
      </c>
      <c r="G120" s="700">
        <v>108</v>
      </c>
      <c r="H120" s="726">
        <v>110</v>
      </c>
      <c r="I120" s="700">
        <v>112</v>
      </c>
      <c r="J120" s="726">
        <v>114</v>
      </c>
      <c r="K120" s="700">
        <v>116</v>
      </c>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9" t="s">
        <v>3099</v>
      </c>
      <c r="D121" s="3189" t="s">
        <v>3100</v>
      </c>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3190" t="s">
        <v>3101</v>
      </c>
      <c r="D123" s="3190" t="s">
        <v>3102</v>
      </c>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8"/>
      <c r="B125" s="1895" t="s">
        <v>2425</v>
      </c>
      <c r="C125" s="1374" t="s">
        <v>3103</v>
      </c>
      <c r="D125" s="1374" t="s">
        <v>3104</v>
      </c>
      <c r="E125" s="1374"/>
      <c r="F125" s="1374"/>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90" t="s">
        <v>3105</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H54" sqref="H54"/>
    </sheetView>
  </sheetViews>
  <sheetFormatPr defaultRowHeight="13.5"/>
  <cols>
    <col min="1" max="1" width="104.5" style="2915" customWidth="1"/>
    <col min="2" max="2" width="6.25" style="2915" customWidth="1"/>
    <col min="3" max="3" width="13.875" style="2915" customWidth="1"/>
    <col min="4" max="4" width="4.625" style="2915" customWidth="1"/>
    <col min="5" max="5" width="55.5" style="2915" customWidth="1"/>
    <col min="6" max="6" width="7.875" style="2915" customWidth="1"/>
    <col min="7" max="7" width="21.125" style="2915" customWidth="1"/>
    <col min="8" max="8" width="20.125" style="2915" customWidth="1"/>
    <col min="9" max="10" width="13.875" style="2915" customWidth="1"/>
    <col min="11" max="11" width="11.5" style="2915" customWidth="1"/>
    <col min="12" max="12" width="9" style="2915" customWidth="1"/>
    <col min="13" max="13" width="21.125" style="2915" customWidth="1"/>
    <col min="14" max="14" width="25.75" style="2915" customWidth="1"/>
    <col min="15" max="15" width="10.625" style="2915" customWidth="1"/>
    <col min="16" max="16" width="16" style="2915" customWidth="1"/>
    <col min="17" max="17" width="14.375" style="2915" customWidth="1"/>
    <col min="18" max="18" width="6.25" style="2915" customWidth="1"/>
    <col min="19" max="19" width="24.5" style="2915" customWidth="1"/>
    <col min="20" max="20" width="7.875" style="2915" customWidth="1"/>
    <col min="21" max="256" width="9" style="2915"/>
    <col min="257" max="257" width="104.5" style="2915" customWidth="1"/>
    <col min="258" max="258" width="6.25" style="2915" customWidth="1"/>
    <col min="259" max="259" width="13.875" style="2915" customWidth="1"/>
    <col min="260" max="260" width="4.625" style="2915" customWidth="1"/>
    <col min="261" max="261" width="55.5" style="2915" customWidth="1"/>
    <col min="262" max="262" width="7.875" style="2915" customWidth="1"/>
    <col min="263" max="263" width="21.125" style="2915" customWidth="1"/>
    <col min="264" max="264" width="65" style="2915" customWidth="1"/>
    <col min="265" max="266" width="13.875" style="2915" customWidth="1"/>
    <col min="267" max="267" width="11.5" style="2915" customWidth="1"/>
    <col min="268" max="268" width="9" style="2915" customWidth="1"/>
    <col min="269" max="269" width="21.125" style="2915" customWidth="1"/>
    <col min="270" max="270" width="103.75" style="2915" customWidth="1"/>
    <col min="271" max="271" width="10.625" style="2915" customWidth="1"/>
    <col min="272" max="272" width="16" style="2915" customWidth="1"/>
    <col min="273" max="273" width="14.375" style="2915" customWidth="1"/>
    <col min="274" max="274" width="6.25" style="2915" customWidth="1"/>
    <col min="275" max="275" width="24.5" style="2915" customWidth="1"/>
    <col min="276" max="276" width="7.875" style="2915" customWidth="1"/>
    <col min="277" max="512" width="9" style="2915"/>
    <col min="513" max="513" width="104.5" style="2915" customWidth="1"/>
    <col min="514" max="514" width="6.25" style="2915" customWidth="1"/>
    <col min="515" max="515" width="13.875" style="2915" customWidth="1"/>
    <col min="516" max="516" width="4.625" style="2915" customWidth="1"/>
    <col min="517" max="517" width="55.5" style="2915" customWidth="1"/>
    <col min="518" max="518" width="7.875" style="2915" customWidth="1"/>
    <col min="519" max="519" width="21.125" style="2915" customWidth="1"/>
    <col min="520" max="520" width="65" style="2915" customWidth="1"/>
    <col min="521" max="522" width="13.875" style="2915" customWidth="1"/>
    <col min="523" max="523" width="11.5" style="2915" customWidth="1"/>
    <col min="524" max="524" width="9" style="2915" customWidth="1"/>
    <col min="525" max="525" width="21.125" style="2915" customWidth="1"/>
    <col min="526" max="526" width="103.75" style="2915" customWidth="1"/>
    <col min="527" max="527" width="10.625" style="2915" customWidth="1"/>
    <col min="528" max="528" width="16" style="2915" customWidth="1"/>
    <col min="529" max="529" width="14.375" style="2915" customWidth="1"/>
    <col min="530" max="530" width="6.25" style="2915" customWidth="1"/>
    <col min="531" max="531" width="24.5" style="2915" customWidth="1"/>
    <col min="532" max="532" width="7.875" style="2915" customWidth="1"/>
    <col min="533" max="768" width="9" style="2915"/>
    <col min="769" max="769" width="104.5" style="2915" customWidth="1"/>
    <col min="770" max="770" width="6.25" style="2915" customWidth="1"/>
    <col min="771" max="771" width="13.875" style="2915" customWidth="1"/>
    <col min="772" max="772" width="4.625" style="2915" customWidth="1"/>
    <col min="773" max="773" width="55.5" style="2915" customWidth="1"/>
    <col min="774" max="774" width="7.875" style="2915" customWidth="1"/>
    <col min="775" max="775" width="21.125" style="2915" customWidth="1"/>
    <col min="776" max="776" width="65" style="2915" customWidth="1"/>
    <col min="777" max="778" width="13.875" style="2915" customWidth="1"/>
    <col min="779" max="779" width="11.5" style="2915" customWidth="1"/>
    <col min="780" max="780" width="9" style="2915" customWidth="1"/>
    <col min="781" max="781" width="21.125" style="2915" customWidth="1"/>
    <col min="782" max="782" width="103.75" style="2915" customWidth="1"/>
    <col min="783" max="783" width="10.625" style="2915" customWidth="1"/>
    <col min="784" max="784" width="16" style="2915" customWidth="1"/>
    <col min="785" max="785" width="14.375" style="2915" customWidth="1"/>
    <col min="786" max="786" width="6.25" style="2915" customWidth="1"/>
    <col min="787" max="787" width="24.5" style="2915" customWidth="1"/>
    <col min="788" max="788" width="7.875" style="2915" customWidth="1"/>
    <col min="789" max="1024" width="9" style="2915"/>
    <col min="1025" max="1025" width="104.5" style="2915" customWidth="1"/>
    <col min="1026" max="1026" width="6.25" style="2915" customWidth="1"/>
    <col min="1027" max="1027" width="13.875" style="2915" customWidth="1"/>
    <col min="1028" max="1028" width="4.625" style="2915" customWidth="1"/>
    <col min="1029" max="1029" width="55.5" style="2915" customWidth="1"/>
    <col min="1030" max="1030" width="7.875" style="2915" customWidth="1"/>
    <col min="1031" max="1031" width="21.125" style="2915" customWidth="1"/>
    <col min="1032" max="1032" width="65" style="2915" customWidth="1"/>
    <col min="1033" max="1034" width="13.875" style="2915" customWidth="1"/>
    <col min="1035" max="1035" width="11.5" style="2915" customWidth="1"/>
    <col min="1036" max="1036" width="9" style="2915" customWidth="1"/>
    <col min="1037" max="1037" width="21.125" style="2915" customWidth="1"/>
    <col min="1038" max="1038" width="103.75" style="2915" customWidth="1"/>
    <col min="1039" max="1039" width="10.625" style="2915" customWidth="1"/>
    <col min="1040" max="1040" width="16" style="2915" customWidth="1"/>
    <col min="1041" max="1041" width="14.375" style="2915" customWidth="1"/>
    <col min="1042" max="1042" width="6.25" style="2915" customWidth="1"/>
    <col min="1043" max="1043" width="24.5" style="2915" customWidth="1"/>
    <col min="1044" max="1044" width="7.875" style="2915" customWidth="1"/>
    <col min="1045" max="1280" width="9" style="2915"/>
    <col min="1281" max="1281" width="104.5" style="2915" customWidth="1"/>
    <col min="1282" max="1282" width="6.25" style="2915" customWidth="1"/>
    <col min="1283" max="1283" width="13.875" style="2915" customWidth="1"/>
    <col min="1284" max="1284" width="4.625" style="2915" customWidth="1"/>
    <col min="1285" max="1285" width="55.5" style="2915" customWidth="1"/>
    <col min="1286" max="1286" width="7.875" style="2915" customWidth="1"/>
    <col min="1287" max="1287" width="21.125" style="2915" customWidth="1"/>
    <col min="1288" max="1288" width="65" style="2915" customWidth="1"/>
    <col min="1289" max="1290" width="13.875" style="2915" customWidth="1"/>
    <col min="1291" max="1291" width="11.5" style="2915" customWidth="1"/>
    <col min="1292" max="1292" width="9" style="2915" customWidth="1"/>
    <col min="1293" max="1293" width="21.125" style="2915" customWidth="1"/>
    <col min="1294" max="1294" width="103.75" style="2915" customWidth="1"/>
    <col min="1295" max="1295" width="10.625" style="2915" customWidth="1"/>
    <col min="1296" max="1296" width="16" style="2915" customWidth="1"/>
    <col min="1297" max="1297" width="14.375" style="2915" customWidth="1"/>
    <col min="1298" max="1298" width="6.25" style="2915" customWidth="1"/>
    <col min="1299" max="1299" width="24.5" style="2915" customWidth="1"/>
    <col min="1300" max="1300" width="7.875" style="2915" customWidth="1"/>
    <col min="1301" max="1536" width="9" style="2915"/>
    <col min="1537" max="1537" width="104.5" style="2915" customWidth="1"/>
    <col min="1538" max="1538" width="6.25" style="2915" customWidth="1"/>
    <col min="1539" max="1539" width="13.875" style="2915" customWidth="1"/>
    <col min="1540" max="1540" width="4.625" style="2915" customWidth="1"/>
    <col min="1541" max="1541" width="55.5" style="2915" customWidth="1"/>
    <col min="1542" max="1542" width="7.875" style="2915" customWidth="1"/>
    <col min="1543" max="1543" width="21.125" style="2915" customWidth="1"/>
    <col min="1544" max="1544" width="65" style="2915" customWidth="1"/>
    <col min="1545" max="1546" width="13.875" style="2915" customWidth="1"/>
    <col min="1547" max="1547" width="11.5" style="2915" customWidth="1"/>
    <col min="1548" max="1548" width="9" style="2915" customWidth="1"/>
    <col min="1549" max="1549" width="21.125" style="2915" customWidth="1"/>
    <col min="1550" max="1550" width="103.75" style="2915" customWidth="1"/>
    <col min="1551" max="1551" width="10.625" style="2915" customWidth="1"/>
    <col min="1552" max="1552" width="16" style="2915" customWidth="1"/>
    <col min="1553" max="1553" width="14.375" style="2915" customWidth="1"/>
    <col min="1554" max="1554" width="6.25" style="2915" customWidth="1"/>
    <col min="1555" max="1555" width="24.5" style="2915" customWidth="1"/>
    <col min="1556" max="1556" width="7.875" style="2915" customWidth="1"/>
    <col min="1557" max="1792" width="9" style="2915"/>
    <col min="1793" max="1793" width="104.5" style="2915" customWidth="1"/>
    <col min="1794" max="1794" width="6.25" style="2915" customWidth="1"/>
    <col min="1795" max="1795" width="13.875" style="2915" customWidth="1"/>
    <col min="1796" max="1796" width="4.625" style="2915" customWidth="1"/>
    <col min="1797" max="1797" width="55.5" style="2915" customWidth="1"/>
    <col min="1798" max="1798" width="7.875" style="2915" customWidth="1"/>
    <col min="1799" max="1799" width="21.125" style="2915" customWidth="1"/>
    <col min="1800" max="1800" width="65" style="2915" customWidth="1"/>
    <col min="1801" max="1802" width="13.875" style="2915" customWidth="1"/>
    <col min="1803" max="1803" width="11.5" style="2915" customWidth="1"/>
    <col min="1804" max="1804" width="9" style="2915" customWidth="1"/>
    <col min="1805" max="1805" width="21.125" style="2915" customWidth="1"/>
    <col min="1806" max="1806" width="103.75" style="2915" customWidth="1"/>
    <col min="1807" max="1807" width="10.625" style="2915" customWidth="1"/>
    <col min="1808" max="1808" width="16" style="2915" customWidth="1"/>
    <col min="1809" max="1809" width="14.375" style="2915" customWidth="1"/>
    <col min="1810" max="1810" width="6.25" style="2915" customWidth="1"/>
    <col min="1811" max="1811" width="24.5" style="2915" customWidth="1"/>
    <col min="1812" max="1812" width="7.875" style="2915" customWidth="1"/>
    <col min="1813" max="2048" width="9" style="2915"/>
    <col min="2049" max="2049" width="104.5" style="2915" customWidth="1"/>
    <col min="2050" max="2050" width="6.25" style="2915" customWidth="1"/>
    <col min="2051" max="2051" width="13.875" style="2915" customWidth="1"/>
    <col min="2052" max="2052" width="4.625" style="2915" customWidth="1"/>
    <col min="2053" max="2053" width="55.5" style="2915" customWidth="1"/>
    <col min="2054" max="2054" width="7.875" style="2915" customWidth="1"/>
    <col min="2055" max="2055" width="21.125" style="2915" customWidth="1"/>
    <col min="2056" max="2056" width="65" style="2915" customWidth="1"/>
    <col min="2057" max="2058" width="13.875" style="2915" customWidth="1"/>
    <col min="2059" max="2059" width="11.5" style="2915" customWidth="1"/>
    <col min="2060" max="2060" width="9" style="2915" customWidth="1"/>
    <col min="2061" max="2061" width="21.125" style="2915" customWidth="1"/>
    <col min="2062" max="2062" width="103.75" style="2915" customWidth="1"/>
    <col min="2063" max="2063" width="10.625" style="2915" customWidth="1"/>
    <col min="2064" max="2064" width="16" style="2915" customWidth="1"/>
    <col min="2065" max="2065" width="14.375" style="2915" customWidth="1"/>
    <col min="2066" max="2066" width="6.25" style="2915" customWidth="1"/>
    <col min="2067" max="2067" width="24.5" style="2915" customWidth="1"/>
    <col min="2068" max="2068" width="7.875" style="2915" customWidth="1"/>
    <col min="2069" max="2304" width="9" style="2915"/>
    <col min="2305" max="2305" width="104.5" style="2915" customWidth="1"/>
    <col min="2306" max="2306" width="6.25" style="2915" customWidth="1"/>
    <col min="2307" max="2307" width="13.875" style="2915" customWidth="1"/>
    <col min="2308" max="2308" width="4.625" style="2915" customWidth="1"/>
    <col min="2309" max="2309" width="55.5" style="2915" customWidth="1"/>
    <col min="2310" max="2310" width="7.875" style="2915" customWidth="1"/>
    <col min="2311" max="2311" width="21.125" style="2915" customWidth="1"/>
    <col min="2312" max="2312" width="65" style="2915" customWidth="1"/>
    <col min="2313" max="2314" width="13.875" style="2915" customWidth="1"/>
    <col min="2315" max="2315" width="11.5" style="2915" customWidth="1"/>
    <col min="2316" max="2316" width="9" style="2915" customWidth="1"/>
    <col min="2317" max="2317" width="21.125" style="2915" customWidth="1"/>
    <col min="2318" max="2318" width="103.75" style="2915" customWidth="1"/>
    <col min="2319" max="2319" width="10.625" style="2915" customWidth="1"/>
    <col min="2320" max="2320" width="16" style="2915" customWidth="1"/>
    <col min="2321" max="2321" width="14.375" style="2915" customWidth="1"/>
    <col min="2322" max="2322" width="6.25" style="2915" customWidth="1"/>
    <col min="2323" max="2323" width="24.5" style="2915" customWidth="1"/>
    <col min="2324" max="2324" width="7.875" style="2915" customWidth="1"/>
    <col min="2325" max="2560" width="9" style="2915"/>
    <col min="2561" max="2561" width="104.5" style="2915" customWidth="1"/>
    <col min="2562" max="2562" width="6.25" style="2915" customWidth="1"/>
    <col min="2563" max="2563" width="13.875" style="2915" customWidth="1"/>
    <col min="2564" max="2564" width="4.625" style="2915" customWidth="1"/>
    <col min="2565" max="2565" width="55.5" style="2915" customWidth="1"/>
    <col min="2566" max="2566" width="7.875" style="2915" customWidth="1"/>
    <col min="2567" max="2567" width="21.125" style="2915" customWidth="1"/>
    <col min="2568" max="2568" width="65" style="2915" customWidth="1"/>
    <col min="2569" max="2570" width="13.875" style="2915" customWidth="1"/>
    <col min="2571" max="2571" width="11.5" style="2915" customWidth="1"/>
    <col min="2572" max="2572" width="9" style="2915" customWidth="1"/>
    <col min="2573" max="2573" width="21.125" style="2915" customWidth="1"/>
    <col min="2574" max="2574" width="103.75" style="2915" customWidth="1"/>
    <col min="2575" max="2575" width="10.625" style="2915" customWidth="1"/>
    <col min="2576" max="2576" width="16" style="2915" customWidth="1"/>
    <col min="2577" max="2577" width="14.375" style="2915" customWidth="1"/>
    <col min="2578" max="2578" width="6.25" style="2915" customWidth="1"/>
    <col min="2579" max="2579" width="24.5" style="2915" customWidth="1"/>
    <col min="2580" max="2580" width="7.875" style="2915" customWidth="1"/>
    <col min="2581" max="2816" width="9" style="2915"/>
    <col min="2817" max="2817" width="104.5" style="2915" customWidth="1"/>
    <col min="2818" max="2818" width="6.25" style="2915" customWidth="1"/>
    <col min="2819" max="2819" width="13.875" style="2915" customWidth="1"/>
    <col min="2820" max="2820" width="4.625" style="2915" customWidth="1"/>
    <col min="2821" max="2821" width="55.5" style="2915" customWidth="1"/>
    <col min="2822" max="2822" width="7.875" style="2915" customWidth="1"/>
    <col min="2823" max="2823" width="21.125" style="2915" customWidth="1"/>
    <col min="2824" max="2824" width="65" style="2915" customWidth="1"/>
    <col min="2825" max="2826" width="13.875" style="2915" customWidth="1"/>
    <col min="2827" max="2827" width="11.5" style="2915" customWidth="1"/>
    <col min="2828" max="2828" width="9" style="2915" customWidth="1"/>
    <col min="2829" max="2829" width="21.125" style="2915" customWidth="1"/>
    <col min="2830" max="2830" width="103.75" style="2915" customWidth="1"/>
    <col min="2831" max="2831" width="10.625" style="2915" customWidth="1"/>
    <col min="2832" max="2832" width="16" style="2915" customWidth="1"/>
    <col min="2833" max="2833" width="14.375" style="2915" customWidth="1"/>
    <col min="2834" max="2834" width="6.25" style="2915" customWidth="1"/>
    <col min="2835" max="2835" width="24.5" style="2915" customWidth="1"/>
    <col min="2836" max="2836" width="7.875" style="2915" customWidth="1"/>
    <col min="2837" max="3072" width="9" style="2915"/>
    <col min="3073" max="3073" width="104.5" style="2915" customWidth="1"/>
    <col min="3074" max="3074" width="6.25" style="2915" customWidth="1"/>
    <col min="3075" max="3075" width="13.875" style="2915" customWidth="1"/>
    <col min="3076" max="3076" width="4.625" style="2915" customWidth="1"/>
    <col min="3077" max="3077" width="55.5" style="2915" customWidth="1"/>
    <col min="3078" max="3078" width="7.875" style="2915" customWidth="1"/>
    <col min="3079" max="3079" width="21.125" style="2915" customWidth="1"/>
    <col min="3080" max="3080" width="65" style="2915" customWidth="1"/>
    <col min="3081" max="3082" width="13.875" style="2915" customWidth="1"/>
    <col min="3083" max="3083" width="11.5" style="2915" customWidth="1"/>
    <col min="3084" max="3084" width="9" style="2915" customWidth="1"/>
    <col min="3085" max="3085" width="21.125" style="2915" customWidth="1"/>
    <col min="3086" max="3086" width="103.75" style="2915" customWidth="1"/>
    <col min="3087" max="3087" width="10.625" style="2915" customWidth="1"/>
    <col min="3088" max="3088" width="16" style="2915" customWidth="1"/>
    <col min="3089" max="3089" width="14.375" style="2915" customWidth="1"/>
    <col min="3090" max="3090" width="6.25" style="2915" customWidth="1"/>
    <col min="3091" max="3091" width="24.5" style="2915" customWidth="1"/>
    <col min="3092" max="3092" width="7.875" style="2915" customWidth="1"/>
    <col min="3093" max="3328" width="9" style="2915"/>
    <col min="3329" max="3329" width="104.5" style="2915" customWidth="1"/>
    <col min="3330" max="3330" width="6.25" style="2915" customWidth="1"/>
    <col min="3331" max="3331" width="13.875" style="2915" customWidth="1"/>
    <col min="3332" max="3332" width="4.625" style="2915" customWidth="1"/>
    <col min="3333" max="3333" width="55.5" style="2915" customWidth="1"/>
    <col min="3334" max="3334" width="7.875" style="2915" customWidth="1"/>
    <col min="3335" max="3335" width="21.125" style="2915" customWidth="1"/>
    <col min="3336" max="3336" width="65" style="2915" customWidth="1"/>
    <col min="3337" max="3338" width="13.875" style="2915" customWidth="1"/>
    <col min="3339" max="3339" width="11.5" style="2915" customWidth="1"/>
    <col min="3340" max="3340" width="9" style="2915" customWidth="1"/>
    <col min="3341" max="3341" width="21.125" style="2915" customWidth="1"/>
    <col min="3342" max="3342" width="103.75" style="2915" customWidth="1"/>
    <col min="3343" max="3343" width="10.625" style="2915" customWidth="1"/>
    <col min="3344" max="3344" width="16" style="2915" customWidth="1"/>
    <col min="3345" max="3345" width="14.375" style="2915" customWidth="1"/>
    <col min="3346" max="3346" width="6.25" style="2915" customWidth="1"/>
    <col min="3347" max="3347" width="24.5" style="2915" customWidth="1"/>
    <col min="3348" max="3348" width="7.875" style="2915" customWidth="1"/>
    <col min="3349" max="3584" width="9" style="2915"/>
    <col min="3585" max="3585" width="104.5" style="2915" customWidth="1"/>
    <col min="3586" max="3586" width="6.25" style="2915" customWidth="1"/>
    <col min="3587" max="3587" width="13.875" style="2915" customWidth="1"/>
    <col min="3588" max="3588" width="4.625" style="2915" customWidth="1"/>
    <col min="3589" max="3589" width="55.5" style="2915" customWidth="1"/>
    <col min="3590" max="3590" width="7.875" style="2915" customWidth="1"/>
    <col min="3591" max="3591" width="21.125" style="2915" customWidth="1"/>
    <col min="3592" max="3592" width="65" style="2915" customWidth="1"/>
    <col min="3593" max="3594" width="13.875" style="2915" customWidth="1"/>
    <col min="3595" max="3595" width="11.5" style="2915" customWidth="1"/>
    <col min="3596" max="3596" width="9" style="2915" customWidth="1"/>
    <col min="3597" max="3597" width="21.125" style="2915" customWidth="1"/>
    <col min="3598" max="3598" width="103.75" style="2915" customWidth="1"/>
    <col min="3599" max="3599" width="10.625" style="2915" customWidth="1"/>
    <col min="3600" max="3600" width="16" style="2915" customWidth="1"/>
    <col min="3601" max="3601" width="14.375" style="2915" customWidth="1"/>
    <col min="3602" max="3602" width="6.25" style="2915" customWidth="1"/>
    <col min="3603" max="3603" width="24.5" style="2915" customWidth="1"/>
    <col min="3604" max="3604" width="7.875" style="2915" customWidth="1"/>
    <col min="3605" max="3840" width="9" style="2915"/>
    <col min="3841" max="3841" width="104.5" style="2915" customWidth="1"/>
    <col min="3842" max="3842" width="6.25" style="2915" customWidth="1"/>
    <col min="3843" max="3843" width="13.875" style="2915" customWidth="1"/>
    <col min="3844" max="3844" width="4.625" style="2915" customWidth="1"/>
    <col min="3845" max="3845" width="55.5" style="2915" customWidth="1"/>
    <col min="3846" max="3846" width="7.875" style="2915" customWidth="1"/>
    <col min="3847" max="3847" width="21.125" style="2915" customWidth="1"/>
    <col min="3848" max="3848" width="65" style="2915" customWidth="1"/>
    <col min="3849" max="3850" width="13.875" style="2915" customWidth="1"/>
    <col min="3851" max="3851" width="11.5" style="2915" customWidth="1"/>
    <col min="3852" max="3852" width="9" style="2915" customWidth="1"/>
    <col min="3853" max="3853" width="21.125" style="2915" customWidth="1"/>
    <col min="3854" max="3854" width="103.75" style="2915" customWidth="1"/>
    <col min="3855" max="3855" width="10.625" style="2915" customWidth="1"/>
    <col min="3856" max="3856" width="16" style="2915" customWidth="1"/>
    <col min="3857" max="3857" width="14.375" style="2915" customWidth="1"/>
    <col min="3858" max="3858" width="6.25" style="2915" customWidth="1"/>
    <col min="3859" max="3859" width="24.5" style="2915" customWidth="1"/>
    <col min="3860" max="3860" width="7.875" style="2915" customWidth="1"/>
    <col min="3861" max="4096" width="9" style="2915"/>
    <col min="4097" max="4097" width="104.5" style="2915" customWidth="1"/>
    <col min="4098" max="4098" width="6.25" style="2915" customWidth="1"/>
    <col min="4099" max="4099" width="13.875" style="2915" customWidth="1"/>
    <col min="4100" max="4100" width="4.625" style="2915" customWidth="1"/>
    <col min="4101" max="4101" width="55.5" style="2915" customWidth="1"/>
    <col min="4102" max="4102" width="7.875" style="2915" customWidth="1"/>
    <col min="4103" max="4103" width="21.125" style="2915" customWidth="1"/>
    <col min="4104" max="4104" width="65" style="2915" customWidth="1"/>
    <col min="4105" max="4106" width="13.875" style="2915" customWidth="1"/>
    <col min="4107" max="4107" width="11.5" style="2915" customWidth="1"/>
    <col min="4108" max="4108" width="9" style="2915" customWidth="1"/>
    <col min="4109" max="4109" width="21.125" style="2915" customWidth="1"/>
    <col min="4110" max="4110" width="103.75" style="2915" customWidth="1"/>
    <col min="4111" max="4111" width="10.625" style="2915" customWidth="1"/>
    <col min="4112" max="4112" width="16" style="2915" customWidth="1"/>
    <col min="4113" max="4113" width="14.375" style="2915" customWidth="1"/>
    <col min="4114" max="4114" width="6.25" style="2915" customWidth="1"/>
    <col min="4115" max="4115" width="24.5" style="2915" customWidth="1"/>
    <col min="4116" max="4116" width="7.875" style="2915" customWidth="1"/>
    <col min="4117" max="4352" width="9" style="2915"/>
    <col min="4353" max="4353" width="104.5" style="2915" customWidth="1"/>
    <col min="4354" max="4354" width="6.25" style="2915" customWidth="1"/>
    <col min="4355" max="4355" width="13.875" style="2915" customWidth="1"/>
    <col min="4356" max="4356" width="4.625" style="2915" customWidth="1"/>
    <col min="4357" max="4357" width="55.5" style="2915" customWidth="1"/>
    <col min="4358" max="4358" width="7.875" style="2915" customWidth="1"/>
    <col min="4359" max="4359" width="21.125" style="2915" customWidth="1"/>
    <col min="4360" max="4360" width="65" style="2915" customWidth="1"/>
    <col min="4361" max="4362" width="13.875" style="2915" customWidth="1"/>
    <col min="4363" max="4363" width="11.5" style="2915" customWidth="1"/>
    <col min="4364" max="4364" width="9" style="2915" customWidth="1"/>
    <col min="4365" max="4365" width="21.125" style="2915" customWidth="1"/>
    <col min="4366" max="4366" width="103.75" style="2915" customWidth="1"/>
    <col min="4367" max="4367" width="10.625" style="2915" customWidth="1"/>
    <col min="4368" max="4368" width="16" style="2915" customWidth="1"/>
    <col min="4369" max="4369" width="14.375" style="2915" customWidth="1"/>
    <col min="4370" max="4370" width="6.25" style="2915" customWidth="1"/>
    <col min="4371" max="4371" width="24.5" style="2915" customWidth="1"/>
    <col min="4372" max="4372" width="7.875" style="2915" customWidth="1"/>
    <col min="4373" max="4608" width="9" style="2915"/>
    <col min="4609" max="4609" width="104.5" style="2915" customWidth="1"/>
    <col min="4610" max="4610" width="6.25" style="2915" customWidth="1"/>
    <col min="4611" max="4611" width="13.875" style="2915" customWidth="1"/>
    <col min="4612" max="4612" width="4.625" style="2915" customWidth="1"/>
    <col min="4613" max="4613" width="55.5" style="2915" customWidth="1"/>
    <col min="4614" max="4614" width="7.875" style="2915" customWidth="1"/>
    <col min="4615" max="4615" width="21.125" style="2915" customWidth="1"/>
    <col min="4616" max="4616" width="65" style="2915" customWidth="1"/>
    <col min="4617" max="4618" width="13.875" style="2915" customWidth="1"/>
    <col min="4619" max="4619" width="11.5" style="2915" customWidth="1"/>
    <col min="4620" max="4620" width="9" style="2915" customWidth="1"/>
    <col min="4621" max="4621" width="21.125" style="2915" customWidth="1"/>
    <col min="4622" max="4622" width="103.75" style="2915" customWidth="1"/>
    <col min="4623" max="4623" width="10.625" style="2915" customWidth="1"/>
    <col min="4624" max="4624" width="16" style="2915" customWidth="1"/>
    <col min="4625" max="4625" width="14.375" style="2915" customWidth="1"/>
    <col min="4626" max="4626" width="6.25" style="2915" customWidth="1"/>
    <col min="4627" max="4627" width="24.5" style="2915" customWidth="1"/>
    <col min="4628" max="4628" width="7.875" style="2915" customWidth="1"/>
    <col min="4629" max="4864" width="9" style="2915"/>
    <col min="4865" max="4865" width="104.5" style="2915" customWidth="1"/>
    <col min="4866" max="4866" width="6.25" style="2915" customWidth="1"/>
    <col min="4867" max="4867" width="13.875" style="2915" customWidth="1"/>
    <col min="4868" max="4868" width="4.625" style="2915" customWidth="1"/>
    <col min="4869" max="4869" width="55.5" style="2915" customWidth="1"/>
    <col min="4870" max="4870" width="7.875" style="2915" customWidth="1"/>
    <col min="4871" max="4871" width="21.125" style="2915" customWidth="1"/>
    <col min="4872" max="4872" width="65" style="2915" customWidth="1"/>
    <col min="4873" max="4874" width="13.875" style="2915" customWidth="1"/>
    <col min="4875" max="4875" width="11.5" style="2915" customWidth="1"/>
    <col min="4876" max="4876" width="9" style="2915" customWidth="1"/>
    <col min="4877" max="4877" width="21.125" style="2915" customWidth="1"/>
    <col min="4878" max="4878" width="103.75" style="2915" customWidth="1"/>
    <col min="4879" max="4879" width="10.625" style="2915" customWidth="1"/>
    <col min="4880" max="4880" width="16" style="2915" customWidth="1"/>
    <col min="4881" max="4881" width="14.375" style="2915" customWidth="1"/>
    <col min="4882" max="4882" width="6.25" style="2915" customWidth="1"/>
    <col min="4883" max="4883" width="24.5" style="2915" customWidth="1"/>
    <col min="4884" max="4884" width="7.875" style="2915" customWidth="1"/>
    <col min="4885" max="5120" width="9" style="2915"/>
    <col min="5121" max="5121" width="104.5" style="2915" customWidth="1"/>
    <col min="5122" max="5122" width="6.25" style="2915" customWidth="1"/>
    <col min="5123" max="5123" width="13.875" style="2915" customWidth="1"/>
    <col min="5124" max="5124" width="4.625" style="2915" customWidth="1"/>
    <col min="5125" max="5125" width="55.5" style="2915" customWidth="1"/>
    <col min="5126" max="5126" width="7.875" style="2915" customWidth="1"/>
    <col min="5127" max="5127" width="21.125" style="2915" customWidth="1"/>
    <col min="5128" max="5128" width="65" style="2915" customWidth="1"/>
    <col min="5129" max="5130" width="13.875" style="2915" customWidth="1"/>
    <col min="5131" max="5131" width="11.5" style="2915" customWidth="1"/>
    <col min="5132" max="5132" width="9" style="2915" customWidth="1"/>
    <col min="5133" max="5133" width="21.125" style="2915" customWidth="1"/>
    <col min="5134" max="5134" width="103.75" style="2915" customWidth="1"/>
    <col min="5135" max="5135" width="10.625" style="2915" customWidth="1"/>
    <col min="5136" max="5136" width="16" style="2915" customWidth="1"/>
    <col min="5137" max="5137" width="14.375" style="2915" customWidth="1"/>
    <col min="5138" max="5138" width="6.25" style="2915" customWidth="1"/>
    <col min="5139" max="5139" width="24.5" style="2915" customWidth="1"/>
    <col min="5140" max="5140" width="7.875" style="2915" customWidth="1"/>
    <col min="5141" max="5376" width="9" style="2915"/>
    <col min="5377" max="5377" width="104.5" style="2915" customWidth="1"/>
    <col min="5378" max="5378" width="6.25" style="2915" customWidth="1"/>
    <col min="5379" max="5379" width="13.875" style="2915" customWidth="1"/>
    <col min="5380" max="5380" width="4.625" style="2915" customWidth="1"/>
    <col min="5381" max="5381" width="55.5" style="2915" customWidth="1"/>
    <col min="5382" max="5382" width="7.875" style="2915" customWidth="1"/>
    <col min="5383" max="5383" width="21.125" style="2915" customWidth="1"/>
    <col min="5384" max="5384" width="65" style="2915" customWidth="1"/>
    <col min="5385" max="5386" width="13.875" style="2915" customWidth="1"/>
    <col min="5387" max="5387" width="11.5" style="2915" customWidth="1"/>
    <col min="5388" max="5388" width="9" style="2915" customWidth="1"/>
    <col min="5389" max="5389" width="21.125" style="2915" customWidth="1"/>
    <col min="5390" max="5390" width="103.75" style="2915" customWidth="1"/>
    <col min="5391" max="5391" width="10.625" style="2915" customWidth="1"/>
    <col min="5392" max="5392" width="16" style="2915" customWidth="1"/>
    <col min="5393" max="5393" width="14.375" style="2915" customWidth="1"/>
    <col min="5394" max="5394" width="6.25" style="2915" customWidth="1"/>
    <col min="5395" max="5395" width="24.5" style="2915" customWidth="1"/>
    <col min="5396" max="5396" width="7.875" style="2915" customWidth="1"/>
    <col min="5397" max="5632" width="9" style="2915"/>
    <col min="5633" max="5633" width="104.5" style="2915" customWidth="1"/>
    <col min="5634" max="5634" width="6.25" style="2915" customWidth="1"/>
    <col min="5635" max="5635" width="13.875" style="2915" customWidth="1"/>
    <col min="5636" max="5636" width="4.625" style="2915" customWidth="1"/>
    <col min="5637" max="5637" width="55.5" style="2915" customWidth="1"/>
    <col min="5638" max="5638" width="7.875" style="2915" customWidth="1"/>
    <col min="5639" max="5639" width="21.125" style="2915" customWidth="1"/>
    <col min="5640" max="5640" width="65" style="2915" customWidth="1"/>
    <col min="5641" max="5642" width="13.875" style="2915" customWidth="1"/>
    <col min="5643" max="5643" width="11.5" style="2915" customWidth="1"/>
    <col min="5644" max="5644" width="9" style="2915" customWidth="1"/>
    <col min="5645" max="5645" width="21.125" style="2915" customWidth="1"/>
    <col min="5646" max="5646" width="103.75" style="2915" customWidth="1"/>
    <col min="5647" max="5647" width="10.625" style="2915" customWidth="1"/>
    <col min="5648" max="5648" width="16" style="2915" customWidth="1"/>
    <col min="5649" max="5649" width="14.375" style="2915" customWidth="1"/>
    <col min="5650" max="5650" width="6.25" style="2915" customWidth="1"/>
    <col min="5651" max="5651" width="24.5" style="2915" customWidth="1"/>
    <col min="5652" max="5652" width="7.875" style="2915" customWidth="1"/>
    <col min="5653" max="5888" width="9" style="2915"/>
    <col min="5889" max="5889" width="104.5" style="2915" customWidth="1"/>
    <col min="5890" max="5890" width="6.25" style="2915" customWidth="1"/>
    <col min="5891" max="5891" width="13.875" style="2915" customWidth="1"/>
    <col min="5892" max="5892" width="4.625" style="2915" customWidth="1"/>
    <col min="5893" max="5893" width="55.5" style="2915" customWidth="1"/>
    <col min="5894" max="5894" width="7.875" style="2915" customWidth="1"/>
    <col min="5895" max="5895" width="21.125" style="2915" customWidth="1"/>
    <col min="5896" max="5896" width="65" style="2915" customWidth="1"/>
    <col min="5897" max="5898" width="13.875" style="2915" customWidth="1"/>
    <col min="5899" max="5899" width="11.5" style="2915" customWidth="1"/>
    <col min="5900" max="5900" width="9" style="2915" customWidth="1"/>
    <col min="5901" max="5901" width="21.125" style="2915" customWidth="1"/>
    <col min="5902" max="5902" width="103.75" style="2915" customWidth="1"/>
    <col min="5903" max="5903" width="10.625" style="2915" customWidth="1"/>
    <col min="5904" max="5904" width="16" style="2915" customWidth="1"/>
    <col min="5905" max="5905" width="14.375" style="2915" customWidth="1"/>
    <col min="5906" max="5906" width="6.25" style="2915" customWidth="1"/>
    <col min="5907" max="5907" width="24.5" style="2915" customWidth="1"/>
    <col min="5908" max="5908" width="7.875" style="2915" customWidth="1"/>
    <col min="5909" max="6144" width="9" style="2915"/>
    <col min="6145" max="6145" width="104.5" style="2915" customWidth="1"/>
    <col min="6146" max="6146" width="6.25" style="2915" customWidth="1"/>
    <col min="6147" max="6147" width="13.875" style="2915" customWidth="1"/>
    <col min="6148" max="6148" width="4.625" style="2915" customWidth="1"/>
    <col min="6149" max="6149" width="55.5" style="2915" customWidth="1"/>
    <col min="6150" max="6150" width="7.875" style="2915" customWidth="1"/>
    <col min="6151" max="6151" width="21.125" style="2915" customWidth="1"/>
    <col min="6152" max="6152" width="65" style="2915" customWidth="1"/>
    <col min="6153" max="6154" width="13.875" style="2915" customWidth="1"/>
    <col min="6155" max="6155" width="11.5" style="2915" customWidth="1"/>
    <col min="6156" max="6156" width="9" style="2915" customWidth="1"/>
    <col min="6157" max="6157" width="21.125" style="2915" customWidth="1"/>
    <col min="6158" max="6158" width="103.75" style="2915" customWidth="1"/>
    <col min="6159" max="6159" width="10.625" style="2915" customWidth="1"/>
    <col min="6160" max="6160" width="16" style="2915" customWidth="1"/>
    <col min="6161" max="6161" width="14.375" style="2915" customWidth="1"/>
    <col min="6162" max="6162" width="6.25" style="2915" customWidth="1"/>
    <col min="6163" max="6163" width="24.5" style="2915" customWidth="1"/>
    <col min="6164" max="6164" width="7.875" style="2915" customWidth="1"/>
    <col min="6165" max="6400" width="9" style="2915"/>
    <col min="6401" max="6401" width="104.5" style="2915" customWidth="1"/>
    <col min="6402" max="6402" width="6.25" style="2915" customWidth="1"/>
    <col min="6403" max="6403" width="13.875" style="2915" customWidth="1"/>
    <col min="6404" max="6404" width="4.625" style="2915" customWidth="1"/>
    <col min="6405" max="6405" width="55.5" style="2915" customWidth="1"/>
    <col min="6406" max="6406" width="7.875" style="2915" customWidth="1"/>
    <col min="6407" max="6407" width="21.125" style="2915" customWidth="1"/>
    <col min="6408" max="6408" width="65" style="2915" customWidth="1"/>
    <col min="6409" max="6410" width="13.875" style="2915" customWidth="1"/>
    <col min="6411" max="6411" width="11.5" style="2915" customWidth="1"/>
    <col min="6412" max="6412" width="9" style="2915" customWidth="1"/>
    <col min="6413" max="6413" width="21.125" style="2915" customWidth="1"/>
    <col min="6414" max="6414" width="103.75" style="2915" customWidth="1"/>
    <col min="6415" max="6415" width="10.625" style="2915" customWidth="1"/>
    <col min="6416" max="6416" width="16" style="2915" customWidth="1"/>
    <col min="6417" max="6417" width="14.375" style="2915" customWidth="1"/>
    <col min="6418" max="6418" width="6.25" style="2915" customWidth="1"/>
    <col min="6419" max="6419" width="24.5" style="2915" customWidth="1"/>
    <col min="6420" max="6420" width="7.875" style="2915" customWidth="1"/>
    <col min="6421" max="6656" width="9" style="2915"/>
    <col min="6657" max="6657" width="104.5" style="2915" customWidth="1"/>
    <col min="6658" max="6658" width="6.25" style="2915" customWidth="1"/>
    <col min="6659" max="6659" width="13.875" style="2915" customWidth="1"/>
    <col min="6660" max="6660" width="4.625" style="2915" customWidth="1"/>
    <col min="6661" max="6661" width="55.5" style="2915" customWidth="1"/>
    <col min="6662" max="6662" width="7.875" style="2915" customWidth="1"/>
    <col min="6663" max="6663" width="21.125" style="2915" customWidth="1"/>
    <col min="6664" max="6664" width="65" style="2915" customWidth="1"/>
    <col min="6665" max="6666" width="13.875" style="2915" customWidth="1"/>
    <col min="6667" max="6667" width="11.5" style="2915" customWidth="1"/>
    <col min="6668" max="6668" width="9" style="2915" customWidth="1"/>
    <col min="6669" max="6669" width="21.125" style="2915" customWidth="1"/>
    <col min="6670" max="6670" width="103.75" style="2915" customWidth="1"/>
    <col min="6671" max="6671" width="10.625" style="2915" customWidth="1"/>
    <col min="6672" max="6672" width="16" style="2915" customWidth="1"/>
    <col min="6673" max="6673" width="14.375" style="2915" customWidth="1"/>
    <col min="6674" max="6674" width="6.25" style="2915" customWidth="1"/>
    <col min="6675" max="6675" width="24.5" style="2915" customWidth="1"/>
    <col min="6676" max="6676" width="7.875" style="2915" customWidth="1"/>
    <col min="6677" max="6912" width="9" style="2915"/>
    <col min="6913" max="6913" width="104.5" style="2915" customWidth="1"/>
    <col min="6914" max="6914" width="6.25" style="2915" customWidth="1"/>
    <col min="6915" max="6915" width="13.875" style="2915" customWidth="1"/>
    <col min="6916" max="6916" width="4.625" style="2915" customWidth="1"/>
    <col min="6917" max="6917" width="55.5" style="2915" customWidth="1"/>
    <col min="6918" max="6918" width="7.875" style="2915" customWidth="1"/>
    <col min="6919" max="6919" width="21.125" style="2915" customWidth="1"/>
    <col min="6920" max="6920" width="65" style="2915" customWidth="1"/>
    <col min="6921" max="6922" width="13.875" style="2915" customWidth="1"/>
    <col min="6923" max="6923" width="11.5" style="2915" customWidth="1"/>
    <col min="6924" max="6924" width="9" style="2915" customWidth="1"/>
    <col min="6925" max="6925" width="21.125" style="2915" customWidth="1"/>
    <col min="6926" max="6926" width="103.75" style="2915" customWidth="1"/>
    <col min="6927" max="6927" width="10.625" style="2915" customWidth="1"/>
    <col min="6928" max="6928" width="16" style="2915" customWidth="1"/>
    <col min="6929" max="6929" width="14.375" style="2915" customWidth="1"/>
    <col min="6930" max="6930" width="6.25" style="2915" customWidth="1"/>
    <col min="6931" max="6931" width="24.5" style="2915" customWidth="1"/>
    <col min="6932" max="6932" width="7.875" style="2915" customWidth="1"/>
    <col min="6933" max="7168" width="9" style="2915"/>
    <col min="7169" max="7169" width="104.5" style="2915" customWidth="1"/>
    <col min="7170" max="7170" width="6.25" style="2915" customWidth="1"/>
    <col min="7171" max="7171" width="13.875" style="2915" customWidth="1"/>
    <col min="7172" max="7172" width="4.625" style="2915" customWidth="1"/>
    <col min="7173" max="7173" width="55.5" style="2915" customWidth="1"/>
    <col min="7174" max="7174" width="7.875" style="2915" customWidth="1"/>
    <col min="7175" max="7175" width="21.125" style="2915" customWidth="1"/>
    <col min="7176" max="7176" width="65" style="2915" customWidth="1"/>
    <col min="7177" max="7178" width="13.875" style="2915" customWidth="1"/>
    <col min="7179" max="7179" width="11.5" style="2915" customWidth="1"/>
    <col min="7180" max="7180" width="9" style="2915" customWidth="1"/>
    <col min="7181" max="7181" width="21.125" style="2915" customWidth="1"/>
    <col min="7182" max="7182" width="103.75" style="2915" customWidth="1"/>
    <col min="7183" max="7183" width="10.625" style="2915" customWidth="1"/>
    <col min="7184" max="7184" width="16" style="2915" customWidth="1"/>
    <col min="7185" max="7185" width="14.375" style="2915" customWidth="1"/>
    <col min="7186" max="7186" width="6.25" style="2915" customWidth="1"/>
    <col min="7187" max="7187" width="24.5" style="2915" customWidth="1"/>
    <col min="7188" max="7188" width="7.875" style="2915" customWidth="1"/>
    <col min="7189" max="7424" width="9" style="2915"/>
    <col min="7425" max="7425" width="104.5" style="2915" customWidth="1"/>
    <col min="7426" max="7426" width="6.25" style="2915" customWidth="1"/>
    <col min="7427" max="7427" width="13.875" style="2915" customWidth="1"/>
    <col min="7428" max="7428" width="4.625" style="2915" customWidth="1"/>
    <col min="7429" max="7429" width="55.5" style="2915" customWidth="1"/>
    <col min="7430" max="7430" width="7.875" style="2915" customWidth="1"/>
    <col min="7431" max="7431" width="21.125" style="2915" customWidth="1"/>
    <col min="7432" max="7432" width="65" style="2915" customWidth="1"/>
    <col min="7433" max="7434" width="13.875" style="2915" customWidth="1"/>
    <col min="7435" max="7435" width="11.5" style="2915" customWidth="1"/>
    <col min="7436" max="7436" width="9" style="2915" customWidth="1"/>
    <col min="7437" max="7437" width="21.125" style="2915" customWidth="1"/>
    <col min="7438" max="7438" width="103.75" style="2915" customWidth="1"/>
    <col min="7439" max="7439" width="10.625" style="2915" customWidth="1"/>
    <col min="7440" max="7440" width="16" style="2915" customWidth="1"/>
    <col min="7441" max="7441" width="14.375" style="2915" customWidth="1"/>
    <col min="7442" max="7442" width="6.25" style="2915" customWidth="1"/>
    <col min="7443" max="7443" width="24.5" style="2915" customWidth="1"/>
    <col min="7444" max="7444" width="7.875" style="2915" customWidth="1"/>
    <col min="7445" max="7680" width="9" style="2915"/>
    <col min="7681" max="7681" width="104.5" style="2915" customWidth="1"/>
    <col min="7682" max="7682" width="6.25" style="2915" customWidth="1"/>
    <col min="7683" max="7683" width="13.875" style="2915" customWidth="1"/>
    <col min="7684" max="7684" width="4.625" style="2915" customWidth="1"/>
    <col min="7685" max="7685" width="55.5" style="2915" customWidth="1"/>
    <col min="7686" max="7686" width="7.875" style="2915" customWidth="1"/>
    <col min="7687" max="7687" width="21.125" style="2915" customWidth="1"/>
    <col min="7688" max="7688" width="65" style="2915" customWidth="1"/>
    <col min="7689" max="7690" width="13.875" style="2915" customWidth="1"/>
    <col min="7691" max="7691" width="11.5" style="2915" customWidth="1"/>
    <col min="7692" max="7692" width="9" style="2915" customWidth="1"/>
    <col min="7693" max="7693" width="21.125" style="2915" customWidth="1"/>
    <col min="7694" max="7694" width="103.75" style="2915" customWidth="1"/>
    <col min="7695" max="7695" width="10.625" style="2915" customWidth="1"/>
    <col min="7696" max="7696" width="16" style="2915" customWidth="1"/>
    <col min="7697" max="7697" width="14.375" style="2915" customWidth="1"/>
    <col min="7698" max="7698" width="6.25" style="2915" customWidth="1"/>
    <col min="7699" max="7699" width="24.5" style="2915" customWidth="1"/>
    <col min="7700" max="7700" width="7.875" style="2915" customWidth="1"/>
    <col min="7701" max="7936" width="9" style="2915"/>
    <col min="7937" max="7937" width="104.5" style="2915" customWidth="1"/>
    <col min="7938" max="7938" width="6.25" style="2915" customWidth="1"/>
    <col min="7939" max="7939" width="13.875" style="2915" customWidth="1"/>
    <col min="7940" max="7940" width="4.625" style="2915" customWidth="1"/>
    <col min="7941" max="7941" width="55.5" style="2915" customWidth="1"/>
    <col min="7942" max="7942" width="7.875" style="2915" customWidth="1"/>
    <col min="7943" max="7943" width="21.125" style="2915" customWidth="1"/>
    <col min="7944" max="7944" width="65" style="2915" customWidth="1"/>
    <col min="7945" max="7946" width="13.875" style="2915" customWidth="1"/>
    <col min="7947" max="7947" width="11.5" style="2915" customWidth="1"/>
    <col min="7948" max="7948" width="9" style="2915" customWidth="1"/>
    <col min="7949" max="7949" width="21.125" style="2915" customWidth="1"/>
    <col min="7950" max="7950" width="103.75" style="2915" customWidth="1"/>
    <col min="7951" max="7951" width="10.625" style="2915" customWidth="1"/>
    <col min="7952" max="7952" width="16" style="2915" customWidth="1"/>
    <col min="7953" max="7953" width="14.375" style="2915" customWidth="1"/>
    <col min="7954" max="7954" width="6.25" style="2915" customWidth="1"/>
    <col min="7955" max="7955" width="24.5" style="2915" customWidth="1"/>
    <col min="7956" max="7956" width="7.875" style="2915" customWidth="1"/>
    <col min="7957" max="8192" width="9" style="2915"/>
    <col min="8193" max="8193" width="104.5" style="2915" customWidth="1"/>
    <col min="8194" max="8194" width="6.25" style="2915" customWidth="1"/>
    <col min="8195" max="8195" width="13.875" style="2915" customWidth="1"/>
    <col min="8196" max="8196" width="4.625" style="2915" customWidth="1"/>
    <col min="8197" max="8197" width="55.5" style="2915" customWidth="1"/>
    <col min="8198" max="8198" width="7.875" style="2915" customWidth="1"/>
    <col min="8199" max="8199" width="21.125" style="2915" customWidth="1"/>
    <col min="8200" max="8200" width="65" style="2915" customWidth="1"/>
    <col min="8201" max="8202" width="13.875" style="2915" customWidth="1"/>
    <col min="8203" max="8203" width="11.5" style="2915" customWidth="1"/>
    <col min="8204" max="8204" width="9" style="2915" customWidth="1"/>
    <col min="8205" max="8205" width="21.125" style="2915" customWidth="1"/>
    <col min="8206" max="8206" width="103.75" style="2915" customWidth="1"/>
    <col min="8207" max="8207" width="10.625" style="2915" customWidth="1"/>
    <col min="8208" max="8208" width="16" style="2915" customWidth="1"/>
    <col min="8209" max="8209" width="14.375" style="2915" customWidth="1"/>
    <col min="8210" max="8210" width="6.25" style="2915" customWidth="1"/>
    <col min="8211" max="8211" width="24.5" style="2915" customWidth="1"/>
    <col min="8212" max="8212" width="7.875" style="2915" customWidth="1"/>
    <col min="8213" max="8448" width="9" style="2915"/>
    <col min="8449" max="8449" width="104.5" style="2915" customWidth="1"/>
    <col min="8450" max="8450" width="6.25" style="2915" customWidth="1"/>
    <col min="8451" max="8451" width="13.875" style="2915" customWidth="1"/>
    <col min="8452" max="8452" width="4.625" style="2915" customWidth="1"/>
    <col min="8453" max="8453" width="55.5" style="2915" customWidth="1"/>
    <col min="8454" max="8454" width="7.875" style="2915" customWidth="1"/>
    <col min="8455" max="8455" width="21.125" style="2915" customWidth="1"/>
    <col min="8456" max="8456" width="65" style="2915" customWidth="1"/>
    <col min="8457" max="8458" width="13.875" style="2915" customWidth="1"/>
    <col min="8459" max="8459" width="11.5" style="2915" customWidth="1"/>
    <col min="8460" max="8460" width="9" style="2915" customWidth="1"/>
    <col min="8461" max="8461" width="21.125" style="2915" customWidth="1"/>
    <col min="8462" max="8462" width="103.75" style="2915" customWidth="1"/>
    <col min="8463" max="8463" width="10.625" style="2915" customWidth="1"/>
    <col min="8464" max="8464" width="16" style="2915" customWidth="1"/>
    <col min="8465" max="8465" width="14.375" style="2915" customWidth="1"/>
    <col min="8466" max="8466" width="6.25" style="2915" customWidth="1"/>
    <col min="8467" max="8467" width="24.5" style="2915" customWidth="1"/>
    <col min="8468" max="8468" width="7.875" style="2915" customWidth="1"/>
    <col min="8469" max="8704" width="9" style="2915"/>
    <col min="8705" max="8705" width="104.5" style="2915" customWidth="1"/>
    <col min="8706" max="8706" width="6.25" style="2915" customWidth="1"/>
    <col min="8707" max="8707" width="13.875" style="2915" customWidth="1"/>
    <col min="8708" max="8708" width="4.625" style="2915" customWidth="1"/>
    <col min="8709" max="8709" width="55.5" style="2915" customWidth="1"/>
    <col min="8710" max="8710" width="7.875" style="2915" customWidth="1"/>
    <col min="8711" max="8711" width="21.125" style="2915" customWidth="1"/>
    <col min="8712" max="8712" width="65" style="2915" customWidth="1"/>
    <col min="8713" max="8714" width="13.875" style="2915" customWidth="1"/>
    <col min="8715" max="8715" width="11.5" style="2915" customWidth="1"/>
    <col min="8716" max="8716" width="9" style="2915" customWidth="1"/>
    <col min="8717" max="8717" width="21.125" style="2915" customWidth="1"/>
    <col min="8718" max="8718" width="103.75" style="2915" customWidth="1"/>
    <col min="8719" max="8719" width="10.625" style="2915" customWidth="1"/>
    <col min="8720" max="8720" width="16" style="2915" customWidth="1"/>
    <col min="8721" max="8721" width="14.375" style="2915" customWidth="1"/>
    <col min="8722" max="8722" width="6.25" style="2915" customWidth="1"/>
    <col min="8723" max="8723" width="24.5" style="2915" customWidth="1"/>
    <col min="8724" max="8724" width="7.875" style="2915" customWidth="1"/>
    <col min="8725" max="8960" width="9" style="2915"/>
    <col min="8961" max="8961" width="104.5" style="2915" customWidth="1"/>
    <col min="8962" max="8962" width="6.25" style="2915" customWidth="1"/>
    <col min="8963" max="8963" width="13.875" style="2915" customWidth="1"/>
    <col min="8964" max="8964" width="4.625" style="2915" customWidth="1"/>
    <col min="8965" max="8965" width="55.5" style="2915" customWidth="1"/>
    <col min="8966" max="8966" width="7.875" style="2915" customWidth="1"/>
    <col min="8967" max="8967" width="21.125" style="2915" customWidth="1"/>
    <col min="8968" max="8968" width="65" style="2915" customWidth="1"/>
    <col min="8969" max="8970" width="13.875" style="2915" customWidth="1"/>
    <col min="8971" max="8971" width="11.5" style="2915" customWidth="1"/>
    <col min="8972" max="8972" width="9" style="2915" customWidth="1"/>
    <col min="8973" max="8973" width="21.125" style="2915" customWidth="1"/>
    <col min="8974" max="8974" width="103.75" style="2915" customWidth="1"/>
    <col min="8975" max="8975" width="10.625" style="2915" customWidth="1"/>
    <col min="8976" max="8976" width="16" style="2915" customWidth="1"/>
    <col min="8977" max="8977" width="14.375" style="2915" customWidth="1"/>
    <col min="8978" max="8978" width="6.25" style="2915" customWidth="1"/>
    <col min="8979" max="8979" width="24.5" style="2915" customWidth="1"/>
    <col min="8980" max="8980" width="7.875" style="2915" customWidth="1"/>
    <col min="8981" max="9216" width="9" style="2915"/>
    <col min="9217" max="9217" width="104.5" style="2915" customWidth="1"/>
    <col min="9218" max="9218" width="6.25" style="2915" customWidth="1"/>
    <col min="9219" max="9219" width="13.875" style="2915" customWidth="1"/>
    <col min="9220" max="9220" width="4.625" style="2915" customWidth="1"/>
    <col min="9221" max="9221" width="55.5" style="2915" customWidth="1"/>
    <col min="9222" max="9222" width="7.875" style="2915" customWidth="1"/>
    <col min="9223" max="9223" width="21.125" style="2915" customWidth="1"/>
    <col min="9224" max="9224" width="65" style="2915" customWidth="1"/>
    <col min="9225" max="9226" width="13.875" style="2915" customWidth="1"/>
    <col min="9227" max="9227" width="11.5" style="2915" customWidth="1"/>
    <col min="9228" max="9228" width="9" style="2915" customWidth="1"/>
    <col min="9229" max="9229" width="21.125" style="2915" customWidth="1"/>
    <col min="9230" max="9230" width="103.75" style="2915" customWidth="1"/>
    <col min="9231" max="9231" width="10.625" style="2915" customWidth="1"/>
    <col min="9232" max="9232" width="16" style="2915" customWidth="1"/>
    <col min="9233" max="9233" width="14.375" style="2915" customWidth="1"/>
    <col min="9234" max="9234" width="6.25" style="2915" customWidth="1"/>
    <col min="9235" max="9235" width="24.5" style="2915" customWidth="1"/>
    <col min="9236" max="9236" width="7.875" style="2915" customWidth="1"/>
    <col min="9237" max="9472" width="9" style="2915"/>
    <col min="9473" max="9473" width="104.5" style="2915" customWidth="1"/>
    <col min="9474" max="9474" width="6.25" style="2915" customWidth="1"/>
    <col min="9475" max="9475" width="13.875" style="2915" customWidth="1"/>
    <col min="9476" max="9476" width="4.625" style="2915" customWidth="1"/>
    <col min="9477" max="9477" width="55.5" style="2915" customWidth="1"/>
    <col min="9478" max="9478" width="7.875" style="2915" customWidth="1"/>
    <col min="9479" max="9479" width="21.125" style="2915" customWidth="1"/>
    <col min="9480" max="9480" width="65" style="2915" customWidth="1"/>
    <col min="9481" max="9482" width="13.875" style="2915" customWidth="1"/>
    <col min="9483" max="9483" width="11.5" style="2915" customWidth="1"/>
    <col min="9484" max="9484" width="9" style="2915" customWidth="1"/>
    <col min="9485" max="9485" width="21.125" style="2915" customWidth="1"/>
    <col min="9486" max="9486" width="103.75" style="2915" customWidth="1"/>
    <col min="9487" max="9487" width="10.625" style="2915" customWidth="1"/>
    <col min="9488" max="9488" width="16" style="2915" customWidth="1"/>
    <col min="9489" max="9489" width="14.375" style="2915" customWidth="1"/>
    <col min="9490" max="9490" width="6.25" style="2915" customWidth="1"/>
    <col min="9491" max="9491" width="24.5" style="2915" customWidth="1"/>
    <col min="9492" max="9492" width="7.875" style="2915" customWidth="1"/>
    <col min="9493" max="9728" width="9" style="2915"/>
    <col min="9729" max="9729" width="104.5" style="2915" customWidth="1"/>
    <col min="9730" max="9730" width="6.25" style="2915" customWidth="1"/>
    <col min="9731" max="9731" width="13.875" style="2915" customWidth="1"/>
    <col min="9732" max="9732" width="4.625" style="2915" customWidth="1"/>
    <col min="9733" max="9733" width="55.5" style="2915" customWidth="1"/>
    <col min="9734" max="9734" width="7.875" style="2915" customWidth="1"/>
    <col min="9735" max="9735" width="21.125" style="2915" customWidth="1"/>
    <col min="9736" max="9736" width="65" style="2915" customWidth="1"/>
    <col min="9737" max="9738" width="13.875" style="2915" customWidth="1"/>
    <col min="9739" max="9739" width="11.5" style="2915" customWidth="1"/>
    <col min="9740" max="9740" width="9" style="2915" customWidth="1"/>
    <col min="9741" max="9741" width="21.125" style="2915" customWidth="1"/>
    <col min="9742" max="9742" width="103.75" style="2915" customWidth="1"/>
    <col min="9743" max="9743" width="10.625" style="2915" customWidth="1"/>
    <col min="9744" max="9744" width="16" style="2915" customWidth="1"/>
    <col min="9745" max="9745" width="14.375" style="2915" customWidth="1"/>
    <col min="9746" max="9746" width="6.25" style="2915" customWidth="1"/>
    <col min="9747" max="9747" width="24.5" style="2915" customWidth="1"/>
    <col min="9748" max="9748" width="7.875" style="2915" customWidth="1"/>
    <col min="9749" max="9984" width="9" style="2915"/>
    <col min="9985" max="9985" width="104.5" style="2915" customWidth="1"/>
    <col min="9986" max="9986" width="6.25" style="2915" customWidth="1"/>
    <col min="9987" max="9987" width="13.875" style="2915" customWidth="1"/>
    <col min="9988" max="9988" width="4.625" style="2915" customWidth="1"/>
    <col min="9989" max="9989" width="55.5" style="2915" customWidth="1"/>
    <col min="9990" max="9990" width="7.875" style="2915" customWidth="1"/>
    <col min="9991" max="9991" width="21.125" style="2915" customWidth="1"/>
    <col min="9992" max="9992" width="65" style="2915" customWidth="1"/>
    <col min="9993" max="9994" width="13.875" style="2915" customWidth="1"/>
    <col min="9995" max="9995" width="11.5" style="2915" customWidth="1"/>
    <col min="9996" max="9996" width="9" style="2915" customWidth="1"/>
    <col min="9997" max="9997" width="21.125" style="2915" customWidth="1"/>
    <col min="9998" max="9998" width="103.75" style="2915" customWidth="1"/>
    <col min="9999" max="9999" width="10.625" style="2915" customWidth="1"/>
    <col min="10000" max="10000" width="16" style="2915" customWidth="1"/>
    <col min="10001" max="10001" width="14.375" style="2915" customWidth="1"/>
    <col min="10002" max="10002" width="6.25" style="2915" customWidth="1"/>
    <col min="10003" max="10003" width="24.5" style="2915" customWidth="1"/>
    <col min="10004" max="10004" width="7.875" style="2915" customWidth="1"/>
    <col min="10005" max="10240" width="9" style="2915"/>
    <col min="10241" max="10241" width="104.5" style="2915" customWidth="1"/>
    <col min="10242" max="10242" width="6.25" style="2915" customWidth="1"/>
    <col min="10243" max="10243" width="13.875" style="2915" customWidth="1"/>
    <col min="10244" max="10244" width="4.625" style="2915" customWidth="1"/>
    <col min="10245" max="10245" width="55.5" style="2915" customWidth="1"/>
    <col min="10246" max="10246" width="7.875" style="2915" customWidth="1"/>
    <col min="10247" max="10247" width="21.125" style="2915" customWidth="1"/>
    <col min="10248" max="10248" width="65" style="2915" customWidth="1"/>
    <col min="10249" max="10250" width="13.875" style="2915" customWidth="1"/>
    <col min="10251" max="10251" width="11.5" style="2915" customWidth="1"/>
    <col min="10252" max="10252" width="9" style="2915" customWidth="1"/>
    <col min="10253" max="10253" width="21.125" style="2915" customWidth="1"/>
    <col min="10254" max="10254" width="103.75" style="2915" customWidth="1"/>
    <col min="10255" max="10255" width="10.625" style="2915" customWidth="1"/>
    <col min="10256" max="10256" width="16" style="2915" customWidth="1"/>
    <col min="10257" max="10257" width="14.375" style="2915" customWidth="1"/>
    <col min="10258" max="10258" width="6.25" style="2915" customWidth="1"/>
    <col min="10259" max="10259" width="24.5" style="2915" customWidth="1"/>
    <col min="10260" max="10260" width="7.875" style="2915" customWidth="1"/>
    <col min="10261" max="10496" width="9" style="2915"/>
    <col min="10497" max="10497" width="104.5" style="2915" customWidth="1"/>
    <col min="10498" max="10498" width="6.25" style="2915" customWidth="1"/>
    <col min="10499" max="10499" width="13.875" style="2915" customWidth="1"/>
    <col min="10500" max="10500" width="4.625" style="2915" customWidth="1"/>
    <col min="10501" max="10501" width="55.5" style="2915" customWidth="1"/>
    <col min="10502" max="10502" width="7.875" style="2915" customWidth="1"/>
    <col min="10503" max="10503" width="21.125" style="2915" customWidth="1"/>
    <col min="10504" max="10504" width="65" style="2915" customWidth="1"/>
    <col min="10505" max="10506" width="13.875" style="2915" customWidth="1"/>
    <col min="10507" max="10507" width="11.5" style="2915" customWidth="1"/>
    <col min="10508" max="10508" width="9" style="2915" customWidth="1"/>
    <col min="10509" max="10509" width="21.125" style="2915" customWidth="1"/>
    <col min="10510" max="10510" width="103.75" style="2915" customWidth="1"/>
    <col min="10511" max="10511" width="10.625" style="2915" customWidth="1"/>
    <col min="10512" max="10512" width="16" style="2915" customWidth="1"/>
    <col min="10513" max="10513" width="14.375" style="2915" customWidth="1"/>
    <col min="10514" max="10514" width="6.25" style="2915" customWidth="1"/>
    <col min="10515" max="10515" width="24.5" style="2915" customWidth="1"/>
    <col min="10516" max="10516" width="7.875" style="2915" customWidth="1"/>
    <col min="10517" max="10752" width="9" style="2915"/>
    <col min="10753" max="10753" width="104.5" style="2915" customWidth="1"/>
    <col min="10754" max="10754" width="6.25" style="2915" customWidth="1"/>
    <col min="10755" max="10755" width="13.875" style="2915" customWidth="1"/>
    <col min="10756" max="10756" width="4.625" style="2915" customWidth="1"/>
    <col min="10757" max="10757" width="55.5" style="2915" customWidth="1"/>
    <col min="10758" max="10758" width="7.875" style="2915" customWidth="1"/>
    <col min="10759" max="10759" width="21.125" style="2915" customWidth="1"/>
    <col min="10760" max="10760" width="65" style="2915" customWidth="1"/>
    <col min="10761" max="10762" width="13.875" style="2915" customWidth="1"/>
    <col min="10763" max="10763" width="11.5" style="2915" customWidth="1"/>
    <col min="10764" max="10764" width="9" style="2915" customWidth="1"/>
    <col min="10765" max="10765" width="21.125" style="2915" customWidth="1"/>
    <col min="10766" max="10766" width="103.75" style="2915" customWidth="1"/>
    <col min="10767" max="10767" width="10.625" style="2915" customWidth="1"/>
    <col min="10768" max="10768" width="16" style="2915" customWidth="1"/>
    <col min="10769" max="10769" width="14.375" style="2915" customWidth="1"/>
    <col min="10770" max="10770" width="6.25" style="2915" customWidth="1"/>
    <col min="10771" max="10771" width="24.5" style="2915" customWidth="1"/>
    <col min="10772" max="10772" width="7.875" style="2915" customWidth="1"/>
    <col min="10773" max="11008" width="9" style="2915"/>
    <col min="11009" max="11009" width="104.5" style="2915" customWidth="1"/>
    <col min="11010" max="11010" width="6.25" style="2915" customWidth="1"/>
    <col min="11011" max="11011" width="13.875" style="2915" customWidth="1"/>
    <col min="11012" max="11012" width="4.625" style="2915" customWidth="1"/>
    <col min="11013" max="11013" width="55.5" style="2915" customWidth="1"/>
    <col min="11014" max="11014" width="7.875" style="2915" customWidth="1"/>
    <col min="11015" max="11015" width="21.125" style="2915" customWidth="1"/>
    <col min="11016" max="11016" width="65" style="2915" customWidth="1"/>
    <col min="11017" max="11018" width="13.875" style="2915" customWidth="1"/>
    <col min="11019" max="11019" width="11.5" style="2915" customWidth="1"/>
    <col min="11020" max="11020" width="9" style="2915" customWidth="1"/>
    <col min="11021" max="11021" width="21.125" style="2915" customWidth="1"/>
    <col min="11022" max="11022" width="103.75" style="2915" customWidth="1"/>
    <col min="11023" max="11023" width="10.625" style="2915" customWidth="1"/>
    <col min="11024" max="11024" width="16" style="2915" customWidth="1"/>
    <col min="11025" max="11025" width="14.375" style="2915" customWidth="1"/>
    <col min="11026" max="11026" width="6.25" style="2915" customWidth="1"/>
    <col min="11027" max="11027" width="24.5" style="2915" customWidth="1"/>
    <col min="11028" max="11028" width="7.875" style="2915" customWidth="1"/>
    <col min="11029" max="11264" width="9" style="2915"/>
    <col min="11265" max="11265" width="104.5" style="2915" customWidth="1"/>
    <col min="11266" max="11266" width="6.25" style="2915" customWidth="1"/>
    <col min="11267" max="11267" width="13.875" style="2915" customWidth="1"/>
    <col min="11268" max="11268" width="4.625" style="2915" customWidth="1"/>
    <col min="11269" max="11269" width="55.5" style="2915" customWidth="1"/>
    <col min="11270" max="11270" width="7.875" style="2915" customWidth="1"/>
    <col min="11271" max="11271" width="21.125" style="2915" customWidth="1"/>
    <col min="11272" max="11272" width="65" style="2915" customWidth="1"/>
    <col min="11273" max="11274" width="13.875" style="2915" customWidth="1"/>
    <col min="11275" max="11275" width="11.5" style="2915" customWidth="1"/>
    <col min="11276" max="11276" width="9" style="2915" customWidth="1"/>
    <col min="11277" max="11277" width="21.125" style="2915" customWidth="1"/>
    <col min="11278" max="11278" width="103.75" style="2915" customWidth="1"/>
    <col min="11279" max="11279" width="10.625" style="2915" customWidth="1"/>
    <col min="11280" max="11280" width="16" style="2915" customWidth="1"/>
    <col min="11281" max="11281" width="14.375" style="2915" customWidth="1"/>
    <col min="11282" max="11282" width="6.25" style="2915" customWidth="1"/>
    <col min="11283" max="11283" width="24.5" style="2915" customWidth="1"/>
    <col min="11284" max="11284" width="7.875" style="2915" customWidth="1"/>
    <col min="11285" max="11520" width="9" style="2915"/>
    <col min="11521" max="11521" width="104.5" style="2915" customWidth="1"/>
    <col min="11522" max="11522" width="6.25" style="2915" customWidth="1"/>
    <col min="11523" max="11523" width="13.875" style="2915" customWidth="1"/>
    <col min="11524" max="11524" width="4.625" style="2915" customWidth="1"/>
    <col min="11525" max="11525" width="55.5" style="2915" customWidth="1"/>
    <col min="11526" max="11526" width="7.875" style="2915" customWidth="1"/>
    <col min="11527" max="11527" width="21.125" style="2915" customWidth="1"/>
    <col min="11528" max="11528" width="65" style="2915" customWidth="1"/>
    <col min="11529" max="11530" width="13.875" style="2915" customWidth="1"/>
    <col min="11531" max="11531" width="11.5" style="2915" customWidth="1"/>
    <col min="11532" max="11532" width="9" style="2915" customWidth="1"/>
    <col min="11533" max="11533" width="21.125" style="2915" customWidth="1"/>
    <col min="11534" max="11534" width="103.75" style="2915" customWidth="1"/>
    <col min="11535" max="11535" width="10.625" style="2915" customWidth="1"/>
    <col min="11536" max="11536" width="16" style="2915" customWidth="1"/>
    <col min="11537" max="11537" width="14.375" style="2915" customWidth="1"/>
    <col min="11538" max="11538" width="6.25" style="2915" customWidth="1"/>
    <col min="11539" max="11539" width="24.5" style="2915" customWidth="1"/>
    <col min="11540" max="11540" width="7.875" style="2915" customWidth="1"/>
    <col min="11541" max="11776" width="9" style="2915"/>
    <col min="11777" max="11777" width="104.5" style="2915" customWidth="1"/>
    <col min="11778" max="11778" width="6.25" style="2915" customWidth="1"/>
    <col min="11779" max="11779" width="13.875" style="2915" customWidth="1"/>
    <col min="11780" max="11780" width="4.625" style="2915" customWidth="1"/>
    <col min="11781" max="11781" width="55.5" style="2915" customWidth="1"/>
    <col min="11782" max="11782" width="7.875" style="2915" customWidth="1"/>
    <col min="11783" max="11783" width="21.125" style="2915" customWidth="1"/>
    <col min="11784" max="11784" width="65" style="2915" customWidth="1"/>
    <col min="11785" max="11786" width="13.875" style="2915" customWidth="1"/>
    <col min="11787" max="11787" width="11.5" style="2915" customWidth="1"/>
    <col min="11788" max="11788" width="9" style="2915" customWidth="1"/>
    <col min="11789" max="11789" width="21.125" style="2915" customWidth="1"/>
    <col min="11790" max="11790" width="103.75" style="2915" customWidth="1"/>
    <col min="11791" max="11791" width="10.625" style="2915" customWidth="1"/>
    <col min="11792" max="11792" width="16" style="2915" customWidth="1"/>
    <col min="11793" max="11793" width="14.375" style="2915" customWidth="1"/>
    <col min="11794" max="11794" width="6.25" style="2915" customWidth="1"/>
    <col min="11795" max="11795" width="24.5" style="2915" customWidth="1"/>
    <col min="11796" max="11796" width="7.875" style="2915" customWidth="1"/>
    <col min="11797" max="12032" width="9" style="2915"/>
    <col min="12033" max="12033" width="104.5" style="2915" customWidth="1"/>
    <col min="12034" max="12034" width="6.25" style="2915" customWidth="1"/>
    <col min="12035" max="12035" width="13.875" style="2915" customWidth="1"/>
    <col min="12036" max="12036" width="4.625" style="2915" customWidth="1"/>
    <col min="12037" max="12037" width="55.5" style="2915" customWidth="1"/>
    <col min="12038" max="12038" width="7.875" style="2915" customWidth="1"/>
    <col min="12039" max="12039" width="21.125" style="2915" customWidth="1"/>
    <col min="12040" max="12040" width="65" style="2915" customWidth="1"/>
    <col min="12041" max="12042" width="13.875" style="2915" customWidth="1"/>
    <col min="12043" max="12043" width="11.5" style="2915" customWidth="1"/>
    <col min="12044" max="12044" width="9" style="2915" customWidth="1"/>
    <col min="12045" max="12045" width="21.125" style="2915" customWidth="1"/>
    <col min="12046" max="12046" width="103.75" style="2915" customWidth="1"/>
    <col min="12047" max="12047" width="10.625" style="2915" customWidth="1"/>
    <col min="12048" max="12048" width="16" style="2915" customWidth="1"/>
    <col min="12049" max="12049" width="14.375" style="2915" customWidth="1"/>
    <col min="12050" max="12050" width="6.25" style="2915" customWidth="1"/>
    <col min="12051" max="12051" width="24.5" style="2915" customWidth="1"/>
    <col min="12052" max="12052" width="7.875" style="2915" customWidth="1"/>
    <col min="12053" max="12288" width="9" style="2915"/>
    <col min="12289" max="12289" width="104.5" style="2915" customWidth="1"/>
    <col min="12290" max="12290" width="6.25" style="2915" customWidth="1"/>
    <col min="12291" max="12291" width="13.875" style="2915" customWidth="1"/>
    <col min="12292" max="12292" width="4.625" style="2915" customWidth="1"/>
    <col min="12293" max="12293" width="55.5" style="2915" customWidth="1"/>
    <col min="12294" max="12294" width="7.875" style="2915" customWidth="1"/>
    <col min="12295" max="12295" width="21.125" style="2915" customWidth="1"/>
    <col min="12296" max="12296" width="65" style="2915" customWidth="1"/>
    <col min="12297" max="12298" width="13.875" style="2915" customWidth="1"/>
    <col min="12299" max="12299" width="11.5" style="2915" customWidth="1"/>
    <col min="12300" max="12300" width="9" style="2915" customWidth="1"/>
    <col min="12301" max="12301" width="21.125" style="2915" customWidth="1"/>
    <col min="12302" max="12302" width="103.75" style="2915" customWidth="1"/>
    <col min="12303" max="12303" width="10.625" style="2915" customWidth="1"/>
    <col min="12304" max="12304" width="16" style="2915" customWidth="1"/>
    <col min="12305" max="12305" width="14.375" style="2915" customWidth="1"/>
    <col min="12306" max="12306" width="6.25" style="2915" customWidth="1"/>
    <col min="12307" max="12307" width="24.5" style="2915" customWidth="1"/>
    <col min="12308" max="12308" width="7.875" style="2915" customWidth="1"/>
    <col min="12309" max="12544" width="9" style="2915"/>
    <col min="12545" max="12545" width="104.5" style="2915" customWidth="1"/>
    <col min="12546" max="12546" width="6.25" style="2915" customWidth="1"/>
    <col min="12547" max="12547" width="13.875" style="2915" customWidth="1"/>
    <col min="12548" max="12548" width="4.625" style="2915" customWidth="1"/>
    <col min="12549" max="12549" width="55.5" style="2915" customWidth="1"/>
    <col min="12550" max="12550" width="7.875" style="2915" customWidth="1"/>
    <col min="12551" max="12551" width="21.125" style="2915" customWidth="1"/>
    <col min="12552" max="12552" width="65" style="2915" customWidth="1"/>
    <col min="12553" max="12554" width="13.875" style="2915" customWidth="1"/>
    <col min="12555" max="12555" width="11.5" style="2915" customWidth="1"/>
    <col min="12556" max="12556" width="9" style="2915" customWidth="1"/>
    <col min="12557" max="12557" width="21.125" style="2915" customWidth="1"/>
    <col min="12558" max="12558" width="103.75" style="2915" customWidth="1"/>
    <col min="12559" max="12559" width="10.625" style="2915" customWidth="1"/>
    <col min="12560" max="12560" width="16" style="2915" customWidth="1"/>
    <col min="12561" max="12561" width="14.375" style="2915" customWidth="1"/>
    <col min="12562" max="12562" width="6.25" style="2915" customWidth="1"/>
    <col min="12563" max="12563" width="24.5" style="2915" customWidth="1"/>
    <col min="12564" max="12564" width="7.875" style="2915" customWidth="1"/>
    <col min="12565" max="12800" width="9" style="2915"/>
    <col min="12801" max="12801" width="104.5" style="2915" customWidth="1"/>
    <col min="12802" max="12802" width="6.25" style="2915" customWidth="1"/>
    <col min="12803" max="12803" width="13.875" style="2915" customWidth="1"/>
    <col min="12804" max="12804" width="4.625" style="2915" customWidth="1"/>
    <col min="12805" max="12805" width="55.5" style="2915" customWidth="1"/>
    <col min="12806" max="12806" width="7.875" style="2915" customWidth="1"/>
    <col min="12807" max="12807" width="21.125" style="2915" customWidth="1"/>
    <col min="12808" max="12808" width="65" style="2915" customWidth="1"/>
    <col min="12809" max="12810" width="13.875" style="2915" customWidth="1"/>
    <col min="12811" max="12811" width="11.5" style="2915" customWidth="1"/>
    <col min="12812" max="12812" width="9" style="2915" customWidth="1"/>
    <col min="12813" max="12813" width="21.125" style="2915" customWidth="1"/>
    <col min="12814" max="12814" width="103.75" style="2915" customWidth="1"/>
    <col min="12815" max="12815" width="10.625" style="2915" customWidth="1"/>
    <col min="12816" max="12816" width="16" style="2915" customWidth="1"/>
    <col min="12817" max="12817" width="14.375" style="2915" customWidth="1"/>
    <col min="12818" max="12818" width="6.25" style="2915" customWidth="1"/>
    <col min="12819" max="12819" width="24.5" style="2915" customWidth="1"/>
    <col min="12820" max="12820" width="7.875" style="2915" customWidth="1"/>
    <col min="12821" max="13056" width="9" style="2915"/>
    <col min="13057" max="13057" width="104.5" style="2915" customWidth="1"/>
    <col min="13058" max="13058" width="6.25" style="2915" customWidth="1"/>
    <col min="13059" max="13059" width="13.875" style="2915" customWidth="1"/>
    <col min="13060" max="13060" width="4.625" style="2915" customWidth="1"/>
    <col min="13061" max="13061" width="55.5" style="2915" customWidth="1"/>
    <col min="13062" max="13062" width="7.875" style="2915" customWidth="1"/>
    <col min="13063" max="13063" width="21.125" style="2915" customWidth="1"/>
    <col min="13064" max="13064" width="65" style="2915" customWidth="1"/>
    <col min="13065" max="13066" width="13.875" style="2915" customWidth="1"/>
    <col min="13067" max="13067" width="11.5" style="2915" customWidth="1"/>
    <col min="13068" max="13068" width="9" style="2915" customWidth="1"/>
    <col min="13069" max="13069" width="21.125" style="2915" customWidth="1"/>
    <col min="13070" max="13070" width="103.75" style="2915" customWidth="1"/>
    <col min="13071" max="13071" width="10.625" style="2915" customWidth="1"/>
    <col min="13072" max="13072" width="16" style="2915" customWidth="1"/>
    <col min="13073" max="13073" width="14.375" style="2915" customWidth="1"/>
    <col min="13074" max="13074" width="6.25" style="2915" customWidth="1"/>
    <col min="13075" max="13075" width="24.5" style="2915" customWidth="1"/>
    <col min="13076" max="13076" width="7.875" style="2915" customWidth="1"/>
    <col min="13077" max="13312" width="9" style="2915"/>
    <col min="13313" max="13313" width="104.5" style="2915" customWidth="1"/>
    <col min="13314" max="13314" width="6.25" style="2915" customWidth="1"/>
    <col min="13315" max="13315" width="13.875" style="2915" customWidth="1"/>
    <col min="13316" max="13316" width="4.625" style="2915" customWidth="1"/>
    <col min="13317" max="13317" width="55.5" style="2915" customWidth="1"/>
    <col min="13318" max="13318" width="7.875" style="2915" customWidth="1"/>
    <col min="13319" max="13319" width="21.125" style="2915" customWidth="1"/>
    <col min="13320" max="13320" width="65" style="2915" customWidth="1"/>
    <col min="13321" max="13322" width="13.875" style="2915" customWidth="1"/>
    <col min="13323" max="13323" width="11.5" style="2915" customWidth="1"/>
    <col min="13324" max="13324" width="9" style="2915" customWidth="1"/>
    <col min="13325" max="13325" width="21.125" style="2915" customWidth="1"/>
    <col min="13326" max="13326" width="103.75" style="2915" customWidth="1"/>
    <col min="13327" max="13327" width="10.625" style="2915" customWidth="1"/>
    <col min="13328" max="13328" width="16" style="2915" customWidth="1"/>
    <col min="13329" max="13329" width="14.375" style="2915" customWidth="1"/>
    <col min="13330" max="13330" width="6.25" style="2915" customWidth="1"/>
    <col min="13331" max="13331" width="24.5" style="2915" customWidth="1"/>
    <col min="13332" max="13332" width="7.875" style="2915" customWidth="1"/>
    <col min="13333" max="13568" width="9" style="2915"/>
    <col min="13569" max="13569" width="104.5" style="2915" customWidth="1"/>
    <col min="13570" max="13570" width="6.25" style="2915" customWidth="1"/>
    <col min="13571" max="13571" width="13.875" style="2915" customWidth="1"/>
    <col min="13572" max="13572" width="4.625" style="2915" customWidth="1"/>
    <col min="13573" max="13573" width="55.5" style="2915" customWidth="1"/>
    <col min="13574" max="13574" width="7.875" style="2915" customWidth="1"/>
    <col min="13575" max="13575" width="21.125" style="2915" customWidth="1"/>
    <col min="13576" max="13576" width="65" style="2915" customWidth="1"/>
    <col min="13577" max="13578" width="13.875" style="2915" customWidth="1"/>
    <col min="13579" max="13579" width="11.5" style="2915" customWidth="1"/>
    <col min="13580" max="13580" width="9" style="2915" customWidth="1"/>
    <col min="13581" max="13581" width="21.125" style="2915" customWidth="1"/>
    <col min="13582" max="13582" width="103.75" style="2915" customWidth="1"/>
    <col min="13583" max="13583" width="10.625" style="2915" customWidth="1"/>
    <col min="13584" max="13584" width="16" style="2915" customWidth="1"/>
    <col min="13585" max="13585" width="14.375" style="2915" customWidth="1"/>
    <col min="13586" max="13586" width="6.25" style="2915" customWidth="1"/>
    <col min="13587" max="13587" width="24.5" style="2915" customWidth="1"/>
    <col min="13588" max="13588" width="7.875" style="2915" customWidth="1"/>
    <col min="13589" max="13824" width="9" style="2915"/>
    <col min="13825" max="13825" width="104.5" style="2915" customWidth="1"/>
    <col min="13826" max="13826" width="6.25" style="2915" customWidth="1"/>
    <col min="13827" max="13827" width="13.875" style="2915" customWidth="1"/>
    <col min="13828" max="13828" width="4.625" style="2915" customWidth="1"/>
    <col min="13829" max="13829" width="55.5" style="2915" customWidth="1"/>
    <col min="13830" max="13830" width="7.875" style="2915" customWidth="1"/>
    <col min="13831" max="13831" width="21.125" style="2915" customWidth="1"/>
    <col min="13832" max="13832" width="65" style="2915" customWidth="1"/>
    <col min="13833" max="13834" width="13.875" style="2915" customWidth="1"/>
    <col min="13835" max="13835" width="11.5" style="2915" customWidth="1"/>
    <col min="13836" max="13836" width="9" style="2915" customWidth="1"/>
    <col min="13837" max="13837" width="21.125" style="2915" customWidth="1"/>
    <col min="13838" max="13838" width="103.75" style="2915" customWidth="1"/>
    <col min="13839" max="13839" width="10.625" style="2915" customWidth="1"/>
    <col min="13840" max="13840" width="16" style="2915" customWidth="1"/>
    <col min="13841" max="13841" width="14.375" style="2915" customWidth="1"/>
    <col min="13842" max="13842" width="6.25" style="2915" customWidth="1"/>
    <col min="13843" max="13843" width="24.5" style="2915" customWidth="1"/>
    <col min="13844" max="13844" width="7.875" style="2915" customWidth="1"/>
    <col min="13845" max="14080" width="9" style="2915"/>
    <col min="14081" max="14081" width="104.5" style="2915" customWidth="1"/>
    <col min="14082" max="14082" width="6.25" style="2915" customWidth="1"/>
    <col min="14083" max="14083" width="13.875" style="2915" customWidth="1"/>
    <col min="14084" max="14084" width="4.625" style="2915" customWidth="1"/>
    <col min="14085" max="14085" width="55.5" style="2915" customWidth="1"/>
    <col min="14086" max="14086" width="7.875" style="2915" customWidth="1"/>
    <col min="14087" max="14087" width="21.125" style="2915" customWidth="1"/>
    <col min="14088" max="14088" width="65" style="2915" customWidth="1"/>
    <col min="14089" max="14090" width="13.875" style="2915" customWidth="1"/>
    <col min="14091" max="14091" width="11.5" style="2915" customWidth="1"/>
    <col min="14092" max="14092" width="9" style="2915" customWidth="1"/>
    <col min="14093" max="14093" width="21.125" style="2915" customWidth="1"/>
    <col min="14094" max="14094" width="103.75" style="2915" customWidth="1"/>
    <col min="14095" max="14095" width="10.625" style="2915" customWidth="1"/>
    <col min="14096" max="14096" width="16" style="2915" customWidth="1"/>
    <col min="14097" max="14097" width="14.375" style="2915" customWidth="1"/>
    <col min="14098" max="14098" width="6.25" style="2915" customWidth="1"/>
    <col min="14099" max="14099" width="24.5" style="2915" customWidth="1"/>
    <col min="14100" max="14100" width="7.875" style="2915" customWidth="1"/>
    <col min="14101" max="14336" width="9" style="2915"/>
    <col min="14337" max="14337" width="104.5" style="2915" customWidth="1"/>
    <col min="14338" max="14338" width="6.25" style="2915" customWidth="1"/>
    <col min="14339" max="14339" width="13.875" style="2915" customWidth="1"/>
    <col min="14340" max="14340" width="4.625" style="2915" customWidth="1"/>
    <col min="14341" max="14341" width="55.5" style="2915" customWidth="1"/>
    <col min="14342" max="14342" width="7.875" style="2915" customWidth="1"/>
    <col min="14343" max="14343" width="21.125" style="2915" customWidth="1"/>
    <col min="14344" max="14344" width="65" style="2915" customWidth="1"/>
    <col min="14345" max="14346" width="13.875" style="2915" customWidth="1"/>
    <col min="14347" max="14347" width="11.5" style="2915" customWidth="1"/>
    <col min="14348" max="14348" width="9" style="2915" customWidth="1"/>
    <col min="14349" max="14349" width="21.125" style="2915" customWidth="1"/>
    <col min="14350" max="14350" width="103.75" style="2915" customWidth="1"/>
    <col min="14351" max="14351" width="10.625" style="2915" customWidth="1"/>
    <col min="14352" max="14352" width="16" style="2915" customWidth="1"/>
    <col min="14353" max="14353" width="14.375" style="2915" customWidth="1"/>
    <col min="14354" max="14354" width="6.25" style="2915" customWidth="1"/>
    <col min="14355" max="14355" width="24.5" style="2915" customWidth="1"/>
    <col min="14356" max="14356" width="7.875" style="2915" customWidth="1"/>
    <col min="14357" max="14592" width="9" style="2915"/>
    <col min="14593" max="14593" width="104.5" style="2915" customWidth="1"/>
    <col min="14594" max="14594" width="6.25" style="2915" customWidth="1"/>
    <col min="14595" max="14595" width="13.875" style="2915" customWidth="1"/>
    <col min="14596" max="14596" width="4.625" style="2915" customWidth="1"/>
    <col min="14597" max="14597" width="55.5" style="2915" customWidth="1"/>
    <col min="14598" max="14598" width="7.875" style="2915" customWidth="1"/>
    <col min="14599" max="14599" width="21.125" style="2915" customWidth="1"/>
    <col min="14600" max="14600" width="65" style="2915" customWidth="1"/>
    <col min="14601" max="14602" width="13.875" style="2915" customWidth="1"/>
    <col min="14603" max="14603" width="11.5" style="2915" customWidth="1"/>
    <col min="14604" max="14604" width="9" style="2915" customWidth="1"/>
    <col min="14605" max="14605" width="21.125" style="2915" customWidth="1"/>
    <col min="14606" max="14606" width="103.75" style="2915" customWidth="1"/>
    <col min="14607" max="14607" width="10.625" style="2915" customWidth="1"/>
    <col min="14608" max="14608" width="16" style="2915" customWidth="1"/>
    <col min="14609" max="14609" width="14.375" style="2915" customWidth="1"/>
    <col min="14610" max="14610" width="6.25" style="2915" customWidth="1"/>
    <col min="14611" max="14611" width="24.5" style="2915" customWidth="1"/>
    <col min="14612" max="14612" width="7.875" style="2915" customWidth="1"/>
    <col min="14613" max="14848" width="9" style="2915"/>
    <col min="14849" max="14849" width="104.5" style="2915" customWidth="1"/>
    <col min="14850" max="14850" width="6.25" style="2915" customWidth="1"/>
    <col min="14851" max="14851" width="13.875" style="2915" customWidth="1"/>
    <col min="14852" max="14852" width="4.625" style="2915" customWidth="1"/>
    <col min="14853" max="14853" width="55.5" style="2915" customWidth="1"/>
    <col min="14854" max="14854" width="7.875" style="2915" customWidth="1"/>
    <col min="14855" max="14855" width="21.125" style="2915" customWidth="1"/>
    <col min="14856" max="14856" width="65" style="2915" customWidth="1"/>
    <col min="14857" max="14858" width="13.875" style="2915" customWidth="1"/>
    <col min="14859" max="14859" width="11.5" style="2915" customWidth="1"/>
    <col min="14860" max="14860" width="9" style="2915" customWidth="1"/>
    <col min="14861" max="14861" width="21.125" style="2915" customWidth="1"/>
    <col min="14862" max="14862" width="103.75" style="2915" customWidth="1"/>
    <col min="14863" max="14863" width="10.625" style="2915" customWidth="1"/>
    <col min="14864" max="14864" width="16" style="2915" customWidth="1"/>
    <col min="14865" max="14865" width="14.375" style="2915" customWidth="1"/>
    <col min="14866" max="14866" width="6.25" style="2915" customWidth="1"/>
    <col min="14867" max="14867" width="24.5" style="2915" customWidth="1"/>
    <col min="14868" max="14868" width="7.875" style="2915" customWidth="1"/>
    <col min="14869" max="15104" width="9" style="2915"/>
    <col min="15105" max="15105" width="104.5" style="2915" customWidth="1"/>
    <col min="15106" max="15106" width="6.25" style="2915" customWidth="1"/>
    <col min="15107" max="15107" width="13.875" style="2915" customWidth="1"/>
    <col min="15108" max="15108" width="4.625" style="2915" customWidth="1"/>
    <col min="15109" max="15109" width="55.5" style="2915" customWidth="1"/>
    <col min="15110" max="15110" width="7.875" style="2915" customWidth="1"/>
    <col min="15111" max="15111" width="21.125" style="2915" customWidth="1"/>
    <col min="15112" max="15112" width="65" style="2915" customWidth="1"/>
    <col min="15113" max="15114" width="13.875" style="2915" customWidth="1"/>
    <col min="15115" max="15115" width="11.5" style="2915" customWidth="1"/>
    <col min="15116" max="15116" width="9" style="2915" customWidth="1"/>
    <col min="15117" max="15117" width="21.125" style="2915" customWidth="1"/>
    <col min="15118" max="15118" width="103.75" style="2915" customWidth="1"/>
    <col min="15119" max="15119" width="10.625" style="2915" customWidth="1"/>
    <col min="15120" max="15120" width="16" style="2915" customWidth="1"/>
    <col min="15121" max="15121" width="14.375" style="2915" customWidth="1"/>
    <col min="15122" max="15122" width="6.25" style="2915" customWidth="1"/>
    <col min="15123" max="15123" width="24.5" style="2915" customWidth="1"/>
    <col min="15124" max="15124" width="7.875" style="2915" customWidth="1"/>
    <col min="15125" max="15360" width="9" style="2915"/>
    <col min="15361" max="15361" width="104.5" style="2915" customWidth="1"/>
    <col min="15362" max="15362" width="6.25" style="2915" customWidth="1"/>
    <col min="15363" max="15363" width="13.875" style="2915" customWidth="1"/>
    <col min="15364" max="15364" width="4.625" style="2915" customWidth="1"/>
    <col min="15365" max="15365" width="55.5" style="2915" customWidth="1"/>
    <col min="15366" max="15366" width="7.875" style="2915" customWidth="1"/>
    <col min="15367" max="15367" width="21.125" style="2915" customWidth="1"/>
    <col min="15368" max="15368" width="65" style="2915" customWidth="1"/>
    <col min="15369" max="15370" width="13.875" style="2915" customWidth="1"/>
    <col min="15371" max="15371" width="11.5" style="2915" customWidth="1"/>
    <col min="15372" max="15372" width="9" style="2915" customWidth="1"/>
    <col min="15373" max="15373" width="21.125" style="2915" customWidth="1"/>
    <col min="15374" max="15374" width="103.75" style="2915" customWidth="1"/>
    <col min="15375" max="15375" width="10.625" style="2915" customWidth="1"/>
    <col min="15376" max="15376" width="16" style="2915" customWidth="1"/>
    <col min="15377" max="15377" width="14.375" style="2915" customWidth="1"/>
    <col min="15378" max="15378" width="6.25" style="2915" customWidth="1"/>
    <col min="15379" max="15379" width="24.5" style="2915" customWidth="1"/>
    <col min="15380" max="15380" width="7.875" style="2915" customWidth="1"/>
    <col min="15381" max="15616" width="9" style="2915"/>
    <col min="15617" max="15617" width="104.5" style="2915" customWidth="1"/>
    <col min="15618" max="15618" width="6.25" style="2915" customWidth="1"/>
    <col min="15619" max="15619" width="13.875" style="2915" customWidth="1"/>
    <col min="15620" max="15620" width="4.625" style="2915" customWidth="1"/>
    <col min="15621" max="15621" width="55.5" style="2915" customWidth="1"/>
    <col min="15622" max="15622" width="7.875" style="2915" customWidth="1"/>
    <col min="15623" max="15623" width="21.125" style="2915" customWidth="1"/>
    <col min="15624" max="15624" width="65" style="2915" customWidth="1"/>
    <col min="15625" max="15626" width="13.875" style="2915" customWidth="1"/>
    <col min="15627" max="15627" width="11.5" style="2915" customWidth="1"/>
    <col min="15628" max="15628" width="9" style="2915" customWidth="1"/>
    <col min="15629" max="15629" width="21.125" style="2915" customWidth="1"/>
    <col min="15630" max="15630" width="103.75" style="2915" customWidth="1"/>
    <col min="15631" max="15631" width="10.625" style="2915" customWidth="1"/>
    <col min="15632" max="15632" width="16" style="2915" customWidth="1"/>
    <col min="15633" max="15633" width="14.375" style="2915" customWidth="1"/>
    <col min="15634" max="15634" width="6.25" style="2915" customWidth="1"/>
    <col min="15635" max="15635" width="24.5" style="2915" customWidth="1"/>
    <col min="15636" max="15636" width="7.875" style="2915" customWidth="1"/>
    <col min="15637" max="15872" width="9" style="2915"/>
    <col min="15873" max="15873" width="104.5" style="2915" customWidth="1"/>
    <col min="15874" max="15874" width="6.25" style="2915" customWidth="1"/>
    <col min="15875" max="15875" width="13.875" style="2915" customWidth="1"/>
    <col min="15876" max="15876" width="4.625" style="2915" customWidth="1"/>
    <col min="15877" max="15877" width="55.5" style="2915" customWidth="1"/>
    <col min="15878" max="15878" width="7.875" style="2915" customWidth="1"/>
    <col min="15879" max="15879" width="21.125" style="2915" customWidth="1"/>
    <col min="15880" max="15880" width="65" style="2915" customWidth="1"/>
    <col min="15881" max="15882" width="13.875" style="2915" customWidth="1"/>
    <col min="15883" max="15883" width="11.5" style="2915" customWidth="1"/>
    <col min="15884" max="15884" width="9" style="2915" customWidth="1"/>
    <col min="15885" max="15885" width="21.125" style="2915" customWidth="1"/>
    <col min="15886" max="15886" width="103.75" style="2915" customWidth="1"/>
    <col min="15887" max="15887" width="10.625" style="2915" customWidth="1"/>
    <col min="15888" max="15888" width="16" style="2915" customWidth="1"/>
    <col min="15889" max="15889" width="14.375" style="2915" customWidth="1"/>
    <col min="15890" max="15890" width="6.25" style="2915" customWidth="1"/>
    <col min="15891" max="15891" width="24.5" style="2915" customWidth="1"/>
    <col min="15892" max="15892" width="7.875" style="2915" customWidth="1"/>
    <col min="15893" max="16128" width="9" style="2915"/>
    <col min="16129" max="16129" width="104.5" style="2915" customWidth="1"/>
    <col min="16130" max="16130" width="6.25" style="2915" customWidth="1"/>
    <col min="16131" max="16131" width="13.875" style="2915" customWidth="1"/>
    <col min="16132" max="16132" width="4.625" style="2915" customWidth="1"/>
    <col min="16133" max="16133" width="55.5" style="2915" customWidth="1"/>
    <col min="16134" max="16134" width="7.875" style="2915" customWidth="1"/>
    <col min="16135" max="16135" width="21.125" style="2915" customWidth="1"/>
    <col min="16136" max="16136" width="65" style="2915" customWidth="1"/>
    <col min="16137" max="16138" width="13.875" style="2915" customWidth="1"/>
    <col min="16139" max="16139" width="11.5" style="2915" customWidth="1"/>
    <col min="16140" max="16140" width="9" style="2915" customWidth="1"/>
    <col min="16141" max="16141" width="21.125" style="2915" customWidth="1"/>
    <col min="16142" max="16142" width="103.75" style="2915" customWidth="1"/>
    <col min="16143" max="16143" width="10.625" style="2915" customWidth="1"/>
    <col min="16144" max="16144" width="16" style="2915" customWidth="1"/>
    <col min="16145" max="16145" width="14.375" style="2915" customWidth="1"/>
    <col min="16146" max="16146" width="6.25" style="2915" customWidth="1"/>
    <col min="16147" max="16147" width="24.5" style="2915" customWidth="1"/>
    <col min="16148" max="16148" width="7.875" style="2915" customWidth="1"/>
    <col min="16149" max="16384" width="9" style="2915"/>
  </cols>
  <sheetData>
    <row r="1" spans="1:20">
      <c r="A1" s="2915" t="s">
        <v>3108</v>
      </c>
      <c r="B1" s="2915" t="s">
        <v>3109</v>
      </c>
      <c r="C1" s="2915" t="s">
        <v>3057</v>
      </c>
      <c r="D1" s="2915" t="s">
        <v>3110</v>
      </c>
      <c r="E1" s="2915" t="s">
        <v>3111</v>
      </c>
      <c r="F1" s="2915" t="s">
        <v>3112</v>
      </c>
      <c r="G1" s="2915" t="s">
        <v>3113</v>
      </c>
      <c r="H1" s="2915" t="s">
        <v>3114</v>
      </c>
      <c r="I1" s="2915" t="s">
        <v>3115</v>
      </c>
      <c r="J1" s="2915" t="s">
        <v>3116</v>
      </c>
      <c r="K1" s="2915" t="s">
        <v>2032</v>
      </c>
      <c r="L1" s="2915" t="s">
        <v>3117</v>
      </c>
      <c r="M1" s="2915" t="s">
        <v>3118</v>
      </c>
      <c r="N1" s="2915" t="s">
        <v>3119</v>
      </c>
      <c r="O1" s="2915" t="s">
        <v>3120</v>
      </c>
      <c r="P1" s="2915" t="s">
        <v>3121</v>
      </c>
      <c r="Q1" s="2915" t="s">
        <v>3122</v>
      </c>
      <c r="R1" s="2915" t="s">
        <v>3123</v>
      </c>
      <c r="S1" s="2915" t="s">
        <v>3124</v>
      </c>
      <c r="T1" s="2915" t="s">
        <v>3125</v>
      </c>
    </row>
    <row r="2" spans="1:20">
      <c r="A2" s="2915" t="s">
        <v>3126</v>
      </c>
      <c r="B2" s="2915" t="s">
        <v>1945</v>
      </c>
      <c r="C2" s="2915" t="s">
        <v>3127</v>
      </c>
      <c r="D2" s="2915" t="s">
        <v>2817</v>
      </c>
      <c r="E2" s="2915" t="s">
        <v>3128</v>
      </c>
      <c r="F2" s="2915" t="s">
        <v>3129</v>
      </c>
      <c r="G2" s="2915" t="s">
        <v>3130</v>
      </c>
      <c r="H2" s="2915" t="s">
        <v>3131</v>
      </c>
      <c r="I2" s="2915">
        <v>155132.79999999999</v>
      </c>
      <c r="J2" s="2915">
        <v>156684</v>
      </c>
      <c r="K2" s="2915">
        <v>1.009999305</v>
      </c>
      <c r="L2" s="2915" t="s">
        <v>3132</v>
      </c>
      <c r="M2" s="2915" t="s">
        <v>3130</v>
      </c>
      <c r="N2" s="2915" t="s">
        <v>3133</v>
      </c>
      <c r="O2" s="2915">
        <v>705000</v>
      </c>
      <c r="P2" s="2915">
        <v>3029.66</v>
      </c>
      <c r="Q2" s="2915">
        <v>44995.01</v>
      </c>
      <c r="R2" s="2915">
        <v>50</v>
      </c>
      <c r="S2" s="2915" t="s">
        <v>3134</v>
      </c>
      <c r="T2" s="2915" t="s">
        <v>3135</v>
      </c>
    </row>
    <row r="3" spans="1:20">
      <c r="A3" s="2915" t="s">
        <v>3136</v>
      </c>
      <c r="B3" s="2915" t="s">
        <v>1945</v>
      </c>
      <c r="C3" s="2915" t="s">
        <v>3137</v>
      </c>
      <c r="D3" s="2915" t="s">
        <v>2817</v>
      </c>
      <c r="E3" s="2915" t="s">
        <v>3138</v>
      </c>
      <c r="F3" s="2915" t="s">
        <v>3129</v>
      </c>
      <c r="G3" s="2915" t="s">
        <v>3139</v>
      </c>
      <c r="H3" s="2915" t="s">
        <v>3140</v>
      </c>
      <c r="I3" s="2915">
        <v>151738.6</v>
      </c>
      <c r="J3" s="2915">
        <v>152374</v>
      </c>
      <c r="K3" s="2915">
        <v>1.004</v>
      </c>
      <c r="L3" s="2915" t="s">
        <v>3141</v>
      </c>
      <c r="M3" s="2915" t="s">
        <v>3139</v>
      </c>
      <c r="N3" s="2915" t="s">
        <v>3142</v>
      </c>
      <c r="O3" s="2915">
        <v>685400</v>
      </c>
      <c r="P3" s="2915">
        <v>3011.32</v>
      </c>
      <c r="Q3" s="2915">
        <v>44981.43</v>
      </c>
      <c r="R3" s="2915">
        <v>49</v>
      </c>
      <c r="S3" s="2915" t="s">
        <v>3134</v>
      </c>
      <c r="T3" s="2915" t="s">
        <v>3143</v>
      </c>
    </row>
    <row r="4" spans="1:20">
      <c r="A4" s="2915" t="s">
        <v>3144</v>
      </c>
      <c r="B4" s="2915" t="s">
        <v>1945</v>
      </c>
      <c r="C4" s="2915" t="s">
        <v>3137</v>
      </c>
      <c r="D4" s="2915" t="s">
        <v>2817</v>
      </c>
      <c r="E4" s="2915" t="s">
        <v>3145</v>
      </c>
      <c r="F4" s="2915" t="s">
        <v>3129</v>
      </c>
      <c r="G4" s="2915" t="s">
        <v>3146</v>
      </c>
      <c r="H4" s="2915" t="s">
        <v>3147</v>
      </c>
      <c r="I4" s="2915">
        <v>65602.95</v>
      </c>
      <c r="J4" s="2915">
        <v>120165</v>
      </c>
      <c r="K4" s="2915">
        <v>1.83</v>
      </c>
      <c r="L4" s="2915" t="s">
        <v>3148</v>
      </c>
      <c r="M4" s="2915" t="s">
        <v>3146</v>
      </c>
      <c r="N4" s="2915" t="s">
        <v>3149</v>
      </c>
      <c r="O4" s="2915">
        <v>495000</v>
      </c>
      <c r="P4" s="2915">
        <v>5030.26</v>
      </c>
      <c r="Q4" s="2915">
        <v>41193.360000000001</v>
      </c>
      <c r="R4" s="2915">
        <v>50</v>
      </c>
      <c r="S4" s="2915" t="s">
        <v>3134</v>
      </c>
      <c r="T4" s="2915" t="s">
        <v>3135</v>
      </c>
    </row>
    <row r="5" spans="1:20">
      <c r="A5" s="2915" t="s">
        <v>3264</v>
      </c>
      <c r="B5" s="2915" t="s">
        <v>1945</v>
      </c>
      <c r="C5" s="2915" t="s">
        <v>3137</v>
      </c>
      <c r="D5" s="2915" t="s">
        <v>2817</v>
      </c>
      <c r="E5" s="2915" t="s">
        <v>3265</v>
      </c>
      <c r="F5" s="2915" t="s">
        <v>3129</v>
      </c>
      <c r="G5" s="2915" t="s">
        <v>3266</v>
      </c>
      <c r="H5" s="2915" t="s">
        <v>3267</v>
      </c>
      <c r="I5" s="2915">
        <v>22717.91</v>
      </c>
      <c r="J5" s="2915">
        <v>56795</v>
      </c>
      <c r="K5" s="2915">
        <v>2.5</v>
      </c>
      <c r="L5" s="2915" t="s">
        <v>3268</v>
      </c>
      <c r="M5" s="2915" t="s">
        <v>3266</v>
      </c>
      <c r="N5" s="2915" t="s">
        <v>3269</v>
      </c>
      <c r="O5" s="2915">
        <v>229000</v>
      </c>
      <c r="P5" s="2915">
        <v>6720.1</v>
      </c>
      <c r="Q5" s="2915">
        <v>40320.44</v>
      </c>
      <c r="R5" s="2915">
        <v>49.67</v>
      </c>
      <c r="S5" s="2915" t="s">
        <v>3134</v>
      </c>
      <c r="T5" s="2915" t="s">
        <v>3179</v>
      </c>
    </row>
    <row r="6" spans="1:20">
      <c r="A6" s="2915" t="s">
        <v>3150</v>
      </c>
      <c r="B6" s="2915" t="s">
        <v>1945</v>
      </c>
      <c r="C6" s="2915" t="s">
        <v>3127</v>
      </c>
      <c r="D6" s="2915" t="s">
        <v>2817</v>
      </c>
      <c r="E6" s="2915" t="s">
        <v>3145</v>
      </c>
      <c r="F6" s="2915" t="s">
        <v>3129</v>
      </c>
      <c r="G6" s="2915" t="s">
        <v>3151</v>
      </c>
      <c r="H6" s="2915" t="s">
        <v>3131</v>
      </c>
      <c r="I6" s="2915">
        <v>36365.370000000003</v>
      </c>
      <c r="J6" s="2915">
        <v>65458</v>
      </c>
      <c r="K6" s="2915">
        <v>1.8</v>
      </c>
      <c r="L6" s="2915" t="s">
        <v>3152</v>
      </c>
      <c r="M6" s="2915" t="s">
        <v>3151</v>
      </c>
      <c r="N6" s="2915" t="s">
        <v>3153</v>
      </c>
      <c r="O6" s="2915">
        <v>260000</v>
      </c>
      <c r="P6" s="2915">
        <v>4766.4399999999996</v>
      </c>
      <c r="Q6" s="2915">
        <v>39720.120000000003</v>
      </c>
      <c r="R6" s="2915">
        <v>44.44</v>
      </c>
      <c r="S6" s="2915" t="s">
        <v>3134</v>
      </c>
      <c r="T6" s="2915" t="s">
        <v>3135</v>
      </c>
    </row>
    <row r="7" spans="1:20">
      <c r="A7" s="2915" t="s">
        <v>3270</v>
      </c>
      <c r="B7" s="2915" t="s">
        <v>1945</v>
      </c>
      <c r="C7" s="2915" t="s">
        <v>3127</v>
      </c>
      <c r="D7" s="2915" t="s">
        <v>2817</v>
      </c>
      <c r="E7" s="2915" t="s">
        <v>3271</v>
      </c>
      <c r="F7" s="2915" t="s">
        <v>3129</v>
      </c>
      <c r="G7" s="2915" t="s">
        <v>3272</v>
      </c>
      <c r="H7" s="2915" t="s">
        <v>3273</v>
      </c>
      <c r="I7" s="2915">
        <v>76286.2</v>
      </c>
      <c r="J7" s="2915">
        <v>181983.1</v>
      </c>
      <c r="K7" s="2915">
        <v>2.5</v>
      </c>
      <c r="L7" s="2915" t="s">
        <v>3274</v>
      </c>
      <c r="M7" s="2915" t="s">
        <v>3272</v>
      </c>
      <c r="N7" s="2915" t="s">
        <v>3275</v>
      </c>
      <c r="O7" s="2915">
        <v>716500</v>
      </c>
      <c r="P7" s="2915">
        <v>6261.51</v>
      </c>
      <c r="Q7" s="2915">
        <v>39371.79</v>
      </c>
      <c r="R7" s="2915">
        <v>49.9</v>
      </c>
      <c r="S7" s="2915" t="s">
        <v>3134</v>
      </c>
      <c r="T7" s="2915" t="s">
        <v>3179</v>
      </c>
    </row>
    <row r="8" spans="1:20">
      <c r="A8" s="2915" t="s">
        <v>3276</v>
      </c>
      <c r="B8" s="2915" t="s">
        <v>1945</v>
      </c>
      <c r="C8" s="2915" t="s">
        <v>3137</v>
      </c>
      <c r="D8" s="2915" t="s">
        <v>2817</v>
      </c>
      <c r="E8" s="2915" t="s">
        <v>3277</v>
      </c>
      <c r="F8" s="2915" t="s">
        <v>3129</v>
      </c>
      <c r="G8" s="2915" t="s">
        <v>3278</v>
      </c>
      <c r="H8" s="2915" t="s">
        <v>3131</v>
      </c>
      <c r="I8" s="2915">
        <v>66379.53</v>
      </c>
      <c r="J8" s="2915">
        <v>146035</v>
      </c>
      <c r="K8" s="2915">
        <v>2.2000000000000002</v>
      </c>
      <c r="L8" s="2915" t="s">
        <v>3279</v>
      </c>
      <c r="M8" s="2915" t="s">
        <v>3278</v>
      </c>
      <c r="N8" s="2915" t="s">
        <v>3280</v>
      </c>
      <c r="O8" s="2915">
        <v>574000</v>
      </c>
      <c r="P8" s="2915">
        <v>5764.83</v>
      </c>
      <c r="Q8" s="2915">
        <v>39305.65</v>
      </c>
      <c r="R8" s="2915">
        <v>49.87</v>
      </c>
      <c r="S8" s="2915" t="s">
        <v>3134</v>
      </c>
      <c r="T8" s="2915" t="s">
        <v>3281</v>
      </c>
    </row>
    <row r="9" spans="1:20">
      <c r="A9" s="2915" t="s">
        <v>3282</v>
      </c>
      <c r="B9" s="2915" t="s">
        <v>1945</v>
      </c>
      <c r="C9" s="2915" t="s">
        <v>3137</v>
      </c>
      <c r="D9" s="2915" t="s">
        <v>2817</v>
      </c>
      <c r="E9" s="2915" t="s">
        <v>3277</v>
      </c>
      <c r="F9" s="2915" t="s">
        <v>3129</v>
      </c>
      <c r="G9" s="2915" t="s">
        <v>3283</v>
      </c>
      <c r="H9" s="2915" t="s">
        <v>3131</v>
      </c>
      <c r="I9" s="2915">
        <v>85956.89</v>
      </c>
      <c r="J9" s="2915">
        <v>182033</v>
      </c>
      <c r="K9" s="2915">
        <v>2.12</v>
      </c>
      <c r="L9" s="2915" t="s">
        <v>3279</v>
      </c>
      <c r="M9" s="2915" t="s">
        <v>3283</v>
      </c>
      <c r="N9" s="2915" t="s">
        <v>3280</v>
      </c>
      <c r="O9" s="2915">
        <v>698000</v>
      </c>
      <c r="P9" s="2915">
        <v>5413.57</v>
      </c>
      <c r="Q9" s="2915">
        <v>38344.69</v>
      </c>
      <c r="R9" s="2915">
        <v>49.79</v>
      </c>
      <c r="S9" s="2915" t="s">
        <v>3134</v>
      </c>
      <c r="T9" s="2915" t="s">
        <v>3281</v>
      </c>
    </row>
    <row r="10" spans="1:20">
      <c r="A10" s="2915" t="s">
        <v>3284</v>
      </c>
      <c r="B10" s="2915" t="s">
        <v>1945</v>
      </c>
      <c r="C10" s="2915" t="s">
        <v>3137</v>
      </c>
      <c r="D10" s="2915" t="s">
        <v>2817</v>
      </c>
      <c r="E10" s="2915" t="s">
        <v>3265</v>
      </c>
      <c r="F10" s="2915" t="s">
        <v>3129</v>
      </c>
      <c r="G10" s="2915" t="s">
        <v>3285</v>
      </c>
      <c r="H10" s="2915" t="s">
        <v>3267</v>
      </c>
      <c r="I10" s="2915">
        <v>28212.35</v>
      </c>
      <c r="J10" s="2915">
        <v>70531</v>
      </c>
      <c r="K10" s="2915">
        <v>2.5</v>
      </c>
      <c r="L10" s="2915" t="s">
        <v>3286</v>
      </c>
      <c r="M10" s="2915" t="s">
        <v>3285</v>
      </c>
      <c r="N10" s="2915" t="s">
        <v>3287</v>
      </c>
      <c r="O10" s="2915">
        <v>270000</v>
      </c>
      <c r="P10" s="2915">
        <v>6380.18</v>
      </c>
      <c r="Q10" s="2915">
        <v>38281.040000000001</v>
      </c>
      <c r="R10" s="2915">
        <v>42.11</v>
      </c>
      <c r="S10" s="2915" t="s">
        <v>3134</v>
      </c>
      <c r="T10" s="2915" t="s">
        <v>3179</v>
      </c>
    </row>
    <row r="11" spans="1:20">
      <c r="A11" s="2915" t="s">
        <v>3288</v>
      </c>
      <c r="B11" s="2915" t="s">
        <v>1945</v>
      </c>
      <c r="C11" s="2915" t="s">
        <v>3127</v>
      </c>
      <c r="D11" s="2915" t="s">
        <v>2817</v>
      </c>
      <c r="E11" s="2915" t="s">
        <v>3289</v>
      </c>
      <c r="F11" s="2915" t="s">
        <v>3129</v>
      </c>
      <c r="G11" s="2915" t="s">
        <v>3290</v>
      </c>
      <c r="H11" s="2915" t="s">
        <v>3131</v>
      </c>
      <c r="I11" s="2915">
        <v>92065.1</v>
      </c>
      <c r="J11" s="2915">
        <v>165717.20000000001</v>
      </c>
      <c r="K11" s="2915">
        <v>1.8</v>
      </c>
      <c r="L11" s="2915" t="s">
        <v>3249</v>
      </c>
      <c r="M11" s="2915" t="s">
        <v>3291</v>
      </c>
      <c r="N11" s="2915" t="s">
        <v>3292</v>
      </c>
      <c r="O11" s="2915">
        <v>629000</v>
      </c>
      <c r="P11" s="2915">
        <v>4554.75</v>
      </c>
      <c r="Q11" s="2915">
        <v>37956.230000000003</v>
      </c>
      <c r="R11" s="2915">
        <v>35.56</v>
      </c>
      <c r="S11" s="2915" t="s">
        <v>3134</v>
      </c>
      <c r="T11" s="2915" t="s">
        <v>3143</v>
      </c>
    </row>
    <row r="12" spans="1:20">
      <c r="A12" s="2915" t="s">
        <v>3293</v>
      </c>
      <c r="B12" s="2915" t="s">
        <v>1945</v>
      </c>
      <c r="C12" s="2915" t="s">
        <v>3137</v>
      </c>
      <c r="D12" s="2915" t="s">
        <v>2817</v>
      </c>
      <c r="E12" s="2915" t="s">
        <v>3294</v>
      </c>
      <c r="F12" s="2915" t="s">
        <v>3129</v>
      </c>
      <c r="G12" s="2915" t="s">
        <v>3295</v>
      </c>
      <c r="H12" s="2915" t="s">
        <v>3140</v>
      </c>
      <c r="I12" s="2915">
        <v>75065.42</v>
      </c>
      <c r="J12" s="2915">
        <v>133506</v>
      </c>
      <c r="K12" s="2915" t="s">
        <v>3296</v>
      </c>
      <c r="L12" s="2915" t="s">
        <v>3268</v>
      </c>
      <c r="M12" s="2915" t="s">
        <v>3295</v>
      </c>
      <c r="N12" s="2915" t="s">
        <v>3297</v>
      </c>
      <c r="O12" s="2915">
        <v>479000</v>
      </c>
      <c r="P12" s="2915">
        <v>4254.07</v>
      </c>
      <c r="Q12" s="2915">
        <v>35878.54</v>
      </c>
      <c r="R12" s="2915">
        <v>49.69</v>
      </c>
      <c r="S12" s="2915" t="s">
        <v>3134</v>
      </c>
      <c r="T12" s="2915" t="s">
        <v>3179</v>
      </c>
    </row>
    <row r="13" spans="1:20">
      <c r="A13" s="2915" t="s">
        <v>3298</v>
      </c>
      <c r="B13" s="2915" t="s">
        <v>1945</v>
      </c>
      <c r="C13" s="2915" t="s">
        <v>3137</v>
      </c>
      <c r="D13" s="2915" t="s">
        <v>2817</v>
      </c>
      <c r="E13" s="2915" t="s">
        <v>3299</v>
      </c>
      <c r="F13" s="2915" t="s">
        <v>3129</v>
      </c>
      <c r="G13" s="2915" t="s">
        <v>3300</v>
      </c>
      <c r="H13" s="2915" t="s">
        <v>3140</v>
      </c>
      <c r="I13" s="2915">
        <v>37662.699999999997</v>
      </c>
      <c r="J13" s="2915">
        <v>69250.399999999994</v>
      </c>
      <c r="K13" s="2915">
        <v>1.84</v>
      </c>
      <c r="L13" s="2915" t="s">
        <v>3301</v>
      </c>
      <c r="M13" s="2915" t="s">
        <v>3300</v>
      </c>
      <c r="N13" s="2915" t="s">
        <v>3302</v>
      </c>
      <c r="O13" s="2915">
        <v>246000</v>
      </c>
      <c r="P13" s="2915">
        <v>4354.4399999999996</v>
      </c>
      <c r="Q13" s="2915">
        <v>35523.26</v>
      </c>
      <c r="R13" s="2915">
        <v>35.909999999999997</v>
      </c>
      <c r="S13" s="2915" t="s">
        <v>3134</v>
      </c>
      <c r="T13" s="2915" t="s">
        <v>3135</v>
      </c>
    </row>
    <row r="14" spans="1:20">
      <c r="A14" s="2915" t="s">
        <v>3303</v>
      </c>
      <c r="B14" s="2915" t="s">
        <v>1945</v>
      </c>
      <c r="C14" s="2915" t="s">
        <v>3127</v>
      </c>
      <c r="D14" s="2915" t="s">
        <v>2817</v>
      </c>
      <c r="E14" s="2915" t="s">
        <v>3304</v>
      </c>
      <c r="F14" s="2915" t="s">
        <v>3129</v>
      </c>
      <c r="G14" s="2915" t="s">
        <v>3305</v>
      </c>
      <c r="H14" s="2915" t="s">
        <v>3131</v>
      </c>
      <c r="I14" s="2915">
        <v>38121.199999999997</v>
      </c>
      <c r="J14" s="2915">
        <v>95303</v>
      </c>
      <c r="K14" s="2915">
        <v>2.5</v>
      </c>
      <c r="L14" s="2915" t="s">
        <v>3306</v>
      </c>
      <c r="M14" s="2915" t="s">
        <v>3305</v>
      </c>
      <c r="N14" s="2915" t="s">
        <v>3307</v>
      </c>
      <c r="O14" s="2915">
        <v>332000</v>
      </c>
      <c r="P14" s="2915">
        <v>5806.04</v>
      </c>
      <c r="Q14" s="2915">
        <v>34836.26</v>
      </c>
      <c r="R14" s="2915">
        <v>24.34</v>
      </c>
      <c r="S14" s="2915" t="s">
        <v>3134</v>
      </c>
      <c r="T14" s="2915" t="s">
        <v>3135</v>
      </c>
    </row>
    <row r="15" spans="1:20" s="3191" customFormat="1">
      <c r="A15" s="3191" t="s">
        <v>3154</v>
      </c>
      <c r="B15" s="3191" t="s">
        <v>1945</v>
      </c>
      <c r="C15" s="3191" t="s">
        <v>3127</v>
      </c>
      <c r="D15" s="3191" t="s">
        <v>2817</v>
      </c>
      <c r="E15" s="3191" t="s">
        <v>3138</v>
      </c>
      <c r="F15" s="3191" t="s">
        <v>3129</v>
      </c>
      <c r="G15" s="3191" t="s">
        <v>3155</v>
      </c>
      <c r="H15" s="3191" t="s">
        <v>3131</v>
      </c>
      <c r="I15" s="3191">
        <v>66475.23</v>
      </c>
      <c r="J15" s="3191">
        <v>132950</v>
      </c>
      <c r="K15" s="3191">
        <v>2</v>
      </c>
      <c r="L15" s="3191" t="s">
        <v>3156</v>
      </c>
      <c r="M15" s="3191" t="s">
        <v>3155</v>
      </c>
      <c r="N15" s="3191" t="s">
        <v>3157</v>
      </c>
      <c r="O15" s="3191">
        <v>450000</v>
      </c>
      <c r="P15" s="3191">
        <v>4512.96</v>
      </c>
      <c r="Q15" s="3191">
        <v>33847.300000000003</v>
      </c>
      <c r="R15" s="3191">
        <v>18.420000000000002</v>
      </c>
      <c r="S15" s="3191" t="s">
        <v>3134</v>
      </c>
      <c r="T15" s="3191" t="s">
        <v>3143</v>
      </c>
    </row>
    <row r="16" spans="1:20" s="3191" customFormat="1">
      <c r="A16" s="3191" t="s">
        <v>3308</v>
      </c>
      <c r="B16" s="3191" t="s">
        <v>1945</v>
      </c>
      <c r="C16" s="3191" t="s">
        <v>3127</v>
      </c>
      <c r="D16" s="3191" t="s">
        <v>2817</v>
      </c>
      <c r="E16" s="3191" t="s">
        <v>3309</v>
      </c>
      <c r="F16" s="3191" t="s">
        <v>3129</v>
      </c>
      <c r="G16" s="3191" t="s">
        <v>3310</v>
      </c>
      <c r="H16" s="3191" t="s">
        <v>3131</v>
      </c>
      <c r="I16" s="3191">
        <v>44933.4</v>
      </c>
      <c r="J16" s="3191">
        <v>112333.5</v>
      </c>
      <c r="K16" s="3191">
        <v>2.5</v>
      </c>
      <c r="L16" s="3191" t="s">
        <v>3306</v>
      </c>
      <c r="M16" s="3191" t="s">
        <v>3310</v>
      </c>
      <c r="N16" s="3191" t="s">
        <v>3311</v>
      </c>
      <c r="O16" s="3191">
        <v>370000</v>
      </c>
      <c r="P16" s="3191">
        <v>5489.61</v>
      </c>
      <c r="Q16" s="3191">
        <v>32937.629999999997</v>
      </c>
      <c r="R16" s="3191">
        <v>17.46</v>
      </c>
      <c r="S16" s="3191" t="s">
        <v>3134</v>
      </c>
      <c r="T16" s="3191" t="s">
        <v>3135</v>
      </c>
    </row>
    <row r="17" spans="1:20">
      <c r="A17" s="2915" t="s">
        <v>3312</v>
      </c>
      <c r="B17" s="2915" t="s">
        <v>1945</v>
      </c>
      <c r="C17" s="2915" t="s">
        <v>3137</v>
      </c>
      <c r="D17" s="2915" t="s">
        <v>2817</v>
      </c>
      <c r="E17" s="2915" t="s">
        <v>3312</v>
      </c>
      <c r="F17" s="2915" t="s">
        <v>3129</v>
      </c>
      <c r="G17" s="2915" t="s">
        <v>3313</v>
      </c>
      <c r="H17" s="2915" t="s">
        <v>3314</v>
      </c>
      <c r="I17" s="2915">
        <v>45195.85</v>
      </c>
      <c r="J17" s="2915">
        <v>120599</v>
      </c>
      <c r="K17" s="2915">
        <v>2.67</v>
      </c>
      <c r="L17" s="2915" t="s">
        <v>3315</v>
      </c>
      <c r="M17" s="2915" t="s">
        <v>3313</v>
      </c>
      <c r="N17" s="2915" t="s">
        <v>3316</v>
      </c>
      <c r="O17" s="2915">
        <v>390000</v>
      </c>
      <c r="P17" s="2915">
        <v>5752.74</v>
      </c>
      <c r="Q17" s="2915">
        <v>32338.58</v>
      </c>
      <c r="R17" s="2915">
        <v>50</v>
      </c>
      <c r="S17" s="2915" t="s">
        <v>3134</v>
      </c>
      <c r="T17" s="2915" t="s">
        <v>3281</v>
      </c>
    </row>
    <row r="18" spans="1:20" s="3191" customFormat="1">
      <c r="A18" s="3191" t="s">
        <v>3158</v>
      </c>
      <c r="B18" s="3191" t="s">
        <v>1945</v>
      </c>
      <c r="C18" s="3191" t="s">
        <v>3137</v>
      </c>
      <c r="D18" s="3191" t="s">
        <v>2817</v>
      </c>
      <c r="E18" s="3191" t="s">
        <v>3159</v>
      </c>
      <c r="F18" s="3191" t="s">
        <v>3129</v>
      </c>
      <c r="G18" s="3191" t="s">
        <v>3160</v>
      </c>
      <c r="H18" s="3191" t="s">
        <v>3140</v>
      </c>
      <c r="I18" s="3191">
        <v>39084.339999999997</v>
      </c>
      <c r="J18" s="3191">
        <v>59071</v>
      </c>
      <c r="K18" s="3191" t="s">
        <v>3161</v>
      </c>
      <c r="L18" s="3191" t="s">
        <v>3162</v>
      </c>
      <c r="M18" s="3191" t="s">
        <v>3160</v>
      </c>
      <c r="N18" s="3191" t="s">
        <v>3163</v>
      </c>
      <c r="O18" s="3191">
        <v>188000</v>
      </c>
      <c r="P18" s="3191">
        <v>3206.74</v>
      </c>
      <c r="Q18" s="3191">
        <v>31826.11</v>
      </c>
      <c r="R18" s="3191">
        <v>42.42</v>
      </c>
      <c r="S18" s="3191" t="s">
        <v>3164</v>
      </c>
      <c r="T18" s="3191" t="s">
        <v>3135</v>
      </c>
    </row>
    <row r="19" spans="1:20">
      <c r="A19" s="2915" t="s">
        <v>3165</v>
      </c>
      <c r="B19" s="2915" t="s">
        <v>1945</v>
      </c>
      <c r="C19" s="2915" t="s">
        <v>3127</v>
      </c>
      <c r="D19" s="2915" t="s">
        <v>2817</v>
      </c>
      <c r="E19" s="2915" t="s">
        <v>3166</v>
      </c>
      <c r="F19" s="2915" t="s">
        <v>3129</v>
      </c>
      <c r="G19" s="2915" t="s">
        <v>3167</v>
      </c>
      <c r="H19" s="2915" t="s">
        <v>3131</v>
      </c>
      <c r="I19" s="2915">
        <v>43325.9</v>
      </c>
      <c r="J19" s="2915">
        <v>64988</v>
      </c>
      <c r="K19" s="2915">
        <v>1.5</v>
      </c>
      <c r="L19" s="2915" t="s">
        <v>3168</v>
      </c>
      <c r="M19" s="2915" t="s">
        <v>3167</v>
      </c>
      <c r="N19" s="2915" t="s">
        <v>3169</v>
      </c>
      <c r="O19" s="2915">
        <v>204000</v>
      </c>
      <c r="P19" s="2915">
        <v>3139</v>
      </c>
      <c r="Q19" s="2915">
        <v>31390.400000000001</v>
      </c>
      <c r="R19" s="2915">
        <v>7.37</v>
      </c>
      <c r="S19" s="2915" t="s">
        <v>3134</v>
      </c>
      <c r="T19" s="2915" t="s">
        <v>3135</v>
      </c>
    </row>
    <row r="20" spans="1:20">
      <c r="A20" s="2915" t="s">
        <v>3317</v>
      </c>
      <c r="B20" s="2915" t="s">
        <v>1945</v>
      </c>
      <c r="C20" s="2915" t="s">
        <v>3137</v>
      </c>
      <c r="D20" s="2915" t="s">
        <v>2817</v>
      </c>
      <c r="E20" s="2915" t="s">
        <v>3318</v>
      </c>
      <c r="F20" s="2915" t="s">
        <v>3129</v>
      </c>
      <c r="G20" s="2915" t="s">
        <v>3319</v>
      </c>
      <c r="H20" s="2915" t="s">
        <v>3267</v>
      </c>
      <c r="I20" s="2915">
        <v>39491.11</v>
      </c>
      <c r="J20" s="2915">
        <v>98728</v>
      </c>
      <c r="K20" s="2915">
        <v>2.5</v>
      </c>
      <c r="L20" s="2915" t="s">
        <v>3320</v>
      </c>
      <c r="M20" s="2915" t="s">
        <v>3319</v>
      </c>
      <c r="N20" s="2915" t="s">
        <v>3321</v>
      </c>
      <c r="O20" s="2915">
        <v>302500</v>
      </c>
      <c r="P20" s="2915">
        <v>5106.63</v>
      </c>
      <c r="Q20" s="2915">
        <v>30639.74</v>
      </c>
      <c r="R20" s="2915">
        <v>13.72</v>
      </c>
      <c r="S20" s="2915" t="s">
        <v>3134</v>
      </c>
      <c r="T20" s="2915" t="s">
        <v>3179</v>
      </c>
    </row>
    <row r="21" spans="1:20">
      <c r="A21" s="2915" t="s">
        <v>3322</v>
      </c>
      <c r="B21" s="2915" t="s">
        <v>1945</v>
      </c>
      <c r="C21" s="2915" t="s">
        <v>3127</v>
      </c>
      <c r="D21" s="2915" t="s">
        <v>2817</v>
      </c>
      <c r="E21" s="2915" t="s">
        <v>3323</v>
      </c>
      <c r="F21" s="2915" t="s">
        <v>3129</v>
      </c>
      <c r="G21" s="2915" t="s">
        <v>3324</v>
      </c>
      <c r="H21" s="2915" t="s">
        <v>3267</v>
      </c>
      <c r="I21" s="2915">
        <v>63029.62</v>
      </c>
      <c r="J21" s="2915">
        <v>126059</v>
      </c>
      <c r="K21" s="2915">
        <v>2</v>
      </c>
      <c r="L21" s="2915" t="s">
        <v>3325</v>
      </c>
      <c r="M21" s="2915" t="s">
        <v>3324</v>
      </c>
      <c r="N21" s="2915" t="s">
        <v>3326</v>
      </c>
      <c r="O21" s="2915">
        <v>380000</v>
      </c>
      <c r="P21" s="2915">
        <v>4019.27</v>
      </c>
      <c r="Q21" s="2915">
        <v>30144.61</v>
      </c>
      <c r="R21" s="2915">
        <v>58.33</v>
      </c>
      <c r="S21" s="2915" t="s">
        <v>3164</v>
      </c>
      <c r="T21" s="2915" t="s">
        <v>3179</v>
      </c>
    </row>
    <row r="22" spans="1:20">
      <c r="A22" s="2915" t="s">
        <v>3327</v>
      </c>
      <c r="B22" s="2915" t="s">
        <v>1945</v>
      </c>
      <c r="C22" s="2915" t="s">
        <v>3127</v>
      </c>
      <c r="D22" s="2915" t="s">
        <v>2817</v>
      </c>
      <c r="E22" s="2915" t="s">
        <v>3328</v>
      </c>
      <c r="F22" s="2915" t="s">
        <v>3129</v>
      </c>
      <c r="G22" s="2915" t="s">
        <v>3329</v>
      </c>
      <c r="H22" s="2915" t="s">
        <v>3131</v>
      </c>
      <c r="I22" s="2915">
        <v>74464</v>
      </c>
      <c r="J22" s="2915">
        <v>119142</v>
      </c>
      <c r="K22" s="2915">
        <v>1.6</v>
      </c>
      <c r="L22" s="2915" t="s">
        <v>3330</v>
      </c>
      <c r="M22" s="2915" t="s">
        <v>3329</v>
      </c>
      <c r="N22" s="2915" t="s">
        <v>3331</v>
      </c>
      <c r="O22" s="2915">
        <v>327500</v>
      </c>
      <c r="P22" s="2915">
        <v>2932.07</v>
      </c>
      <c r="Q22" s="2915">
        <v>27488.2</v>
      </c>
      <c r="R22" s="2915">
        <v>42.39</v>
      </c>
      <c r="S22" s="2915" t="s">
        <v>3134</v>
      </c>
      <c r="T22" s="2915" t="s">
        <v>3251</v>
      </c>
    </row>
    <row r="23" spans="1:20">
      <c r="A23" s="2915" t="s">
        <v>3332</v>
      </c>
      <c r="B23" s="2915" t="s">
        <v>1945</v>
      </c>
      <c r="C23" s="2915" t="s">
        <v>3137</v>
      </c>
      <c r="D23" s="2915" t="s">
        <v>2817</v>
      </c>
      <c r="E23" s="2915" t="s">
        <v>3333</v>
      </c>
      <c r="F23" s="2915" t="s">
        <v>3129</v>
      </c>
      <c r="G23" s="2915" t="s">
        <v>3334</v>
      </c>
      <c r="H23" s="2915" t="s">
        <v>3140</v>
      </c>
      <c r="I23" s="2915">
        <v>51970.99</v>
      </c>
      <c r="J23" s="2915">
        <v>135275</v>
      </c>
      <c r="K23" s="2915">
        <v>2.6</v>
      </c>
      <c r="L23" s="2915" t="s">
        <v>3335</v>
      </c>
      <c r="M23" s="2915" t="s">
        <v>3334</v>
      </c>
      <c r="N23" s="2915" t="s">
        <v>3336</v>
      </c>
      <c r="O23" s="2915">
        <v>367500</v>
      </c>
      <c r="P23" s="2915">
        <v>4714.17</v>
      </c>
      <c r="Q23" s="2915">
        <v>27166.880000000001</v>
      </c>
      <c r="R23" s="2915">
        <v>48.19</v>
      </c>
      <c r="S23" s="2915" t="s">
        <v>3134</v>
      </c>
      <c r="T23" s="2915" t="s">
        <v>3179</v>
      </c>
    </row>
    <row r="24" spans="1:20">
      <c r="A24" s="2915" t="s">
        <v>3337</v>
      </c>
      <c r="B24" s="2915" t="s">
        <v>1945</v>
      </c>
      <c r="C24" s="2915" t="s">
        <v>3137</v>
      </c>
      <c r="D24" s="2915" t="s">
        <v>2817</v>
      </c>
      <c r="E24" s="2915" t="s">
        <v>3338</v>
      </c>
      <c r="F24" s="2915" t="s">
        <v>3129</v>
      </c>
      <c r="G24" s="2915" t="s">
        <v>3339</v>
      </c>
      <c r="H24" s="2915" t="s">
        <v>3340</v>
      </c>
      <c r="I24" s="2915">
        <v>48377.1</v>
      </c>
      <c r="J24" s="2915">
        <v>87296.2</v>
      </c>
      <c r="K24" s="2915">
        <v>1.8</v>
      </c>
      <c r="L24" s="2915" t="s">
        <v>3301</v>
      </c>
      <c r="M24" s="2915" t="s">
        <v>3339</v>
      </c>
      <c r="N24" s="2915" t="s">
        <v>3341</v>
      </c>
      <c r="O24" s="2915">
        <v>222000</v>
      </c>
      <c r="P24" s="2915">
        <v>3059.3</v>
      </c>
      <c r="Q24" s="2915">
        <v>25430.65</v>
      </c>
      <c r="R24" s="2915">
        <v>38.75</v>
      </c>
      <c r="S24" s="2915" t="s">
        <v>3134</v>
      </c>
      <c r="T24" s="2915" t="s">
        <v>3135</v>
      </c>
    </row>
    <row r="25" spans="1:20">
      <c r="A25" s="2915" t="s">
        <v>3170</v>
      </c>
      <c r="B25" s="2915" t="s">
        <v>1945</v>
      </c>
      <c r="C25" s="2915" t="s">
        <v>3127</v>
      </c>
      <c r="D25" s="2915" t="s">
        <v>2817</v>
      </c>
      <c r="E25" s="2915" t="s">
        <v>3171</v>
      </c>
      <c r="F25" s="2915" t="s">
        <v>3129</v>
      </c>
      <c r="G25" s="2915" t="s">
        <v>3172</v>
      </c>
      <c r="H25" s="2915" t="s">
        <v>3131</v>
      </c>
      <c r="I25" s="2915">
        <v>21403.13</v>
      </c>
      <c r="J25" s="2915">
        <v>38526</v>
      </c>
      <c r="K25" s="2915">
        <v>1.8</v>
      </c>
      <c r="L25" s="2915" t="s">
        <v>3168</v>
      </c>
      <c r="M25" s="2915" t="s">
        <v>3172</v>
      </c>
      <c r="N25" s="2915" t="s">
        <v>3173</v>
      </c>
      <c r="O25" s="2915">
        <v>92000</v>
      </c>
      <c r="P25" s="2915">
        <v>2865.62</v>
      </c>
      <c r="Q25" s="2915">
        <v>23879.97</v>
      </c>
      <c r="R25" s="2915">
        <v>29.58</v>
      </c>
      <c r="S25" s="2915" t="s">
        <v>3134</v>
      </c>
      <c r="T25" s="2915" t="s">
        <v>3143</v>
      </c>
    </row>
    <row r="26" spans="1:20">
      <c r="A26" s="2915" t="s">
        <v>3174</v>
      </c>
      <c r="B26" s="2915" t="s">
        <v>1945</v>
      </c>
      <c r="C26" s="2915" t="s">
        <v>3137</v>
      </c>
      <c r="D26" s="2915" t="s">
        <v>2817</v>
      </c>
      <c r="E26" s="2915" t="s">
        <v>3175</v>
      </c>
      <c r="F26" s="2915" t="s">
        <v>3129</v>
      </c>
      <c r="G26" s="2915" t="s">
        <v>3176</v>
      </c>
      <c r="H26" s="2915" t="s">
        <v>3140</v>
      </c>
      <c r="I26" s="2915">
        <v>115506.3</v>
      </c>
      <c r="J26" s="2915">
        <v>280243</v>
      </c>
      <c r="K26" s="2915">
        <v>2.4300000000000002</v>
      </c>
      <c r="L26" s="2915" t="s">
        <v>3177</v>
      </c>
      <c r="M26" s="2915" t="s">
        <v>3176</v>
      </c>
      <c r="N26" s="2915" t="s">
        <v>3178</v>
      </c>
      <c r="O26" s="2915">
        <v>666000</v>
      </c>
      <c r="P26" s="2915">
        <v>3843.95</v>
      </c>
      <c r="Q26" s="2915">
        <v>23765.09</v>
      </c>
      <c r="R26" s="2915">
        <v>2.46</v>
      </c>
      <c r="S26" s="2915" t="s">
        <v>3164</v>
      </c>
      <c r="T26" s="2915" t="s">
        <v>3179</v>
      </c>
    </row>
    <row r="27" spans="1:20">
      <c r="A27" s="2915" t="s">
        <v>3180</v>
      </c>
      <c r="B27" s="2915" t="s">
        <v>1945</v>
      </c>
      <c r="C27" s="2915" t="s">
        <v>3137</v>
      </c>
      <c r="D27" s="2915" t="s">
        <v>2817</v>
      </c>
      <c r="E27" s="2915" t="s">
        <v>3181</v>
      </c>
      <c r="F27" s="2915" t="s">
        <v>3129</v>
      </c>
      <c r="G27" s="2915" t="s">
        <v>3182</v>
      </c>
      <c r="H27" s="2915" t="s">
        <v>3183</v>
      </c>
      <c r="I27" s="2915">
        <v>51248.95</v>
      </c>
      <c r="J27" s="2915">
        <v>78434</v>
      </c>
      <c r="K27" s="2915" t="s">
        <v>3184</v>
      </c>
      <c r="L27" s="2915" t="s">
        <v>3162</v>
      </c>
      <c r="M27" s="2915" t="s">
        <v>3182</v>
      </c>
      <c r="N27" s="2915" t="s">
        <v>3185</v>
      </c>
      <c r="O27" s="2915">
        <v>183000</v>
      </c>
      <c r="P27" s="2915">
        <v>2380.54</v>
      </c>
      <c r="Q27" s="2915">
        <v>23331.72</v>
      </c>
      <c r="R27" s="2915">
        <v>19.61</v>
      </c>
      <c r="S27" s="2915" t="s">
        <v>3164</v>
      </c>
      <c r="T27" s="2915" t="s">
        <v>3135</v>
      </c>
    </row>
    <row r="28" spans="1:20">
      <c r="A28" s="2915" t="s">
        <v>3186</v>
      </c>
      <c r="B28" s="2915" t="s">
        <v>1945</v>
      </c>
      <c r="C28" s="2915" t="s">
        <v>3137</v>
      </c>
      <c r="D28" s="2915" t="s">
        <v>2817</v>
      </c>
      <c r="E28" s="2915" t="s">
        <v>3187</v>
      </c>
      <c r="F28" s="2915" t="s">
        <v>3129</v>
      </c>
      <c r="G28" s="2915" t="s">
        <v>3188</v>
      </c>
      <c r="H28" s="2915" t="s">
        <v>3189</v>
      </c>
      <c r="I28" s="2915">
        <v>69856.02</v>
      </c>
      <c r="J28" s="2915">
        <v>104180</v>
      </c>
      <c r="K28" s="2915">
        <v>1.49</v>
      </c>
      <c r="L28" s="2915" t="s">
        <v>3190</v>
      </c>
      <c r="M28" s="2915" t="s">
        <v>3188</v>
      </c>
      <c r="N28" s="2915" t="s">
        <v>3191</v>
      </c>
      <c r="O28" s="2915">
        <v>233000</v>
      </c>
      <c r="P28" s="2915">
        <v>2223.62</v>
      </c>
      <c r="Q28" s="2915">
        <v>22365.13</v>
      </c>
      <c r="R28" s="2915">
        <v>22.63</v>
      </c>
      <c r="S28" s="2915" t="s">
        <v>3134</v>
      </c>
      <c r="T28" s="2915" t="s">
        <v>3143</v>
      </c>
    </row>
    <row r="29" spans="1:20">
      <c r="A29" s="2915" t="s">
        <v>3192</v>
      </c>
      <c r="B29" s="2915" t="s">
        <v>1945</v>
      </c>
      <c r="C29" s="2915" t="s">
        <v>3137</v>
      </c>
      <c r="D29" s="2915" t="s">
        <v>2817</v>
      </c>
      <c r="E29" s="2915" t="s">
        <v>3193</v>
      </c>
      <c r="F29" s="2915" t="s">
        <v>3129</v>
      </c>
      <c r="G29" s="2915" t="s">
        <v>3194</v>
      </c>
      <c r="H29" s="2915" t="s">
        <v>3140</v>
      </c>
      <c r="I29" s="2915">
        <v>28367.279999999999</v>
      </c>
      <c r="J29" s="2915">
        <v>42028</v>
      </c>
      <c r="K29" s="2915">
        <v>1.48</v>
      </c>
      <c r="L29" s="2915" t="s">
        <v>3190</v>
      </c>
      <c r="M29" s="2915" t="s">
        <v>3194</v>
      </c>
      <c r="N29" s="2915" t="s">
        <v>3195</v>
      </c>
      <c r="O29" s="2915">
        <v>88500</v>
      </c>
      <c r="P29" s="2915">
        <v>2079.86</v>
      </c>
      <c r="Q29" s="2915">
        <v>21057.38</v>
      </c>
      <c r="R29" s="2915">
        <v>16.45</v>
      </c>
      <c r="S29" s="2915" t="s">
        <v>3134</v>
      </c>
      <c r="T29" s="2915" t="s">
        <v>3143</v>
      </c>
    </row>
    <row r="30" spans="1:20">
      <c r="A30" s="2915" t="s">
        <v>3342</v>
      </c>
      <c r="B30" s="2915" t="s">
        <v>1945</v>
      </c>
      <c r="C30" s="2915" t="s">
        <v>3127</v>
      </c>
      <c r="D30" s="2915" t="s">
        <v>2817</v>
      </c>
      <c r="E30" s="2915" t="s">
        <v>3342</v>
      </c>
      <c r="F30" s="2915" t="s">
        <v>3129</v>
      </c>
      <c r="G30" s="2915" t="s">
        <v>3343</v>
      </c>
      <c r="H30" s="2915" t="s">
        <v>3131</v>
      </c>
      <c r="I30" s="2915">
        <v>50662.6</v>
      </c>
      <c r="J30" s="2915">
        <v>101325.2</v>
      </c>
      <c r="K30" s="2915">
        <v>2</v>
      </c>
      <c r="L30" s="2915" t="s">
        <v>3344</v>
      </c>
      <c r="M30" s="2915" t="s">
        <v>3343</v>
      </c>
      <c r="N30" s="2915" t="s">
        <v>3341</v>
      </c>
      <c r="O30" s="2915">
        <v>211000</v>
      </c>
      <c r="P30" s="2915">
        <v>2776.54</v>
      </c>
      <c r="Q30" s="2915">
        <v>20824.04</v>
      </c>
      <c r="R30" s="2915">
        <v>39.74</v>
      </c>
      <c r="S30" s="2915" t="s">
        <v>3345</v>
      </c>
      <c r="T30" s="2915" t="s">
        <v>3135</v>
      </c>
    </row>
    <row r="31" spans="1:20">
      <c r="A31" s="2915" t="s">
        <v>3346</v>
      </c>
      <c r="B31" s="2915" t="s">
        <v>1945</v>
      </c>
      <c r="C31" s="2915" t="s">
        <v>3137</v>
      </c>
      <c r="D31" s="2915" t="s">
        <v>2817</v>
      </c>
      <c r="E31" s="2915" t="s">
        <v>3323</v>
      </c>
      <c r="F31" s="2915" t="s">
        <v>3129</v>
      </c>
      <c r="G31" s="2915" t="s">
        <v>3347</v>
      </c>
      <c r="H31" s="2915" t="s">
        <v>3204</v>
      </c>
      <c r="I31" s="2915">
        <v>40985.61</v>
      </c>
      <c r="J31" s="2915">
        <v>81971</v>
      </c>
      <c r="K31" s="2915">
        <v>2</v>
      </c>
      <c r="L31" s="2915" t="s">
        <v>3348</v>
      </c>
      <c r="M31" s="2915" t="s">
        <v>3347</v>
      </c>
      <c r="N31" s="2915" t="s">
        <v>3349</v>
      </c>
      <c r="O31" s="2915">
        <v>168000</v>
      </c>
      <c r="P31" s="2915">
        <v>2732.67</v>
      </c>
      <c r="Q31" s="2915">
        <v>20495.04</v>
      </c>
      <c r="R31" s="2915">
        <v>0</v>
      </c>
      <c r="S31" s="2915" t="s">
        <v>3134</v>
      </c>
      <c r="T31" s="2915" t="s">
        <v>3179</v>
      </c>
    </row>
    <row r="32" spans="1:20">
      <c r="A32" s="2915" t="s">
        <v>3196</v>
      </c>
      <c r="B32" s="2915" t="s">
        <v>1945</v>
      </c>
      <c r="C32" s="2915" t="s">
        <v>3127</v>
      </c>
      <c r="D32" s="2915" t="s">
        <v>2817</v>
      </c>
      <c r="E32" s="2915" t="s">
        <v>3197</v>
      </c>
      <c r="F32" s="2915" t="s">
        <v>3129</v>
      </c>
      <c r="G32" s="2915" t="s">
        <v>3198</v>
      </c>
      <c r="H32" s="2915" t="s">
        <v>3131</v>
      </c>
      <c r="I32" s="2915">
        <v>41170.230000000003</v>
      </c>
      <c r="J32" s="2915">
        <v>60109</v>
      </c>
      <c r="K32" s="2915">
        <v>1.46</v>
      </c>
      <c r="L32" s="2915" t="s">
        <v>3199</v>
      </c>
      <c r="M32" s="2915" t="s">
        <v>3198</v>
      </c>
      <c r="N32" s="2915" t="s">
        <v>3200</v>
      </c>
      <c r="O32" s="2915">
        <v>121000</v>
      </c>
      <c r="P32" s="2915">
        <v>1959.34</v>
      </c>
      <c r="Q32" s="2915">
        <v>20130.09</v>
      </c>
      <c r="R32" s="2915">
        <v>37.5</v>
      </c>
      <c r="S32" s="2915" t="s">
        <v>3164</v>
      </c>
      <c r="T32" s="2915" t="s">
        <v>3179</v>
      </c>
    </row>
    <row r="33" spans="1:20">
      <c r="A33" s="2915" t="s">
        <v>3350</v>
      </c>
      <c r="B33" s="2915" t="s">
        <v>1945</v>
      </c>
      <c r="C33" s="2915" t="s">
        <v>3127</v>
      </c>
      <c r="D33" s="2915" t="s">
        <v>2817</v>
      </c>
      <c r="E33" s="2915" t="s">
        <v>3351</v>
      </c>
      <c r="F33" s="2915" t="s">
        <v>3129</v>
      </c>
      <c r="G33" s="2915" t="s">
        <v>3352</v>
      </c>
      <c r="H33" s="2915" t="s">
        <v>3131</v>
      </c>
      <c r="I33" s="2915">
        <v>39735</v>
      </c>
      <c r="J33" s="2915">
        <v>87417</v>
      </c>
      <c r="K33" s="2915">
        <v>2.2000000000000002</v>
      </c>
      <c r="L33" s="2915" t="s">
        <v>3353</v>
      </c>
      <c r="M33" s="2915" t="s">
        <v>3352</v>
      </c>
      <c r="N33" s="2915" t="s">
        <v>3331</v>
      </c>
      <c r="O33" s="2915">
        <v>172700</v>
      </c>
      <c r="P33" s="2915">
        <v>2897.53</v>
      </c>
      <c r="Q33" s="2915">
        <v>19755.88</v>
      </c>
      <c r="R33" s="2915">
        <v>1.59</v>
      </c>
      <c r="S33" s="2915" t="s">
        <v>3134</v>
      </c>
      <c r="T33" s="2915" t="s">
        <v>3251</v>
      </c>
    </row>
    <row r="34" spans="1:20">
      <c r="A34" s="2915" t="s">
        <v>3354</v>
      </c>
      <c r="B34" s="2915" t="s">
        <v>1945</v>
      </c>
      <c r="C34" s="2915" t="s">
        <v>3127</v>
      </c>
      <c r="D34" s="2915" t="s">
        <v>2817</v>
      </c>
      <c r="E34" s="2915" t="s">
        <v>3355</v>
      </c>
      <c r="F34" s="2915" t="s">
        <v>3129</v>
      </c>
      <c r="G34" s="2915" t="s">
        <v>3356</v>
      </c>
      <c r="H34" s="2915" t="s">
        <v>3131</v>
      </c>
      <c r="I34" s="2915">
        <v>87590.77</v>
      </c>
      <c r="J34" s="2915">
        <v>91970</v>
      </c>
      <c r="K34" s="2915">
        <v>1.05</v>
      </c>
      <c r="L34" s="2915" t="s">
        <v>3156</v>
      </c>
      <c r="M34" s="2915" t="s">
        <v>3356</v>
      </c>
      <c r="N34" s="2915" t="s">
        <v>3357</v>
      </c>
      <c r="O34" s="2915">
        <v>177000</v>
      </c>
      <c r="P34" s="2915">
        <v>1347.17</v>
      </c>
      <c r="Q34" s="2915">
        <v>19245.400000000001</v>
      </c>
      <c r="R34" s="2915">
        <v>49.3</v>
      </c>
      <c r="S34" s="2915" t="s">
        <v>3134</v>
      </c>
      <c r="T34" s="2915" t="s">
        <v>3143</v>
      </c>
    </row>
    <row r="35" spans="1:20">
      <c r="A35" s="2915" t="s">
        <v>3201</v>
      </c>
      <c r="B35" s="2915" t="s">
        <v>1945</v>
      </c>
      <c r="C35" s="2915" t="s">
        <v>3137</v>
      </c>
      <c r="D35" s="2915" t="s">
        <v>2817</v>
      </c>
      <c r="E35" s="2915" t="s">
        <v>3202</v>
      </c>
      <c r="F35" s="2915" t="s">
        <v>3129</v>
      </c>
      <c r="G35" s="2915" t="s">
        <v>3203</v>
      </c>
      <c r="H35" s="2915" t="s">
        <v>3204</v>
      </c>
      <c r="I35" s="2915">
        <v>17756.68</v>
      </c>
      <c r="J35" s="2915">
        <v>39065</v>
      </c>
      <c r="K35" s="2915">
        <v>2.2000000000000002</v>
      </c>
      <c r="L35" s="2915" t="s">
        <v>3205</v>
      </c>
      <c r="M35" s="2915" t="s">
        <v>3203</v>
      </c>
      <c r="N35" s="2915" t="s">
        <v>3206</v>
      </c>
      <c r="O35" s="2915">
        <v>75000</v>
      </c>
      <c r="P35" s="2915">
        <v>2815.84</v>
      </c>
      <c r="Q35" s="2915">
        <v>19198.77</v>
      </c>
      <c r="R35" s="2915">
        <v>50</v>
      </c>
      <c r="S35" s="2915" t="s">
        <v>3134</v>
      </c>
      <c r="T35" s="2915" t="s">
        <v>3135</v>
      </c>
    </row>
    <row r="36" spans="1:20">
      <c r="A36" s="2915" t="s">
        <v>3358</v>
      </c>
      <c r="B36" s="2915" t="s">
        <v>1945</v>
      </c>
      <c r="C36" s="2915" t="s">
        <v>3137</v>
      </c>
      <c r="D36" s="2915" t="s">
        <v>2817</v>
      </c>
      <c r="E36" s="2915" t="s">
        <v>3265</v>
      </c>
      <c r="F36" s="2915" t="s">
        <v>3129</v>
      </c>
      <c r="G36" s="2915" t="s">
        <v>3359</v>
      </c>
      <c r="H36" s="2915" t="s">
        <v>3267</v>
      </c>
      <c r="I36" s="2915">
        <v>31048.69</v>
      </c>
      <c r="J36" s="2915">
        <v>77622</v>
      </c>
      <c r="K36" s="2915">
        <v>2.5</v>
      </c>
      <c r="L36" s="2915" t="s">
        <v>3360</v>
      </c>
      <c r="M36" s="2915" t="s">
        <v>3359</v>
      </c>
      <c r="N36" s="2915" t="s">
        <v>3361</v>
      </c>
      <c r="O36" s="2915">
        <v>146500</v>
      </c>
      <c r="P36" s="2915">
        <v>3145.6</v>
      </c>
      <c r="Q36" s="2915">
        <v>18873.52</v>
      </c>
      <c r="R36" s="2915">
        <v>1.03</v>
      </c>
      <c r="S36" s="2915" t="s">
        <v>3134</v>
      </c>
      <c r="T36" s="2915" t="s">
        <v>3179</v>
      </c>
    </row>
    <row r="37" spans="1:20">
      <c r="A37" s="2915" t="s">
        <v>3207</v>
      </c>
      <c r="B37" s="2915" t="s">
        <v>1945</v>
      </c>
      <c r="C37" s="2915" t="s">
        <v>3137</v>
      </c>
      <c r="D37" s="2915" t="s">
        <v>2817</v>
      </c>
      <c r="E37" s="2915" t="s">
        <v>3171</v>
      </c>
      <c r="F37" s="2915" t="s">
        <v>3129</v>
      </c>
      <c r="G37" s="2915" t="s">
        <v>3208</v>
      </c>
      <c r="H37" s="2915" t="s">
        <v>3209</v>
      </c>
      <c r="I37" s="2915">
        <v>132352.79999999999</v>
      </c>
      <c r="J37" s="2915">
        <v>201775</v>
      </c>
      <c r="K37" s="2915">
        <v>1.52</v>
      </c>
      <c r="L37" s="2915" t="s">
        <v>3210</v>
      </c>
      <c r="M37" s="2915" t="s">
        <v>3208</v>
      </c>
      <c r="N37" s="2915" t="s">
        <v>3211</v>
      </c>
      <c r="O37" s="2915">
        <v>380000</v>
      </c>
      <c r="P37" s="2915">
        <v>1914.08</v>
      </c>
      <c r="Q37" s="2915">
        <v>18832.86</v>
      </c>
      <c r="R37" s="2915">
        <v>4.1100000000000003</v>
      </c>
      <c r="S37" s="2915" t="s">
        <v>3134</v>
      </c>
      <c r="T37" s="2915" t="s">
        <v>3143</v>
      </c>
    </row>
    <row r="38" spans="1:20">
      <c r="A38" s="2915" t="s">
        <v>3362</v>
      </c>
      <c r="B38" s="2915" t="s">
        <v>1945</v>
      </c>
      <c r="C38" s="2915" t="s">
        <v>3137</v>
      </c>
      <c r="D38" s="2915" t="s">
        <v>2817</v>
      </c>
      <c r="E38" s="2915" t="s">
        <v>3351</v>
      </c>
      <c r="F38" s="2915" t="s">
        <v>3129</v>
      </c>
      <c r="G38" s="2915" t="s">
        <v>3363</v>
      </c>
      <c r="H38" s="2915" t="s">
        <v>3140</v>
      </c>
      <c r="I38" s="2915">
        <v>53689</v>
      </c>
      <c r="J38" s="2915">
        <v>110976</v>
      </c>
      <c r="K38" s="2915">
        <v>2.0699999999999998</v>
      </c>
      <c r="L38" s="2915" t="s">
        <v>3353</v>
      </c>
      <c r="M38" s="2915" t="s">
        <v>3363</v>
      </c>
      <c r="N38" s="2915" t="s">
        <v>3364</v>
      </c>
      <c r="O38" s="2915">
        <v>208000</v>
      </c>
      <c r="P38" s="2915">
        <v>2582.7800000000002</v>
      </c>
      <c r="Q38" s="2915">
        <v>18742.79</v>
      </c>
      <c r="R38" s="2915">
        <v>0.97</v>
      </c>
      <c r="S38" s="2915" t="s">
        <v>3134</v>
      </c>
      <c r="T38" s="2915" t="s">
        <v>3251</v>
      </c>
    </row>
    <row r="39" spans="1:20">
      <c r="A39" s="2915" t="s">
        <v>3212</v>
      </c>
      <c r="B39" s="2915" t="s">
        <v>1945</v>
      </c>
      <c r="C39" s="2915" t="s">
        <v>3137</v>
      </c>
      <c r="D39" s="2915" t="s">
        <v>2817</v>
      </c>
      <c r="E39" s="2915" t="s">
        <v>3213</v>
      </c>
      <c r="F39" s="2915" t="s">
        <v>3129</v>
      </c>
      <c r="G39" s="2915" t="s">
        <v>3214</v>
      </c>
      <c r="H39" s="2915" t="s">
        <v>3215</v>
      </c>
      <c r="I39" s="2915">
        <v>151051.70000000001</v>
      </c>
      <c r="J39" s="2915">
        <v>274253</v>
      </c>
      <c r="K39" s="2915" t="s">
        <v>3216</v>
      </c>
      <c r="L39" s="2915" t="s">
        <v>3217</v>
      </c>
      <c r="M39" s="2915" t="s">
        <v>3214</v>
      </c>
      <c r="N39" s="2915" t="s">
        <v>3142</v>
      </c>
      <c r="O39" s="2915">
        <v>502000</v>
      </c>
      <c r="P39" s="2915">
        <v>2215.58</v>
      </c>
      <c r="Q39" s="2915">
        <v>18304.27</v>
      </c>
      <c r="R39" s="2915">
        <v>30.39</v>
      </c>
      <c r="S39" s="2915" t="s">
        <v>3134</v>
      </c>
      <c r="T39" s="2915" t="s">
        <v>3143</v>
      </c>
    </row>
    <row r="40" spans="1:20">
      <c r="A40" s="2915" t="s">
        <v>3365</v>
      </c>
      <c r="B40" s="2915" t="s">
        <v>1945</v>
      </c>
      <c r="C40" s="2915" t="s">
        <v>3127</v>
      </c>
      <c r="D40" s="2915" t="s">
        <v>2817</v>
      </c>
      <c r="E40" s="2915" t="s">
        <v>3351</v>
      </c>
      <c r="F40" s="2915" t="s">
        <v>3129</v>
      </c>
      <c r="G40" s="2915" t="s">
        <v>3366</v>
      </c>
      <c r="H40" s="2915" t="s">
        <v>3131</v>
      </c>
      <c r="I40" s="2915">
        <v>95947</v>
      </c>
      <c r="J40" s="2915">
        <v>211083</v>
      </c>
      <c r="K40" s="2915">
        <v>2.2000000000000002</v>
      </c>
      <c r="L40" s="2915" t="s">
        <v>3367</v>
      </c>
      <c r="M40" s="2915" t="s">
        <v>3366</v>
      </c>
      <c r="N40" s="2915" t="s">
        <v>3368</v>
      </c>
      <c r="O40" s="2915">
        <v>370000</v>
      </c>
      <c r="P40" s="2915">
        <v>2570.86</v>
      </c>
      <c r="Q40" s="2915">
        <v>17528.650000000001</v>
      </c>
      <c r="R40" s="2915">
        <v>0</v>
      </c>
      <c r="S40" s="2915" t="s">
        <v>3134</v>
      </c>
      <c r="T40" s="2915" t="s">
        <v>3251</v>
      </c>
    </row>
    <row r="41" spans="1:20">
      <c r="A41" s="2915" t="s">
        <v>3218</v>
      </c>
      <c r="B41" s="2915" t="s">
        <v>1945</v>
      </c>
      <c r="C41" s="2915" t="s">
        <v>3127</v>
      </c>
      <c r="D41" s="2915" t="s">
        <v>2817</v>
      </c>
      <c r="E41" s="2915" t="s">
        <v>3219</v>
      </c>
      <c r="F41" s="2915" t="s">
        <v>3129</v>
      </c>
      <c r="G41" s="2915" t="s">
        <v>3220</v>
      </c>
      <c r="H41" s="2915" t="s">
        <v>3221</v>
      </c>
      <c r="I41" s="2915">
        <v>45104.74</v>
      </c>
      <c r="J41" s="2915">
        <v>112093</v>
      </c>
      <c r="K41" s="2915">
        <v>2.5</v>
      </c>
      <c r="L41" s="2915" t="s">
        <v>3199</v>
      </c>
      <c r="M41" s="2915" t="s">
        <v>3220</v>
      </c>
      <c r="N41" s="2915" t="s">
        <v>3222</v>
      </c>
      <c r="O41" s="2915">
        <v>193000</v>
      </c>
      <c r="P41" s="2915">
        <v>2852.62</v>
      </c>
      <c r="Q41" s="2915">
        <v>17217.84</v>
      </c>
      <c r="R41" s="2915">
        <v>48.46</v>
      </c>
      <c r="S41" s="2915" t="s">
        <v>3164</v>
      </c>
      <c r="T41" s="2915" t="s">
        <v>3135</v>
      </c>
    </row>
    <row r="42" spans="1:20">
      <c r="A42" s="2915" t="s">
        <v>3369</v>
      </c>
      <c r="B42" s="2915" t="s">
        <v>1945</v>
      </c>
      <c r="C42" s="2915" t="s">
        <v>3127</v>
      </c>
      <c r="D42" s="2915" t="s">
        <v>2817</v>
      </c>
      <c r="E42" s="2915" t="s">
        <v>3318</v>
      </c>
      <c r="F42" s="2915" t="s">
        <v>3370</v>
      </c>
      <c r="G42" s="2915" t="s">
        <v>3371</v>
      </c>
      <c r="H42" s="2915" t="s">
        <v>3131</v>
      </c>
      <c r="I42" s="2915">
        <v>20291.37</v>
      </c>
      <c r="J42" s="2915">
        <v>36524</v>
      </c>
      <c r="K42" s="2915">
        <v>1.8</v>
      </c>
      <c r="L42" s="2915" t="s">
        <v>3372</v>
      </c>
      <c r="M42" s="2915" t="s">
        <v>3371</v>
      </c>
      <c r="N42" s="2915" t="s">
        <v>3373</v>
      </c>
      <c r="O42" s="2915">
        <v>62800</v>
      </c>
      <c r="P42" s="2915">
        <v>2063.27</v>
      </c>
      <c r="Q42" s="2915">
        <v>17194.16</v>
      </c>
      <c r="R42" s="2915" t="s">
        <v>2817</v>
      </c>
      <c r="S42" s="2915" t="s">
        <v>3134</v>
      </c>
      <c r="T42" s="2915" t="s">
        <v>3179</v>
      </c>
    </row>
    <row r="43" spans="1:20">
      <c r="A43" s="2915" t="s">
        <v>3223</v>
      </c>
      <c r="B43" s="2915" t="s">
        <v>1945</v>
      </c>
      <c r="C43" s="2915" t="s">
        <v>3127</v>
      </c>
      <c r="D43" s="2915" t="s">
        <v>2817</v>
      </c>
      <c r="E43" s="2915" t="s">
        <v>3224</v>
      </c>
      <c r="F43" s="2915" t="s">
        <v>3129</v>
      </c>
      <c r="G43" s="2915" t="s">
        <v>3225</v>
      </c>
      <c r="H43" s="2915" t="s">
        <v>3131</v>
      </c>
      <c r="I43" s="2915">
        <v>32878.9</v>
      </c>
      <c r="J43" s="2915">
        <v>92061</v>
      </c>
      <c r="K43" s="2915">
        <v>2.8</v>
      </c>
      <c r="L43" s="2915" t="s">
        <v>3226</v>
      </c>
      <c r="M43" s="2915" t="s">
        <v>3225</v>
      </c>
      <c r="N43" s="2915" t="s">
        <v>3227</v>
      </c>
      <c r="O43" s="2915">
        <v>158000</v>
      </c>
      <c r="P43" s="2915">
        <v>3203.68</v>
      </c>
      <c r="Q43" s="2915">
        <v>17162.52</v>
      </c>
      <c r="R43" s="2915">
        <v>39.82</v>
      </c>
      <c r="S43" s="2915" t="s">
        <v>3134</v>
      </c>
      <c r="T43" s="2915" t="s">
        <v>3179</v>
      </c>
    </row>
    <row r="44" spans="1:20">
      <c r="A44" s="2915" t="s">
        <v>3374</v>
      </c>
      <c r="B44" s="2915" t="s">
        <v>1945</v>
      </c>
      <c r="C44" s="2915" t="s">
        <v>3127</v>
      </c>
      <c r="D44" s="2915" t="s">
        <v>2817</v>
      </c>
      <c r="E44" s="2915" t="s">
        <v>3355</v>
      </c>
      <c r="F44" s="2915" t="s">
        <v>3129</v>
      </c>
      <c r="G44" s="2915" t="s">
        <v>3375</v>
      </c>
      <c r="H44" s="2915" t="s">
        <v>3131</v>
      </c>
      <c r="I44" s="2915">
        <v>54637.78</v>
      </c>
      <c r="J44" s="2915">
        <v>57370</v>
      </c>
      <c r="K44" s="2915">
        <v>1.05</v>
      </c>
      <c r="L44" s="2915" t="s">
        <v>3156</v>
      </c>
      <c r="M44" s="2915" t="s">
        <v>3375</v>
      </c>
      <c r="N44" s="2915" t="s">
        <v>3376</v>
      </c>
      <c r="O44" s="2915">
        <v>94000</v>
      </c>
      <c r="P44" s="2915">
        <v>1146.95</v>
      </c>
      <c r="Q44" s="2915">
        <v>16384.86</v>
      </c>
      <c r="R44" s="2915">
        <v>27.11</v>
      </c>
      <c r="S44" s="2915" t="s">
        <v>3134</v>
      </c>
      <c r="T44" s="2915" t="s">
        <v>3143</v>
      </c>
    </row>
    <row r="45" spans="1:20">
      <c r="A45" s="2915" t="s">
        <v>3377</v>
      </c>
      <c r="B45" s="2915" t="s">
        <v>1945</v>
      </c>
      <c r="C45" s="2915" t="s">
        <v>3137</v>
      </c>
      <c r="D45" s="2915" t="s">
        <v>2817</v>
      </c>
      <c r="E45" s="2915" t="s">
        <v>3318</v>
      </c>
      <c r="F45" s="2915" t="s">
        <v>3129</v>
      </c>
      <c r="G45" s="2915" t="s">
        <v>3378</v>
      </c>
      <c r="H45" s="2915" t="s">
        <v>3379</v>
      </c>
      <c r="I45" s="2915">
        <v>90424</v>
      </c>
      <c r="J45" s="2915">
        <v>220105</v>
      </c>
      <c r="K45" s="2915">
        <v>2.4300000000000002</v>
      </c>
      <c r="L45" s="2915" t="s">
        <v>3148</v>
      </c>
      <c r="M45" s="2915" t="s">
        <v>3378</v>
      </c>
      <c r="N45" s="2915" t="s">
        <v>3380</v>
      </c>
      <c r="O45" s="2915">
        <v>360000</v>
      </c>
      <c r="P45" s="2915">
        <v>2654.16</v>
      </c>
      <c r="Q45" s="2915">
        <v>16355.82</v>
      </c>
      <c r="R45" s="2915">
        <v>0</v>
      </c>
      <c r="S45" s="2915" t="s">
        <v>3134</v>
      </c>
      <c r="T45" s="2915" t="s">
        <v>3135</v>
      </c>
    </row>
    <row r="46" spans="1:20">
      <c r="A46" s="2915" t="s">
        <v>3228</v>
      </c>
      <c r="B46" s="2915" t="s">
        <v>1945</v>
      </c>
      <c r="C46" s="2915" t="s">
        <v>3127</v>
      </c>
      <c r="D46" s="2915" t="s">
        <v>2817</v>
      </c>
      <c r="E46" s="2915" t="s">
        <v>3175</v>
      </c>
      <c r="F46" s="2915" t="s">
        <v>3129</v>
      </c>
      <c r="G46" s="2915" t="s">
        <v>3229</v>
      </c>
      <c r="H46" s="2915" t="s">
        <v>3131</v>
      </c>
      <c r="I46" s="2915">
        <v>39199.449999999997</v>
      </c>
      <c r="J46" s="2915">
        <v>97998</v>
      </c>
      <c r="K46" s="2915">
        <v>2.5</v>
      </c>
      <c r="L46" s="2915" t="s">
        <v>3230</v>
      </c>
      <c r="M46" s="2915" t="s">
        <v>3229</v>
      </c>
      <c r="N46" s="2915" t="s">
        <v>3231</v>
      </c>
      <c r="O46" s="2915">
        <v>157000</v>
      </c>
      <c r="P46" s="2915">
        <v>2670.11</v>
      </c>
      <c r="Q46" s="2915">
        <v>16020.73</v>
      </c>
      <c r="R46" s="2915">
        <v>33.619999999999997</v>
      </c>
      <c r="S46" s="2915" t="s">
        <v>3134</v>
      </c>
      <c r="T46" s="2915" t="s">
        <v>3179</v>
      </c>
    </row>
    <row r="47" spans="1:20">
      <c r="A47" s="2915" t="s">
        <v>3232</v>
      </c>
      <c r="B47" s="2915" t="s">
        <v>1945</v>
      </c>
      <c r="C47" s="2915" t="s">
        <v>3137</v>
      </c>
      <c r="D47" s="2915" t="s">
        <v>2817</v>
      </c>
      <c r="E47" s="2915" t="s">
        <v>3175</v>
      </c>
      <c r="F47" s="2915" t="s">
        <v>3129</v>
      </c>
      <c r="G47" s="2915" t="s">
        <v>3233</v>
      </c>
      <c r="H47" s="2915" t="s">
        <v>3140</v>
      </c>
      <c r="I47" s="2915">
        <v>29550.2</v>
      </c>
      <c r="J47" s="2915">
        <v>54407</v>
      </c>
      <c r="K47" s="2915">
        <v>1.84</v>
      </c>
      <c r="L47" s="2915" t="s">
        <v>3177</v>
      </c>
      <c r="M47" s="2915" t="s">
        <v>3233</v>
      </c>
      <c r="N47" s="2915" t="s">
        <v>3234</v>
      </c>
      <c r="O47" s="2915">
        <v>84000</v>
      </c>
      <c r="P47" s="2915">
        <v>1895.08</v>
      </c>
      <c r="Q47" s="2915">
        <v>15439.19</v>
      </c>
      <c r="R47" s="2915">
        <v>39.299999999999997</v>
      </c>
      <c r="S47" s="2915" t="s">
        <v>3164</v>
      </c>
      <c r="T47" s="2915" t="s">
        <v>3135</v>
      </c>
    </row>
    <row r="48" spans="1:20">
      <c r="A48" s="2915" t="s">
        <v>3235</v>
      </c>
      <c r="B48" s="2915" t="s">
        <v>1945</v>
      </c>
      <c r="C48" s="2915" t="s">
        <v>3127</v>
      </c>
      <c r="D48" s="2915" t="s">
        <v>2817</v>
      </c>
      <c r="E48" s="2915" t="s">
        <v>3175</v>
      </c>
      <c r="F48" s="2915" t="s">
        <v>3129</v>
      </c>
      <c r="G48" s="2915" t="s">
        <v>3236</v>
      </c>
      <c r="H48" s="2915" t="s">
        <v>3131</v>
      </c>
      <c r="I48" s="2915">
        <v>69229.279999999999</v>
      </c>
      <c r="J48" s="2915">
        <v>173073</v>
      </c>
      <c r="K48" s="2915">
        <v>2.5</v>
      </c>
      <c r="L48" s="2915" t="s">
        <v>3177</v>
      </c>
      <c r="M48" s="2915" t="s">
        <v>3236</v>
      </c>
      <c r="N48" s="2915" t="s">
        <v>3237</v>
      </c>
      <c r="O48" s="2915">
        <v>255000</v>
      </c>
      <c r="P48" s="2915">
        <v>2455.61</v>
      </c>
      <c r="Q48" s="2915">
        <v>14733.67</v>
      </c>
      <c r="R48" s="2915">
        <v>40.880000000000003</v>
      </c>
      <c r="S48" s="2915" t="s">
        <v>3164</v>
      </c>
      <c r="T48" s="2915" t="s">
        <v>3179</v>
      </c>
    </row>
    <row r="49" spans="1:20">
      <c r="A49" s="2915" t="s">
        <v>3238</v>
      </c>
      <c r="B49" s="2915" t="s">
        <v>1945</v>
      </c>
      <c r="C49" s="2915" t="s">
        <v>3137</v>
      </c>
      <c r="D49" s="2915" t="s">
        <v>2817</v>
      </c>
      <c r="E49" s="2915" t="s">
        <v>3138</v>
      </c>
      <c r="F49" s="2915" t="s">
        <v>3129</v>
      </c>
      <c r="G49" s="2915" t="s">
        <v>3239</v>
      </c>
      <c r="H49" s="2915" t="s">
        <v>3140</v>
      </c>
      <c r="I49" s="2915">
        <v>76571.12</v>
      </c>
      <c r="J49" s="2915">
        <v>132728</v>
      </c>
      <c r="K49" s="2915">
        <v>1.73</v>
      </c>
      <c r="L49" s="2915" t="s">
        <v>3156</v>
      </c>
      <c r="M49" s="2915" t="s">
        <v>3239</v>
      </c>
      <c r="N49" s="2915" t="s">
        <v>3240</v>
      </c>
      <c r="O49" s="2915">
        <v>194500</v>
      </c>
      <c r="P49" s="2915">
        <v>1693.41</v>
      </c>
      <c r="Q49" s="2915">
        <v>14654.03</v>
      </c>
      <c r="R49" s="2915">
        <v>17.88</v>
      </c>
      <c r="S49" s="2915" t="s">
        <v>3134</v>
      </c>
      <c r="T49" s="2915" t="s">
        <v>3143</v>
      </c>
    </row>
    <row r="50" spans="1:20">
      <c r="A50" s="2915" t="s">
        <v>3241</v>
      </c>
      <c r="B50" s="2915" t="s">
        <v>1945</v>
      </c>
      <c r="C50" s="2915" t="s">
        <v>3127</v>
      </c>
      <c r="D50" s="2915" t="s">
        <v>2817</v>
      </c>
      <c r="E50" s="2915" t="s">
        <v>3242</v>
      </c>
      <c r="F50" s="2915" t="s">
        <v>3129</v>
      </c>
      <c r="G50" s="2915" t="s">
        <v>3243</v>
      </c>
      <c r="H50" s="2915" t="s">
        <v>3131</v>
      </c>
      <c r="I50" s="2915">
        <v>65516.160000000003</v>
      </c>
      <c r="J50" s="2915">
        <v>163790</v>
      </c>
      <c r="K50" s="2915">
        <v>2.5</v>
      </c>
      <c r="L50" s="2915" t="s">
        <v>3244</v>
      </c>
      <c r="M50" s="2915" t="s">
        <v>3243</v>
      </c>
      <c r="N50" s="2915" t="s">
        <v>3245</v>
      </c>
      <c r="O50" s="2915">
        <v>240000</v>
      </c>
      <c r="P50" s="2915">
        <v>2442.15</v>
      </c>
      <c r="Q50" s="2915">
        <v>14652.9</v>
      </c>
      <c r="R50" s="2915">
        <v>26.25</v>
      </c>
      <c r="S50" s="2915" t="s">
        <v>3134</v>
      </c>
      <c r="T50" s="2915" t="s">
        <v>3135</v>
      </c>
    </row>
    <row r="51" spans="1:20">
      <c r="A51" s="2915" t="s">
        <v>3246</v>
      </c>
      <c r="B51" s="2915" t="s">
        <v>1945</v>
      </c>
      <c r="C51" s="2915" t="s">
        <v>3137</v>
      </c>
      <c r="D51" s="2915" t="s">
        <v>2817</v>
      </c>
      <c r="E51" s="2915" t="s">
        <v>3247</v>
      </c>
      <c r="F51" s="2915" t="s">
        <v>3129</v>
      </c>
      <c r="G51" s="2915" t="s">
        <v>3248</v>
      </c>
      <c r="H51" s="2915" t="s">
        <v>3215</v>
      </c>
      <c r="I51" s="2915">
        <v>81664.259999999995</v>
      </c>
      <c r="J51" s="2915">
        <v>97997</v>
      </c>
      <c r="K51" s="2915">
        <v>1.2</v>
      </c>
      <c r="L51" s="2915" t="s">
        <v>3249</v>
      </c>
      <c r="M51" s="2915" t="s">
        <v>3248</v>
      </c>
      <c r="N51" s="2915" t="s">
        <v>3250</v>
      </c>
      <c r="O51" s="2915">
        <v>125000</v>
      </c>
      <c r="P51" s="2915">
        <v>1020.44</v>
      </c>
      <c r="Q51" s="2915">
        <v>12755.48</v>
      </c>
      <c r="R51" s="2915">
        <v>38.89</v>
      </c>
      <c r="S51" s="2915" t="s">
        <v>3134</v>
      </c>
      <c r="T51" s="2915" t="s">
        <v>3251</v>
      </c>
    </row>
  </sheetData>
  <phoneticPr fontId="229"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5"/>
      <c r="C1" s="2103"/>
      <c r="D1" s="2103"/>
      <c r="E1" s="2103"/>
      <c r="F1" s="2103"/>
      <c r="G1" s="2103"/>
      <c r="H1" s="2103"/>
      <c r="I1" s="2103"/>
      <c r="J1" s="2103"/>
      <c r="K1" s="422">
        <f>MATCH(B1,'数据-取费表'!A6:A16,0)+5</f>
        <v>7</v>
      </c>
    </row>
    <row r="2" spans="1:31" s="2040" customFormat="1" ht="18" customHeight="1">
      <c r="A2" s="2100" t="s">
        <v>467</v>
      </c>
      <c r="B2" s="2104">
        <f ca="1">C36</f>
        <v>168499</v>
      </c>
      <c r="C2" s="2103"/>
      <c r="D2" s="2103"/>
      <c r="E2" s="2103"/>
      <c r="F2" s="2103"/>
      <c r="G2" s="2103"/>
      <c r="H2" s="2103"/>
      <c r="I2" s="2103"/>
      <c r="J2" s="2103"/>
      <c r="K2" s="2103"/>
    </row>
    <row r="3" spans="1:31" s="2040" customFormat="1" ht="18" customHeight="1">
      <c r="A3" s="2105" t="s">
        <v>1684</v>
      </c>
      <c r="B3" s="2106">
        <f ca="1">ROUND(B2*10000/IF(B1="",'数据-汇总表'!E3,INDIRECT("'数据-取费表'!K"&amp;$K$1)),0)</f>
        <v>39077</v>
      </c>
      <c r="C3" s="2103"/>
      <c r="D3" s="2103"/>
      <c r="E3" s="2103"/>
      <c r="F3" s="2103"/>
      <c r="G3" s="2103"/>
      <c r="H3" s="2103"/>
      <c r="I3" s="2103"/>
      <c r="J3" s="2103"/>
      <c r="K3" s="2103"/>
    </row>
    <row r="4" spans="1:31" s="2040" customFormat="1" ht="18" customHeight="1">
      <c r="A4" s="426" t="s">
        <v>468</v>
      </c>
      <c r="B4" s="427">
        <f ca="1">ROUND(B2*10000/IF(B1="",'数据-汇总表'!D3,INDIRECT("'数据-取费表'!R"&amp;$K$1)),0)</f>
        <v>109415</v>
      </c>
      <c r="C4" s="428"/>
      <c r="D4" s="422"/>
      <c r="E4" s="422"/>
      <c r="F4" s="422"/>
      <c r="G4" s="422"/>
      <c r="H4" s="422"/>
      <c r="I4" s="422"/>
      <c r="J4" s="422"/>
      <c r="K4" s="422"/>
    </row>
    <row r="5" spans="1:31" s="2040" customFormat="1" ht="18" customHeight="1" thickBot="1">
      <c r="A5" s="429"/>
      <c r="B5" s="430">
        <f ca="1">ROUND(B2/(IF(B1="",'数据-汇总表'!D3,INDIRECT("'数据-取费表'!R"&amp;$K$1))/666.67),0)</f>
        <v>7294</v>
      </c>
      <c r="C5" s="431" t="s">
        <v>469</v>
      </c>
      <c r="D5" s="422"/>
      <c r="E5" s="422"/>
      <c r="F5" s="422"/>
      <c r="G5" s="422"/>
      <c r="H5" s="422"/>
      <c r="I5" s="422"/>
      <c r="J5" s="422"/>
      <c r="K5" s="422"/>
    </row>
    <row r="6" spans="1:31" s="2110" customFormat="1" ht="16.5" customHeight="1">
      <c r="A6" s="2804" t="s">
        <v>1842</v>
      </c>
      <c r="B6" s="2805"/>
      <c r="C6" s="2806">
        <f>SUM(C10:K10)</f>
        <v>290900</v>
      </c>
      <c r="D6" s="2805"/>
      <c r="E6" s="2805"/>
      <c r="F6" s="2805"/>
      <c r="G6" s="2805"/>
      <c r="H6" s="2805"/>
      <c r="I6" s="2805"/>
      <c r="J6" s="2805"/>
      <c r="K6" s="2807"/>
    </row>
    <row r="7" spans="1:31" s="2112" customFormat="1" ht="15">
      <c r="A7" s="2808" t="s">
        <v>470</v>
      </c>
      <c r="B7" s="2809" t="s">
        <v>471</v>
      </c>
      <c r="C7" s="436" t="s">
        <v>3053</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472</v>
      </c>
      <c r="C8" s="2810">
        <f>'不动产比较法-住宅'!B3</f>
        <v>67463</v>
      </c>
      <c r="D8" s="2810"/>
      <c r="E8" s="2810"/>
      <c r="F8" s="2810"/>
      <c r="G8" s="2810"/>
      <c r="H8" s="2810"/>
      <c r="I8" s="2810"/>
      <c r="J8" s="2810"/>
      <c r="K8" s="2811"/>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473</v>
      </c>
      <c r="C9" s="441">
        <f>SUMIF('数据-汇总表'!$C19:$C33,'剩余法-待开发'!C7,'数据-汇总表'!$E19:$E33)</f>
        <v>43120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2" t="s">
        <v>1847</v>
      </c>
      <c r="B10" s="2798" t="s">
        <v>474</v>
      </c>
      <c r="C10" s="3002">
        <f>'不动产比较法-住宅'!B2</f>
        <v>290900</v>
      </c>
      <c r="D10" s="3002"/>
      <c r="E10" s="3002"/>
      <c r="F10" s="2813"/>
      <c r="G10" s="2813"/>
      <c r="H10" s="2813"/>
      <c r="I10" s="2813"/>
      <c r="J10" s="2813"/>
      <c r="K10" s="2814"/>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5" t="s">
        <v>1843</v>
      </c>
      <c r="B11" s="2805"/>
      <c r="C11" s="2805"/>
      <c r="D11" s="2805"/>
      <c r="E11" s="2805"/>
      <c r="F11" s="2805"/>
      <c r="G11" s="2805"/>
      <c r="H11" s="2805"/>
      <c r="I11" s="2805"/>
      <c r="J11" s="2805"/>
      <c r="K11" s="2807"/>
    </row>
    <row r="12" spans="1:31" s="2084" customFormat="1" ht="13.5" customHeight="1">
      <c r="A12" s="2816" t="s">
        <v>470</v>
      </c>
      <c r="B12" s="2788" t="s">
        <v>471</v>
      </c>
      <c r="C12" s="2817" t="s">
        <v>475</v>
      </c>
      <c r="D12" s="2784" t="s">
        <v>476</v>
      </c>
      <c r="E12" s="2784" t="s">
        <v>477</v>
      </c>
      <c r="F12" s="2784" t="s">
        <v>478</v>
      </c>
      <c r="G12" s="2788"/>
      <c r="H12" s="2789"/>
      <c r="I12" s="2789"/>
      <c r="J12" s="2789"/>
      <c r="K12" s="2790"/>
    </row>
    <row r="13" spans="1:31" s="2115" customFormat="1" ht="13.5" customHeight="1">
      <c r="A13" s="2818" t="s">
        <v>1848</v>
      </c>
      <c r="B13" s="2819" t="s">
        <v>479</v>
      </c>
      <c r="C13" s="450">
        <f ca="1">IF(B1="",'数据-取费表'!P16,INDIRECT("'数据-取费表'!p"&amp;$K$1)+INDIRECT("'数据-取费表'!t"&amp;$K$1))</f>
        <v>19404</v>
      </c>
      <c r="D13" s="2820"/>
      <c r="E13" s="2821"/>
      <c r="F13" s="2822"/>
      <c r="G13" s="2788"/>
      <c r="H13" s="2789"/>
      <c r="I13" s="2789"/>
      <c r="J13" s="2789"/>
      <c r="K13" s="2790"/>
    </row>
    <row r="14" spans="1:31" s="2115" customFormat="1" ht="13.5" customHeight="1">
      <c r="A14" s="2818" t="s">
        <v>1849</v>
      </c>
      <c r="B14" s="2819" t="s">
        <v>480</v>
      </c>
      <c r="C14" s="53">
        <f ca="1">ROUND(C13*F14,0)</f>
        <v>970</v>
      </c>
      <c r="D14" s="2820"/>
      <c r="E14" s="2821"/>
      <c r="F14" s="2823">
        <f>'数据-取费表'!B33</f>
        <v>0.05</v>
      </c>
      <c r="G14" s="2788" t="s">
        <v>481</v>
      </c>
      <c r="H14" s="2789"/>
      <c r="I14" s="2789"/>
      <c r="J14" s="2789"/>
      <c r="K14" s="2790"/>
    </row>
    <row r="15" spans="1:31" s="2115" customFormat="1" ht="13.5" customHeight="1">
      <c r="A15" s="2818" t="s">
        <v>1850</v>
      </c>
      <c r="B15" s="2819" t="s">
        <v>482</v>
      </c>
      <c r="C15" s="53">
        <f ca="1">ROUND(IF(B1="",SUMIF('数据-取费表'!C:C,"住宅",'数据-取费表'!P:P)*F15,IF(INDIRECT("'数据-取费表'!c"&amp;$K$1)="住宅",INDIRECT("'数据-取费表'!P"&amp;$K$1)*F15,0)),0)</f>
        <v>1940</v>
      </c>
      <c r="D15" s="2820"/>
      <c r="E15" s="2821"/>
      <c r="F15" s="2823">
        <f>'数据-取费表'!B34</f>
        <v>0.1</v>
      </c>
      <c r="G15" s="2788" t="s">
        <v>483</v>
      </c>
      <c r="H15" s="2789"/>
      <c r="I15" s="2789"/>
      <c r="J15" s="2789"/>
      <c r="K15" s="2790"/>
    </row>
    <row r="16" spans="1:31" s="2116" customFormat="1" ht="13.5" customHeight="1">
      <c r="A16" s="2818" t="s">
        <v>1851</v>
      </c>
      <c r="B16" s="2819" t="s">
        <v>484</v>
      </c>
      <c r="C16" s="53">
        <f ca="1">ROUND(D16*E16/10000,0)</f>
        <v>862</v>
      </c>
      <c r="D16" s="2820">
        <f ca="1">IF(B1="",'数据-汇总表'!E3,INDIRECT("'数据-取费表'!K"&amp;$K$1)+INDIRECT("'数据-取费表'!S"&amp;$K$1))</f>
        <v>43120</v>
      </c>
      <c r="E16" s="53">
        <f>'数据-取费表'!B35</f>
        <v>200</v>
      </c>
      <c r="F16" s="2823"/>
      <c r="G16" s="2788"/>
      <c r="H16" s="2789"/>
      <c r="I16" s="2789"/>
      <c r="J16" s="2789"/>
      <c r="K16" s="2790"/>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8" t="s">
        <v>1852</v>
      </c>
      <c r="B17" s="2819" t="s">
        <v>485</v>
      </c>
      <c r="C17" s="2824">
        <f ca="1">ROUND(C13*F17,0)</f>
        <v>291</v>
      </c>
      <c r="D17" s="475"/>
      <c r="E17" s="2824"/>
      <c r="F17" s="2825">
        <f>'数据-取费表'!B36</f>
        <v>1.4999999999999999E-2</v>
      </c>
      <c r="G17" s="261" t="s">
        <v>486</v>
      </c>
      <c r="H17" s="2791"/>
      <c r="I17" s="2791"/>
      <c r="J17" s="2791"/>
      <c r="K17" s="279"/>
    </row>
    <row r="18" spans="1:14" s="2115" customFormat="1" ht="13.5" customHeight="1">
      <c r="A18" s="2826" t="s">
        <v>1853</v>
      </c>
      <c r="B18" s="2827" t="s">
        <v>487</v>
      </c>
      <c r="C18" s="2828">
        <f ca="1">SUM(C13:C17)</f>
        <v>23467</v>
      </c>
      <c r="D18" s="2829"/>
      <c r="E18" s="468"/>
      <c r="F18" s="468"/>
      <c r="G18" s="2792" t="s">
        <v>2430</v>
      </c>
      <c r="H18" s="2793"/>
      <c r="I18" s="2793"/>
      <c r="J18" s="2793"/>
      <c r="K18" s="2794"/>
    </row>
    <row r="19" spans="1:14" s="2115" customFormat="1" ht="13.5" customHeight="1">
      <c r="A19" s="2826" t="s">
        <v>1854</v>
      </c>
      <c r="B19" s="2827" t="s">
        <v>488</v>
      </c>
      <c r="C19" s="2784">
        <f ca="1">ROUND(D19*E19/10000,0)</f>
        <v>0</v>
      </c>
      <c r="D19" s="2830">
        <f ca="1">D16</f>
        <v>43120</v>
      </c>
      <c r="E19" s="2784">
        <f>'数据-取费表'!B32</f>
        <v>0</v>
      </c>
      <c r="F19" s="468"/>
      <c r="G19" s="2788" t="s">
        <v>489</v>
      </c>
      <c r="H19" s="2789"/>
      <c r="I19" s="2793"/>
      <c r="J19" s="2793"/>
      <c r="K19" s="2794"/>
    </row>
    <row r="20" spans="1:14" s="2115" customFormat="1" ht="13.5" customHeight="1">
      <c r="A20" s="2826" t="s">
        <v>1855</v>
      </c>
      <c r="B20" s="2827" t="s">
        <v>490</v>
      </c>
      <c r="C20" s="2784">
        <f ca="1">C21+C22-IF(B1="",'数据-取费表'!B29,IF(G20="已全部缴纳",C21+C22,H20))</f>
        <v>733</v>
      </c>
      <c r="D20" s="2830"/>
      <c r="E20" s="2784"/>
      <c r="F20" s="2831"/>
      <c r="G20" s="3062"/>
      <c r="H20" s="2786"/>
      <c r="I20" s="2787" t="s">
        <v>2650</v>
      </c>
      <c r="J20" s="2793"/>
      <c r="K20" s="2794"/>
    </row>
    <row r="21" spans="1:14" s="2115" customFormat="1" ht="13.5" customHeight="1">
      <c r="A21" s="2818" t="s">
        <v>1856</v>
      </c>
      <c r="B21" s="2819" t="s">
        <v>491</v>
      </c>
      <c r="C21" s="53">
        <f ca="1">ROUND(D21*E21/10000,0)</f>
        <v>733</v>
      </c>
      <c r="D21" s="2820">
        <f ca="1">IF(B1="",'数据-汇总表'!E5,IF(INDIRECT("'数据-取费表'!c"&amp;$K$1)="住宅",INDIRECT("'数据-取费表'!k"&amp;$K$1),0))</f>
        <v>43120</v>
      </c>
      <c r="E21" s="53">
        <f>'数据-取费表'!B27</f>
        <v>170</v>
      </c>
      <c r="F21" s="2823"/>
      <c r="G21" s="26"/>
      <c r="H21" s="51"/>
      <c r="I21" s="51"/>
      <c r="J21" s="51"/>
      <c r="K21" s="2795"/>
    </row>
    <row r="22" spans="1:14" s="2115" customFormat="1" ht="13.5" customHeight="1">
      <c r="A22" s="2818" t="s">
        <v>1857</v>
      </c>
      <c r="B22" s="2819" t="s">
        <v>492</v>
      </c>
      <c r="C22" s="53">
        <f ca="1">ROUND(D22*E22/10000,0)</f>
        <v>0</v>
      </c>
      <c r="D22" s="2820">
        <f ca="1">IF(B1="",'数据-汇总表'!E6,IF(INDIRECT("'数据-取费表'!c"&amp;$K$1)="住宅",INDIRECT("'数据-取费表'!s"&amp;$K$1),INDIRECT("'数据-取费表'!k"&amp;$K$1)+INDIRECT("'数据-取费表'!s"&amp;$K$1)))</f>
        <v>0</v>
      </c>
      <c r="E22" s="53">
        <f>'数据-取费表'!B28</f>
        <v>200</v>
      </c>
      <c r="F22" s="2823"/>
      <c r="G22" s="26"/>
      <c r="H22" s="51"/>
      <c r="I22" s="51"/>
      <c r="J22" s="51"/>
      <c r="K22" s="2795"/>
    </row>
    <row r="23" spans="1:14" s="2115" customFormat="1" ht="13.5" customHeight="1">
      <c r="A23" s="2826" t="s">
        <v>1858</v>
      </c>
      <c r="B23" s="3008" t="s">
        <v>2833</v>
      </c>
      <c r="C23" s="2828">
        <f ca="1">ROUND((C18+C19+C20)*F23,0)</f>
        <v>726</v>
      </c>
      <c r="D23" s="468"/>
      <c r="E23" s="468"/>
      <c r="F23" s="2832">
        <f>'数据-取费表'!B37</f>
        <v>0.03</v>
      </c>
      <c r="G23" s="2788" t="s">
        <v>2431</v>
      </c>
      <c r="H23" s="2789"/>
      <c r="I23" s="2789"/>
      <c r="J23" s="2789"/>
      <c r="K23" s="2790"/>
      <c r="L23" s="2117"/>
      <c r="M23" s="2117"/>
      <c r="N23" s="2117"/>
    </row>
    <row r="24" spans="1:14" s="2115" customFormat="1" ht="13.5" customHeight="1">
      <c r="A24" s="2826" t="s">
        <v>1859</v>
      </c>
      <c r="B24" s="3008" t="s">
        <v>2836</v>
      </c>
      <c r="C24" s="2828">
        <f>ROUND(C6*F24,0)</f>
        <v>7273</v>
      </c>
      <c r="D24" s="475"/>
      <c r="E24" s="473"/>
      <c r="F24" s="2832">
        <f>'数据-取费表'!B38</f>
        <v>2.5000000000000001E-2</v>
      </c>
      <c r="G24" s="2797" t="s">
        <v>499</v>
      </c>
      <c r="H24" s="2791"/>
      <c r="I24" s="2791"/>
      <c r="J24" s="2791"/>
      <c r="K24" s="279"/>
      <c r="L24" s="2117"/>
      <c r="M24" s="2117"/>
      <c r="N24" s="2117"/>
    </row>
    <row r="25" spans="1:14" s="2118" customFormat="1" ht="13.5" customHeight="1">
      <c r="A25" s="2826" t="s">
        <v>1860</v>
      </c>
      <c r="B25" s="3008" t="s">
        <v>2834</v>
      </c>
      <c r="C25" s="467">
        <f>ROUND(F25/(1+'数据-取费表'!C42),4)</f>
        <v>2.9000000000000001E-2</v>
      </c>
      <c r="D25" s="462" t="s">
        <v>2828</v>
      </c>
      <c r="E25" s="469"/>
      <c r="F25" s="2832">
        <f>'数据-取费表'!B48+'数据-取费表'!B49</f>
        <v>3.0499999999999999E-2</v>
      </c>
      <c r="G25" s="2796" t="s">
        <v>2289</v>
      </c>
      <c r="H25" s="2789"/>
      <c r="I25" s="2789"/>
      <c r="J25" s="2789"/>
      <c r="K25" s="2790"/>
    </row>
    <row r="26" spans="1:14" s="2117" customFormat="1" ht="13.5" customHeight="1">
      <c r="A26" s="2826" t="s">
        <v>1861</v>
      </c>
      <c r="B26" s="3009" t="s">
        <v>2835</v>
      </c>
      <c r="C26" s="2833">
        <f ca="1">C28</f>
        <v>1529</v>
      </c>
      <c r="D26" s="467">
        <f ca="1">C27</f>
        <v>0.10009999999999999</v>
      </c>
      <c r="E26" s="469" t="s">
        <v>495</v>
      </c>
      <c r="F26" s="471">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9" customFormat="1" ht="13.5" customHeight="1">
      <c r="A27" s="803" t="s">
        <v>1856</v>
      </c>
      <c r="B27" s="2834" t="s">
        <v>496</v>
      </c>
      <c r="C27" s="2835">
        <f ca="1">ROUND(IF('数据-取费表'!B22&lt;=1,(1+C25)*F26*'数据-取费表'!B24,(1+C25)*(POWER((1+F26),'数据-取费表'!B24)-1)),4)</f>
        <v>0.10009999999999999</v>
      </c>
      <c r="D27" s="472"/>
      <c r="E27" s="473"/>
      <c r="F27" s="474"/>
      <c r="G27" s="2549" t="str">
        <f>IF('数据-取费表'!B22&lt;=1,"（1+取得税费率/(1+5%)）×年利率×建设期","（1+取得税费率）/(1+5%)×((1+年利率)^建设期-1)")</f>
        <v>（1+取得税费率）/(1+5%)×((1+年利率)^建设期-1)</v>
      </c>
      <c r="H27" s="2791"/>
      <c r="I27" s="2791"/>
      <c r="J27" s="2791"/>
      <c r="K27" s="279"/>
    </row>
    <row r="28" spans="1:14" s="2119" customFormat="1" ht="13.5" customHeight="1">
      <c r="A28" s="803" t="s">
        <v>1857</v>
      </c>
      <c r="B28" s="2834" t="s">
        <v>2837</v>
      </c>
      <c r="C28" s="2836">
        <f ca="1">ROUND(IF('数据-取费表'!B22&lt;=1,(C18+C19+C20+C23+C24)*F26*'数据-取费表'!B24/2,(C18+C19+C20+C23+C24)*(POWER((1+F26),'数据-取费表'!B24/2)-1)),0)</f>
        <v>1529</v>
      </c>
      <c r="D28" s="472"/>
      <c r="E28" s="473"/>
      <c r="F28" s="474"/>
      <c r="G28" s="2549" t="str">
        <f>IF('数据-取费表'!B22&lt;=1,"（1）-（4）项×年利率×建设期÷2","（1）-（4）项×((1+年利率)^(建设期÷2)-1)")</f>
        <v>（1）-（4）项×((1+年利率)^(建设期÷2)-1)</v>
      </c>
      <c r="H28" s="2791"/>
      <c r="I28" s="2791"/>
      <c r="J28" s="2791"/>
      <c r="K28" s="279"/>
    </row>
    <row r="29" spans="1:14" s="2119" customFormat="1" ht="13.5" customHeight="1">
      <c r="A29" s="2837" t="s">
        <v>1862</v>
      </c>
      <c r="B29" s="2827" t="s">
        <v>497</v>
      </c>
      <c r="C29" s="2828">
        <f>ROUND(C6*F29/(1+'数据-取费表'!C42),0)</f>
        <v>15515</v>
      </c>
      <c r="D29" s="468"/>
      <c r="E29" s="468"/>
      <c r="F29" s="3010">
        <f>'数据-取费表'!B41</f>
        <v>5.6000000000000001E-2</v>
      </c>
      <c r="G29" s="2797" t="s">
        <v>498</v>
      </c>
      <c r="H29" s="2789"/>
      <c r="I29" s="2789"/>
      <c r="J29" s="2789"/>
      <c r="K29" s="2790"/>
    </row>
    <row r="30" spans="1:14" s="2120" customFormat="1" ht="13.5" customHeight="1">
      <c r="A30" s="1634" t="s">
        <v>1863</v>
      </c>
      <c r="B30" s="2838" t="s">
        <v>500</v>
      </c>
      <c r="C30" s="2833">
        <f ca="1">C31</f>
        <v>49243</v>
      </c>
      <c r="D30" s="477">
        <f ca="1">C32</f>
        <v>0.12909999999999999</v>
      </c>
      <c r="E30" s="469" t="s">
        <v>495</v>
      </c>
      <c r="F30" s="471"/>
      <c r="G30" s="2796" t="s">
        <v>2973</v>
      </c>
      <c r="H30" s="2789"/>
      <c r="I30" s="2789"/>
      <c r="J30" s="2789"/>
      <c r="K30" s="2790"/>
    </row>
    <row r="31" spans="1:14" s="2119" customFormat="1" ht="13.5" customHeight="1">
      <c r="A31" s="803" t="s">
        <v>1856</v>
      </c>
      <c r="B31" s="2834"/>
      <c r="C31" s="450">
        <f ca="1">C18+C19+C20+C23+C24+C26+C29</f>
        <v>49243</v>
      </c>
      <c r="D31" s="472"/>
      <c r="E31" s="473"/>
      <c r="F31" s="474"/>
      <c r="G31" s="261"/>
      <c r="H31" s="2791"/>
      <c r="I31" s="2791"/>
      <c r="J31" s="2791"/>
      <c r="K31" s="279"/>
    </row>
    <row r="32" spans="1:14" s="2119" customFormat="1" ht="13.5" customHeight="1">
      <c r="A32" s="803" t="s">
        <v>1857</v>
      </c>
      <c r="B32" s="2834"/>
      <c r="C32" s="53">
        <f ca="1">ROUND(C25+D26,4)</f>
        <v>0.12909999999999999</v>
      </c>
      <c r="D32" s="472"/>
      <c r="E32" s="473"/>
      <c r="F32" s="474"/>
      <c r="G32" s="261"/>
      <c r="H32" s="2791"/>
      <c r="I32" s="2791"/>
      <c r="J32" s="2791"/>
      <c r="K32" s="279"/>
    </row>
    <row r="33" spans="1:11" s="2121" customFormat="1" ht="13.5" customHeight="1">
      <c r="A33" s="3007" t="s">
        <v>2832</v>
      </c>
      <c r="B33" s="3005" t="s">
        <v>2830</v>
      </c>
      <c r="C33" s="478">
        <f ca="1">C35</f>
        <v>8050</v>
      </c>
      <c r="D33" s="467">
        <f ca="1">C34</f>
        <v>0.25729999999999997</v>
      </c>
      <c r="E33" s="469" t="s">
        <v>495</v>
      </c>
      <c r="F33" s="479">
        <f ca="1">IF(B1="",'数据-取费表'!Q16,INDIRECT("'数据-取费表'!q"&amp;$K$1))</f>
        <v>0.25</v>
      </c>
      <c r="G33" s="2792"/>
      <c r="H33" s="2793"/>
      <c r="I33" s="2793"/>
      <c r="J33" s="2793"/>
      <c r="K33" s="2794"/>
    </row>
    <row r="34" spans="1:11" s="2122" customFormat="1" ht="13.5" customHeight="1">
      <c r="A34" s="375" t="s">
        <v>1856</v>
      </c>
      <c r="B34" s="2839" t="s">
        <v>501</v>
      </c>
      <c r="C34" s="472">
        <f ca="1">ROUND((1+C25)*F33,4)</f>
        <v>0.25729999999999997</v>
      </c>
      <c r="D34" s="472"/>
      <c r="E34" s="473"/>
      <c r="F34" s="480"/>
      <c r="G34" s="261" t="s">
        <v>2290</v>
      </c>
      <c r="H34" s="2791"/>
      <c r="I34" s="2791"/>
      <c r="J34" s="2791"/>
      <c r="K34" s="279"/>
    </row>
    <row r="35" spans="1:11" s="2122" customFormat="1" ht="13.5" customHeight="1" thickBot="1">
      <c r="A35" s="1635" t="s">
        <v>1857</v>
      </c>
      <c r="B35" s="3006" t="s">
        <v>2838</v>
      </c>
      <c r="C35" s="1627">
        <f ca="1">ROUND((C18+C19+C20+C23+C24)*F33,0)</f>
        <v>8050</v>
      </c>
      <c r="D35" s="1628"/>
      <c r="E35" s="2840"/>
      <c r="F35" s="1629"/>
      <c r="G35" s="2798"/>
      <c r="H35" s="2799"/>
      <c r="I35" s="2799"/>
      <c r="J35" s="2799"/>
      <c r="K35" s="2800"/>
    </row>
    <row r="36" spans="1:11" s="2084" customFormat="1" ht="13.5" customHeight="1" thickBot="1">
      <c r="A36" s="284" t="s">
        <v>1844</v>
      </c>
      <c r="B36" s="2802"/>
      <c r="C36" s="2841">
        <f ca="1">ROUND((C6-C30-C33)/(1+D30+D33),0)</f>
        <v>168499</v>
      </c>
      <c r="D36" s="2802"/>
      <c r="E36" s="2802"/>
      <c r="F36" s="2802"/>
      <c r="G36" s="2801" t="s">
        <v>2839</v>
      </c>
      <c r="H36" s="2802"/>
      <c r="I36" s="2802"/>
      <c r="J36" s="2802"/>
      <c r="K36" s="2803"/>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5"/>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1848</v>
      </c>
      <c r="B13" s="449" t="s">
        <v>479</v>
      </c>
      <c r="C13" s="450">
        <f ca="1">IF(B1="",'数据-取费表'!M16,INDIRECT("'数据-取费表'!M"&amp;$K$1)+INDIRECT("'数据-取费表'!t"&amp;$K$1))</f>
        <v>19404</v>
      </c>
      <c r="D13" s="451"/>
      <c r="E13" s="365"/>
      <c r="F13" s="452"/>
      <c r="G13" s="444"/>
      <c r="H13" s="447"/>
      <c r="I13" s="447"/>
      <c r="J13" s="447"/>
      <c r="K13" s="448"/>
    </row>
    <row r="14" spans="1:41" s="2115" customFormat="1" ht="13.5" customHeight="1">
      <c r="A14" s="1632" t="s">
        <v>1849</v>
      </c>
      <c r="B14" s="449" t="s">
        <v>480</v>
      </c>
      <c r="C14" s="53">
        <f ca="1">ROUND(C13*F14,0)</f>
        <v>970</v>
      </c>
      <c r="D14" s="451"/>
      <c r="E14" s="365"/>
      <c r="F14" s="453">
        <f>'数据-取费表'!B33</f>
        <v>0.05</v>
      </c>
      <c r="G14" s="444" t="s">
        <v>502</v>
      </c>
      <c r="H14" s="447"/>
      <c r="I14" s="447"/>
      <c r="J14" s="447"/>
      <c r="K14" s="448"/>
    </row>
    <row r="15" spans="1:41" s="2115" customFormat="1" ht="13.5" customHeight="1">
      <c r="A15" s="1632" t="s">
        <v>1850</v>
      </c>
      <c r="B15" s="449" t="s">
        <v>482</v>
      </c>
      <c r="C15" s="53">
        <f ca="1">ROUND(IF(B1="",SUMIF('数据-取费表'!C:C,"住宅",'数据-取费表'!M:M)*F15,IF(INDIRECT("'数据-取费表'!c"&amp;$K$1)="住宅",INDIRECT("'数据-取费表'!M"&amp;$K$1)*F15,0)),0)</f>
        <v>1940</v>
      </c>
      <c r="D15" s="451"/>
      <c r="E15" s="365"/>
      <c r="F15" s="453">
        <f>'数据-取费表'!B34</f>
        <v>0.1</v>
      </c>
      <c r="G15" s="444" t="s">
        <v>502</v>
      </c>
      <c r="H15" s="447"/>
      <c r="I15" s="447"/>
      <c r="J15" s="447"/>
      <c r="K15" s="448"/>
    </row>
    <row r="16" spans="1:41" s="2116" customFormat="1" ht="13.5" customHeight="1">
      <c r="A16" s="1632" t="s">
        <v>1851</v>
      </c>
      <c r="B16" s="449" t="s">
        <v>484</v>
      </c>
      <c r="C16" s="53">
        <f ca="1">ROUND(D16*E16/10000,0)</f>
        <v>862</v>
      </c>
      <c r="D16" s="451">
        <f ca="1">IF(B1="",'数据-汇总表'!E3,INDIRECT("'数据-取费表'!K"&amp;$K$1)+INDIRECT("'数据-取费表'!S"&amp;$K$1))</f>
        <v>43120</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485</v>
      </c>
      <c r="C17" s="454">
        <f ca="1">ROUND(C13*F17,0)</f>
        <v>291</v>
      </c>
      <c r="D17" s="455"/>
      <c r="E17" s="454"/>
      <c r="F17" s="456">
        <f>'数据-取费表'!B36</f>
        <v>1.4999999999999999E-2</v>
      </c>
      <c r="G17" s="444" t="s">
        <v>502</v>
      </c>
      <c r="H17" s="457"/>
      <c r="I17" s="457"/>
      <c r="J17" s="457"/>
      <c r="K17" s="458"/>
    </row>
    <row r="18" spans="1:14" s="2118" customFormat="1" ht="13.5" customHeight="1">
      <c r="A18" s="1633" t="s">
        <v>1853</v>
      </c>
      <c r="B18" s="459" t="s">
        <v>487</v>
      </c>
      <c r="C18" s="460">
        <f ca="1">SUM(C13:C17)</f>
        <v>23467</v>
      </c>
      <c r="D18" s="461"/>
      <c r="E18" s="462"/>
      <c r="F18" s="462"/>
      <c r="G18" s="1325" t="s">
        <v>2432</v>
      </c>
      <c r="H18" s="447"/>
      <c r="I18" s="447"/>
      <c r="J18" s="447"/>
      <c r="K18" s="448"/>
    </row>
    <row r="19" spans="1:14" s="2118" customFormat="1" ht="13.5" customHeight="1">
      <c r="A19" s="1633" t="s">
        <v>1854</v>
      </c>
      <c r="B19" s="459" t="s">
        <v>493</v>
      </c>
      <c r="C19" s="460">
        <f ca="1">ROUND(C18*F19,0)</f>
        <v>704</v>
      </c>
      <c r="D19" s="462"/>
      <c r="E19" s="462"/>
      <c r="F19" s="466">
        <f>'数据-取费表'!B37</f>
        <v>0.03</v>
      </c>
      <c r="G19" s="444" t="s">
        <v>503</v>
      </c>
      <c r="H19" s="447"/>
      <c r="I19" s="447"/>
      <c r="J19" s="447"/>
      <c r="K19" s="448"/>
      <c r="L19" s="2120"/>
      <c r="M19" s="2120"/>
      <c r="N19" s="2120"/>
    </row>
    <row r="20" spans="1:14" s="2118" customFormat="1" ht="13.5" customHeight="1">
      <c r="A20" s="1633" t="s">
        <v>1855</v>
      </c>
      <c r="B20" s="459" t="s">
        <v>504</v>
      </c>
      <c r="C20" s="3003">
        <f>F20</f>
        <v>2.5000000000000001E-2</v>
      </c>
      <c r="D20" s="469" t="s">
        <v>505</v>
      </c>
      <c r="E20" s="469"/>
      <c r="F20" s="486">
        <f>'数据-取费表'!B38</f>
        <v>2.5000000000000001E-2</v>
      </c>
      <c r="G20" s="1325" t="s">
        <v>506</v>
      </c>
      <c r="H20" s="447"/>
      <c r="I20" s="447"/>
      <c r="J20" s="447"/>
      <c r="K20" s="448"/>
      <c r="L20" s="2120"/>
      <c r="M20" s="2120"/>
      <c r="N20" s="2120"/>
    </row>
    <row r="21" spans="1:14" s="2120" customFormat="1" ht="13.5" customHeight="1">
      <c r="A21" s="1633" t="s">
        <v>1858</v>
      </c>
      <c r="B21" s="461" t="s">
        <v>494</v>
      </c>
      <c r="C21" s="470">
        <f ca="1">C22</f>
        <v>1148</v>
      </c>
      <c r="D21" s="467">
        <f ca="1">C23</f>
        <v>1.1999999999999999E-3</v>
      </c>
      <c r="E21" s="469" t="s">
        <v>507</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1848</v>
      </c>
      <c r="B22" s="1326" t="s">
        <v>2435</v>
      </c>
      <c r="C22" s="487">
        <f ca="1">ROUND(IF('数据-取费表'!B22&lt;=1,(C18+C19)*F21*'数据-取费表'!B20/2,(C18+C19)*(POWER((1+F21),'数据-取费表'!B20/2)-1)),0)</f>
        <v>1148</v>
      </c>
      <c r="D22" s="472"/>
      <c r="E22" s="473"/>
      <c r="F22" s="474"/>
      <c r="G22" s="2544" t="str">
        <f>IF('数据-取费表'!B22&lt;=1,"((1)+(2))×年利率×建设期÷2","((1)+(2))×((1+年利率)^(建设期÷2)-1)")</f>
        <v>((1)+(2))×((1+年利率)^(建设期÷2)-1)</v>
      </c>
      <c r="H22" s="457"/>
      <c r="I22" s="457"/>
      <c r="J22" s="457"/>
      <c r="K22" s="458"/>
    </row>
    <row r="23" spans="1:14" s="2119" customFormat="1" ht="13.5" customHeight="1">
      <c r="A23" s="1632" t="s">
        <v>1849</v>
      </c>
      <c r="B23" s="1326" t="s">
        <v>508</v>
      </c>
      <c r="C23" s="488">
        <f ca="1">ROUND(IF('数据-取费表'!B22&lt;=1,F20*F21*'数据-取费表'!B20/2,F20*(POWER((1+F21),'数据-取费表'!B20/2)-1)),4)</f>
        <v>1.1999999999999999E-3</v>
      </c>
      <c r="D23" s="472"/>
      <c r="E23" s="473"/>
      <c r="F23" s="474"/>
      <c r="G23" s="2544"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5" t="s">
        <v>2831</v>
      </c>
      <c r="C24" s="478">
        <f ca="1">C25</f>
        <v>6043</v>
      </c>
      <c r="D24" s="489">
        <f ca="1">C26</f>
        <v>6.3E-3</v>
      </c>
      <c r="E24" s="469" t="s">
        <v>507</v>
      </c>
      <c r="F24" s="479">
        <f ca="1">IF(B1="",'数据-取费表'!Q16,INDIRECT("'数据-取费表'!q"&amp;$K$1))</f>
        <v>0.25</v>
      </c>
      <c r="G24" s="444"/>
      <c r="H24" s="447"/>
      <c r="I24" s="447"/>
      <c r="J24" s="447"/>
      <c r="K24" s="448"/>
    </row>
    <row r="25" spans="1:14" s="2119" customFormat="1" ht="13.5" customHeight="1">
      <c r="A25" s="1632" t="s">
        <v>1848</v>
      </c>
      <c r="B25" s="1326" t="s">
        <v>2436</v>
      </c>
      <c r="C25" s="490">
        <f ca="1">ROUND((C18+C19)*F24,0)</f>
        <v>6043</v>
      </c>
      <c r="D25" s="472"/>
      <c r="E25" s="473"/>
      <c r="F25" s="480"/>
      <c r="G25" s="1324" t="s">
        <v>2433</v>
      </c>
      <c r="H25" s="457"/>
      <c r="I25" s="457"/>
      <c r="J25" s="457"/>
      <c r="K25" s="458"/>
    </row>
    <row r="26" spans="1:14" s="2119" customFormat="1" ht="13.5" customHeight="1">
      <c r="A26" s="1632" t="s">
        <v>1849</v>
      </c>
      <c r="B26" s="1326" t="s">
        <v>509</v>
      </c>
      <c r="C26" s="491">
        <f ca="1">ROUND(F20*F24,4)</f>
        <v>6.3E-3</v>
      </c>
      <c r="D26" s="472"/>
      <c r="E26" s="481"/>
      <c r="F26" s="480"/>
      <c r="G26" s="1324" t="s">
        <v>510</v>
      </c>
      <c r="H26" s="457"/>
      <c r="I26" s="457"/>
      <c r="J26" s="457"/>
      <c r="K26" s="458"/>
    </row>
    <row r="27" spans="1:14" s="2119" customFormat="1" ht="13.5" customHeight="1">
      <c r="A27" s="1636" t="s">
        <v>1867</v>
      </c>
      <c r="B27" s="459" t="s">
        <v>511</v>
      </c>
      <c r="C27" s="3004">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512</v>
      </c>
      <c r="C28" s="470">
        <f ca="1">ROUND((C18+C19+C21+C24)/(1-C20-D21-D24-C27),0)</f>
        <v>34305</v>
      </c>
      <c r="D28" s="477"/>
      <c r="E28" s="469"/>
      <c r="F28" s="471"/>
      <c r="G28" s="1325" t="s">
        <v>2434</v>
      </c>
      <c r="H28" s="447"/>
      <c r="I28" s="447"/>
      <c r="J28" s="447"/>
      <c r="K28" s="448"/>
    </row>
    <row r="29" spans="1:14" s="2120" customFormat="1" ht="13.5" customHeight="1">
      <c r="A29" s="1636" t="s">
        <v>1869</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7" t="s">
        <v>515</v>
      </c>
      <c r="H30" s="496"/>
      <c r="I30" s="496"/>
      <c r="J30" s="447"/>
      <c r="K30" s="448"/>
    </row>
    <row r="31" spans="1:14" s="2125" customFormat="1" ht="13.5" customHeight="1">
      <c r="A31" s="2459" t="s">
        <v>1865</v>
      </c>
      <c r="B31" s="1328"/>
      <c r="C31" s="500">
        <f>ROUND(C6*F31/(1+'数据-取费表'!C42),0)</f>
        <v>0</v>
      </c>
      <c r="D31" s="1329"/>
      <c r="E31" s="1329"/>
      <c r="F31" s="501">
        <f>'数据-取费表'!B41</f>
        <v>5.6000000000000001E-2</v>
      </c>
      <c r="G31" s="1330"/>
      <c r="H31" s="1330"/>
      <c r="I31" s="1330"/>
      <c r="J31" s="1331"/>
      <c r="K31" s="1332"/>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0" t="s">
        <v>2974</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4"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41" t="s">
        <v>522</v>
      </c>
      <c r="D6" s="3442"/>
      <c r="E6" s="3476" t="s">
        <v>523</v>
      </c>
      <c r="F6" s="3477"/>
      <c r="G6" s="3441" t="s">
        <v>524</v>
      </c>
      <c r="H6" s="3442"/>
      <c r="I6" s="3441" t="s">
        <v>525</v>
      </c>
      <c r="J6" s="3442"/>
      <c r="K6" s="514" t="s">
        <v>526</v>
      </c>
      <c r="L6" s="2132"/>
      <c r="M6" s="2133"/>
      <c r="N6" s="2133"/>
      <c r="O6" s="2133"/>
      <c r="P6" s="3443" t="s">
        <v>527</v>
      </c>
      <c r="Q6" s="3444"/>
      <c r="R6" s="3449" t="s">
        <v>523</v>
      </c>
      <c r="S6" s="3450"/>
      <c r="T6" s="3449" t="s">
        <v>524</v>
      </c>
      <c r="U6" s="3450"/>
      <c r="V6" s="3436" t="s">
        <v>525</v>
      </c>
      <c r="W6" s="3436"/>
      <c r="X6" s="1566"/>
      <c r="Y6" s="3449" t="s">
        <v>527</v>
      </c>
      <c r="Z6" s="3450"/>
      <c r="AA6" s="3438" t="s">
        <v>523</v>
      </c>
      <c r="AB6" s="3439" t="s">
        <v>524</v>
      </c>
      <c r="AC6" s="3438" t="s">
        <v>525</v>
      </c>
    </row>
    <row r="7" spans="1:29" ht="15">
      <c r="A7" s="515"/>
      <c r="B7" s="516"/>
      <c r="C7" s="3457" t="s">
        <v>2928</v>
      </c>
      <c r="D7" s="3458"/>
      <c r="E7" s="3478" t="s">
        <v>2929</v>
      </c>
      <c r="F7" s="3479"/>
      <c r="G7" s="3457" t="s">
        <v>2930</v>
      </c>
      <c r="H7" s="3458"/>
      <c r="I7" s="3457" t="s">
        <v>2931</v>
      </c>
      <c r="J7" s="3458"/>
      <c r="K7" s="514"/>
      <c r="L7" s="2132"/>
      <c r="M7" s="2133"/>
      <c r="N7" s="2133"/>
      <c r="O7" s="2133"/>
      <c r="P7" s="3445"/>
      <c r="Q7" s="3446"/>
      <c r="R7" s="3451"/>
      <c r="S7" s="3452"/>
      <c r="T7" s="3451"/>
      <c r="U7" s="3452"/>
      <c r="V7" s="3436"/>
      <c r="W7" s="3436"/>
      <c r="X7" s="1566"/>
      <c r="Y7" s="3451"/>
      <c r="Z7" s="3452"/>
      <c r="AA7" s="3439"/>
      <c r="AB7" s="3439"/>
      <c r="AC7" s="3439"/>
    </row>
    <row r="8" spans="1:29" ht="15.75" thickBot="1">
      <c r="A8" s="517"/>
      <c r="B8" s="518"/>
      <c r="C8" s="3455" t="s">
        <v>2932</v>
      </c>
      <c r="D8" s="3456"/>
      <c r="E8" s="3474" t="s">
        <v>2932</v>
      </c>
      <c r="F8" s="3475"/>
      <c r="G8" s="3455" t="s">
        <v>2932</v>
      </c>
      <c r="H8" s="3456"/>
      <c r="I8" s="3455" t="s">
        <v>2932</v>
      </c>
      <c r="J8" s="3456"/>
      <c r="K8" s="514" t="s">
        <v>528</v>
      </c>
      <c r="L8" s="2132"/>
      <c r="M8" s="2133"/>
      <c r="N8" s="2133"/>
      <c r="O8" s="2133"/>
      <c r="P8" s="3447"/>
      <c r="Q8" s="3448"/>
      <c r="R8" s="3451"/>
      <c r="S8" s="3452"/>
      <c r="T8" s="3453"/>
      <c r="U8" s="3454"/>
      <c r="V8" s="3436"/>
      <c r="W8" s="3436"/>
      <c r="X8" s="1566"/>
      <c r="Y8" s="3453"/>
      <c r="Z8" s="3454"/>
      <c r="AA8" s="3440"/>
      <c r="AB8" s="3440"/>
      <c r="AC8" s="3440"/>
    </row>
    <row r="9" spans="1:29" s="1218" customFormat="1" ht="15.75" thickBot="1">
      <c r="A9" s="2888"/>
      <c r="B9" s="2895" t="s">
        <v>529</v>
      </c>
      <c r="C9" s="519">
        <f>'数据-取费表'!B2</f>
        <v>43510</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67" t="s">
        <v>530</v>
      </c>
      <c r="Q9" s="3469"/>
      <c r="R9" s="1567" t="s">
        <v>8</v>
      </c>
      <c r="S9" s="1568">
        <f t="shared" ref="S9:S17" si="0">F9</f>
        <v>0</v>
      </c>
      <c r="T9" s="1567" t="s">
        <v>8</v>
      </c>
      <c r="U9" s="1568">
        <f t="shared" ref="U9:U17" si="1">H9</f>
        <v>0</v>
      </c>
      <c r="V9" s="1567" t="s">
        <v>8</v>
      </c>
      <c r="W9" s="1568">
        <f t="shared" ref="W9:W17" si="2">J9</f>
        <v>0</v>
      </c>
      <c r="X9" s="1569"/>
      <c r="Y9" s="3467" t="s">
        <v>530</v>
      </c>
      <c r="Z9" s="3468"/>
      <c r="AA9" s="1570" t="e">
        <f>D9/F9</f>
        <v>#DIV/0!</v>
      </c>
      <c r="AB9" s="1570" t="e">
        <f>D9/H9</f>
        <v>#DIV/0!</v>
      </c>
      <c r="AC9" s="1570" t="e">
        <f>D9/J9</f>
        <v>#DIV/0!</v>
      </c>
    </row>
    <row r="10" spans="1:29" s="1218" customFormat="1" ht="15.75" thickBot="1">
      <c r="A10" s="2889"/>
      <c r="B10" s="289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67" t="s">
        <v>533</v>
      </c>
      <c r="Q10" s="3468"/>
      <c r="R10" s="1567" t="s">
        <v>8</v>
      </c>
      <c r="S10" s="1568">
        <f t="shared" si="0"/>
        <v>0</v>
      </c>
      <c r="T10" s="1567" t="s">
        <v>8</v>
      </c>
      <c r="U10" s="1568">
        <f t="shared" si="1"/>
        <v>0</v>
      </c>
      <c r="V10" s="1567" t="s">
        <v>8</v>
      </c>
      <c r="W10" s="1568">
        <f t="shared" si="2"/>
        <v>0</v>
      </c>
      <c r="X10" s="1569"/>
      <c r="Y10" s="3467" t="s">
        <v>533</v>
      </c>
      <c r="Z10" s="3468"/>
      <c r="AA10" s="1570" t="e">
        <f t="shared" ref="AA10:AA42" si="3">D10/F10</f>
        <v>#DIV/0!</v>
      </c>
      <c r="AB10" s="1570" t="e">
        <f t="shared" ref="AB10:AB42" si="4">D10/H10</f>
        <v>#DIV/0!</v>
      </c>
      <c r="AC10" s="1570" t="e">
        <f t="shared" ref="AC10:AC42" si="5">D10/J10</f>
        <v>#DIV/0!</v>
      </c>
    </row>
    <row r="11" spans="1:29" s="1218" customFormat="1" ht="15">
      <c r="A11" s="2890"/>
      <c r="B11" s="2897"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35" t="s">
        <v>535</v>
      </c>
      <c r="Q11" s="1149" t="str">
        <f t="shared" ref="Q11:Q17" si="6">B11</f>
        <v>用途</v>
      </c>
      <c r="R11" s="1567" t="s">
        <v>8</v>
      </c>
      <c r="S11" s="1568">
        <f t="shared" si="0"/>
        <v>100</v>
      </c>
      <c r="T11" s="1567" t="s">
        <v>8</v>
      </c>
      <c r="U11" s="1568">
        <f t="shared" si="1"/>
        <v>100</v>
      </c>
      <c r="V11" s="1567" t="s">
        <v>8</v>
      </c>
      <c r="W11" s="1568">
        <f t="shared" si="2"/>
        <v>100</v>
      </c>
      <c r="X11" s="1569"/>
      <c r="Y11" s="3375" t="s">
        <v>536</v>
      </c>
      <c r="Z11" s="1148" t="str">
        <f t="shared" ref="Z11:Z17" si="7">Q11</f>
        <v>用途</v>
      </c>
      <c r="AA11" s="1570">
        <f t="shared" si="3"/>
        <v>1</v>
      </c>
      <c r="AB11" s="1570">
        <f t="shared" si="4"/>
        <v>1</v>
      </c>
      <c r="AC11" s="1570">
        <f t="shared" si="5"/>
        <v>1</v>
      </c>
    </row>
    <row r="12" spans="1:29" s="1336" customFormat="1" ht="27">
      <c r="A12" s="2891"/>
      <c r="B12" s="2896" t="s">
        <v>2756</v>
      </c>
      <c r="C12" s="528"/>
      <c r="D12" s="255">
        <v>100</v>
      </c>
      <c r="E12" s="528"/>
      <c r="F12" s="255">
        <f>ROUND(100/'数据-取费表'!G16,0)</f>
        <v>106</v>
      </c>
      <c r="G12" s="528"/>
      <c r="H12" s="255">
        <f>ROUND(100/'数据-取费表'!G16,0)</f>
        <v>106</v>
      </c>
      <c r="I12" s="528"/>
      <c r="J12" s="255">
        <f>ROUND(100/'数据-取费表'!G16,0)</f>
        <v>106</v>
      </c>
      <c r="K12" s="531"/>
      <c r="L12" s="2137"/>
      <c r="M12" s="2177"/>
      <c r="N12" s="2177"/>
      <c r="O12" s="2138"/>
      <c r="P12" s="3435"/>
      <c r="Q12" s="1149" t="str">
        <f t="shared" si="6"/>
        <v>土地使用年限（年）</v>
      </c>
      <c r="R12" s="1567" t="s">
        <v>8</v>
      </c>
      <c r="S12" s="1568">
        <f t="shared" si="0"/>
        <v>106</v>
      </c>
      <c r="T12" s="1567" t="s">
        <v>8</v>
      </c>
      <c r="U12" s="1568">
        <f t="shared" si="1"/>
        <v>106</v>
      </c>
      <c r="V12" s="1567" t="s">
        <v>8</v>
      </c>
      <c r="W12" s="1568">
        <f t="shared" si="2"/>
        <v>106</v>
      </c>
      <c r="X12" s="1569"/>
      <c r="Y12" s="3375"/>
      <c r="Z12" s="1148" t="str">
        <f t="shared" si="7"/>
        <v>土地使用年限（年）</v>
      </c>
      <c r="AA12" s="1570">
        <f t="shared" si="3"/>
        <v>0.94339622641509435</v>
      </c>
      <c r="AB12" s="1570">
        <f t="shared" si="4"/>
        <v>0.94339622641509435</v>
      </c>
      <c r="AC12" s="1570">
        <f t="shared" si="5"/>
        <v>0.94339622641509435</v>
      </c>
    </row>
    <row r="13" spans="1:29" ht="15">
      <c r="A13" s="2892"/>
      <c r="B13" s="289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35"/>
      <c r="Q13" s="1149" t="str">
        <f t="shared" si="6"/>
        <v>容积率</v>
      </c>
      <c r="R13" s="1567" t="s">
        <v>8</v>
      </c>
      <c r="S13" s="1568" t="e">
        <f t="shared" si="0"/>
        <v>#N/A</v>
      </c>
      <c r="T13" s="1567" t="s">
        <v>8</v>
      </c>
      <c r="U13" s="1568" t="e">
        <f t="shared" si="1"/>
        <v>#N/A</v>
      </c>
      <c r="V13" s="1567" t="s">
        <v>8</v>
      </c>
      <c r="W13" s="1568" t="e">
        <f t="shared" si="2"/>
        <v>#N/A</v>
      </c>
      <c r="X13" s="1569"/>
      <c r="Y13" s="3375"/>
      <c r="Z13" s="1148" t="str">
        <f t="shared" si="7"/>
        <v>容积率</v>
      </c>
      <c r="AA13" s="1570" t="e">
        <f t="shared" si="3"/>
        <v>#N/A</v>
      </c>
      <c r="AB13" s="1570" t="e">
        <f t="shared" si="4"/>
        <v>#N/A</v>
      </c>
      <c r="AC13" s="1570" t="e">
        <f t="shared" si="5"/>
        <v>#N/A</v>
      </c>
    </row>
    <row r="14" spans="1:29" s="1218" customFormat="1" ht="15">
      <c r="A14" s="2893"/>
      <c r="B14" s="2899">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35"/>
      <c r="Q14" s="1149">
        <f t="shared" si="6"/>
        <v>111</v>
      </c>
      <c r="R14" s="1567" t="s">
        <v>8</v>
      </c>
      <c r="S14" s="1568">
        <f t="shared" si="0"/>
        <v>100</v>
      </c>
      <c r="T14" s="1567" t="s">
        <v>8</v>
      </c>
      <c r="U14" s="1568">
        <f t="shared" si="1"/>
        <v>100</v>
      </c>
      <c r="V14" s="1567" t="s">
        <v>8</v>
      </c>
      <c r="W14" s="1568">
        <f t="shared" si="2"/>
        <v>100</v>
      </c>
      <c r="X14" s="1569"/>
      <c r="Y14" s="3375"/>
      <c r="Z14" s="1148">
        <f t="shared" si="7"/>
        <v>111</v>
      </c>
      <c r="AA14" s="1570">
        <f>D14/F14</f>
        <v>1</v>
      </c>
      <c r="AB14" s="1570">
        <f>D14/H14</f>
        <v>1</v>
      </c>
      <c r="AC14" s="1570">
        <f>D14/J14</f>
        <v>1</v>
      </c>
    </row>
    <row r="15" spans="1:29" ht="15">
      <c r="A15" s="2893"/>
      <c r="B15" s="2899">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35"/>
      <c r="Q15" s="1149">
        <f t="shared" si="6"/>
        <v>111</v>
      </c>
      <c r="R15" s="1567" t="s">
        <v>8</v>
      </c>
      <c r="S15" s="1568">
        <f t="shared" si="0"/>
        <v>100</v>
      </c>
      <c r="T15" s="1567" t="s">
        <v>8</v>
      </c>
      <c r="U15" s="1568">
        <f t="shared" si="1"/>
        <v>100</v>
      </c>
      <c r="V15" s="1567" t="s">
        <v>8</v>
      </c>
      <c r="W15" s="1568">
        <f t="shared" si="2"/>
        <v>100</v>
      </c>
      <c r="X15" s="1569"/>
      <c r="Y15" s="3375"/>
      <c r="Z15" s="1148">
        <f t="shared" si="7"/>
        <v>111</v>
      </c>
      <c r="AA15" s="1570">
        <f t="shared" si="3"/>
        <v>1</v>
      </c>
      <c r="AB15" s="1570">
        <f t="shared" si="4"/>
        <v>1</v>
      </c>
      <c r="AC15" s="1570">
        <f t="shared" si="5"/>
        <v>1</v>
      </c>
    </row>
    <row r="16" spans="1:29" ht="15.75" thickBot="1">
      <c r="A16" s="2894"/>
      <c r="B16" s="2900">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35"/>
      <c r="Q16" s="1149">
        <f t="shared" si="6"/>
        <v>111</v>
      </c>
      <c r="R16" s="1567" t="s">
        <v>8</v>
      </c>
      <c r="S16" s="1568">
        <f t="shared" si="0"/>
        <v>100</v>
      </c>
      <c r="T16" s="1567" t="s">
        <v>8</v>
      </c>
      <c r="U16" s="1568">
        <f t="shared" si="1"/>
        <v>100</v>
      </c>
      <c r="V16" s="1567" t="s">
        <v>8</v>
      </c>
      <c r="W16" s="1568">
        <f t="shared" si="2"/>
        <v>100</v>
      </c>
      <c r="X16" s="1569"/>
      <c r="Y16" s="3375"/>
      <c r="Z16" s="1148">
        <f t="shared" si="7"/>
        <v>111</v>
      </c>
      <c r="AA16" s="1570">
        <f t="shared" si="3"/>
        <v>1</v>
      </c>
      <c r="AB16" s="1570">
        <f t="shared" si="4"/>
        <v>1</v>
      </c>
      <c r="AC16" s="1570">
        <f t="shared" si="5"/>
        <v>1</v>
      </c>
    </row>
    <row r="17" spans="1:29" ht="57">
      <c r="A17" s="288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70" t="s">
        <v>540</v>
      </c>
      <c r="Q17" s="1571" t="str">
        <f t="shared" si="6"/>
        <v>产业集聚程度</v>
      </c>
      <c r="R17" s="1572" t="s">
        <v>8</v>
      </c>
      <c r="S17" s="1573">
        <f t="shared" si="0"/>
        <v>100</v>
      </c>
      <c r="T17" s="1572" t="s">
        <v>8</v>
      </c>
      <c r="U17" s="1573">
        <f t="shared" si="1"/>
        <v>100</v>
      </c>
      <c r="V17" s="1572" t="s">
        <v>8</v>
      </c>
      <c r="W17" s="1573">
        <f t="shared" si="2"/>
        <v>100</v>
      </c>
      <c r="X17" s="1566"/>
      <c r="Y17" s="3470"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71"/>
      <c r="Q18" s="1571"/>
      <c r="R18" s="1572"/>
      <c r="S18" s="1573"/>
      <c r="T18" s="1572"/>
      <c r="U18" s="1573"/>
      <c r="V18" s="1572"/>
      <c r="W18" s="1573"/>
      <c r="X18" s="1566"/>
      <c r="Y18" s="3471"/>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71"/>
      <c r="Q19" s="1571" t="str">
        <f>B19</f>
        <v>交通便捷度</v>
      </c>
      <c r="R19" s="1572" t="s">
        <v>8</v>
      </c>
      <c r="S19" s="1573">
        <f>F19</f>
        <v>100</v>
      </c>
      <c r="T19" s="1572" t="s">
        <v>8</v>
      </c>
      <c r="U19" s="1573">
        <f>H19</f>
        <v>100</v>
      </c>
      <c r="V19" s="1572" t="s">
        <v>8</v>
      </c>
      <c r="W19" s="1573">
        <f>J19</f>
        <v>100</v>
      </c>
      <c r="X19" s="1566"/>
      <c r="Y19" s="347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1"/>
      <c r="M20" s="2133"/>
      <c r="N20" s="2133"/>
      <c r="O20" s="2140"/>
      <c r="P20" s="3471"/>
      <c r="Q20" s="1571"/>
      <c r="R20" s="1572"/>
      <c r="S20" s="1573"/>
      <c r="T20" s="1572"/>
      <c r="U20" s="1573"/>
      <c r="V20" s="1572"/>
      <c r="W20" s="1573"/>
      <c r="X20" s="1566"/>
      <c r="Y20" s="3471"/>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41"/>
      <c r="M21" s="2133"/>
      <c r="N21" s="2133"/>
      <c r="O21" s="2140"/>
      <c r="P21" s="3471"/>
      <c r="Q21" s="1571" t="str">
        <f t="shared" ref="Q21:Q35" si="8">B21</f>
        <v>区域土地利用方向</v>
      </c>
      <c r="R21" s="1572" t="s">
        <v>8</v>
      </c>
      <c r="S21" s="1573">
        <f>F21</f>
        <v>100</v>
      </c>
      <c r="T21" s="1572" t="s">
        <v>8</v>
      </c>
      <c r="U21" s="1573">
        <f>H21</f>
        <v>100</v>
      </c>
      <c r="V21" s="1572" t="s">
        <v>8</v>
      </c>
      <c r="W21" s="1573">
        <f>J21</f>
        <v>100</v>
      </c>
      <c r="X21" s="1566"/>
      <c r="Y21" s="347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6"/>
      <c r="L22" s="2141"/>
      <c r="M22" s="2133"/>
      <c r="N22" s="2133"/>
      <c r="O22" s="2140"/>
      <c r="P22" s="3471"/>
      <c r="Q22" s="1571"/>
      <c r="R22" s="1572"/>
      <c r="S22" s="1573"/>
      <c r="T22" s="1572"/>
      <c r="U22" s="1573"/>
      <c r="V22" s="1572"/>
      <c r="W22" s="1573"/>
      <c r="X22" s="1566"/>
      <c r="Y22" s="3471"/>
      <c r="Z22" s="1574"/>
      <c r="AA22" s="1575"/>
      <c r="AB22" s="1575"/>
      <c r="AC22" s="1575"/>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71"/>
      <c r="Q23" s="1571" t="str">
        <f t="shared" si="8"/>
        <v>环境状况</v>
      </c>
      <c r="R23" s="1572" t="s">
        <v>8</v>
      </c>
      <c r="S23" s="1573">
        <f>F23</f>
        <v>100</v>
      </c>
      <c r="T23" s="1572" t="s">
        <v>8</v>
      </c>
      <c r="U23" s="1573">
        <f>H23</f>
        <v>100</v>
      </c>
      <c r="V23" s="1572" t="s">
        <v>8</v>
      </c>
      <c r="W23" s="1573">
        <f>J23</f>
        <v>100</v>
      </c>
      <c r="X23" s="1566"/>
      <c r="Y23" s="347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71"/>
      <c r="Q24" s="1571"/>
      <c r="R24" s="1572"/>
      <c r="S24" s="1573"/>
      <c r="T24" s="1572"/>
      <c r="U24" s="1573"/>
      <c r="V24" s="1572"/>
      <c r="W24" s="1573"/>
      <c r="X24" s="1566"/>
      <c r="Y24" s="3471"/>
      <c r="Z24" s="1574"/>
      <c r="AA24" s="1575">
        <v>1</v>
      </c>
      <c r="AB24" s="1575">
        <v>1</v>
      </c>
      <c r="AC24" s="1575">
        <v>1</v>
      </c>
    </row>
    <row r="25" spans="1:29" s="1218" customFormat="1" ht="42.75">
      <c r="A25" s="577"/>
      <c r="B25" s="2570"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71"/>
      <c r="Q25" s="1149" t="str">
        <f t="shared" si="8"/>
        <v>公共配套设施</v>
      </c>
      <c r="R25" s="1567" t="s">
        <v>8</v>
      </c>
      <c r="S25" s="1568">
        <f>F25</f>
        <v>100</v>
      </c>
      <c r="T25" s="1567" t="s">
        <v>8</v>
      </c>
      <c r="U25" s="1568">
        <f>H25</f>
        <v>100</v>
      </c>
      <c r="V25" s="1567" t="s">
        <v>8</v>
      </c>
      <c r="W25" s="1568">
        <f>J25</f>
        <v>100</v>
      </c>
      <c r="X25" s="1569"/>
      <c r="Y25" s="3471"/>
      <c r="Z25" s="1148" t="str">
        <f>Q25</f>
        <v>公共配套设施</v>
      </c>
      <c r="AA25" s="1575">
        <f>D25/F25</f>
        <v>1</v>
      </c>
      <c r="AB25" s="1575">
        <f>D25/H25</f>
        <v>1</v>
      </c>
      <c r="AC25" s="1575">
        <f>D25/J25</f>
        <v>1</v>
      </c>
    </row>
    <row r="26" spans="1:29" s="1218" customFormat="1" ht="15">
      <c r="A26" s="577"/>
      <c r="B26" s="595"/>
      <c r="C26" s="2569"/>
      <c r="D26" s="555"/>
      <c r="E26" s="554"/>
      <c r="F26" s="555"/>
      <c r="G26" s="554"/>
      <c r="H26" s="555"/>
      <c r="I26" s="576"/>
      <c r="J26" s="555"/>
      <c r="K26" s="531"/>
      <c r="L26" s="2134"/>
      <c r="M26" s="2135"/>
      <c r="N26" s="2135"/>
      <c r="O26" s="2136"/>
      <c r="P26" s="3471"/>
      <c r="Q26" s="1149"/>
      <c r="R26" s="1567"/>
      <c r="S26" s="1568"/>
      <c r="T26" s="1567"/>
      <c r="U26" s="1568"/>
      <c r="V26" s="1567"/>
      <c r="W26" s="1568"/>
      <c r="X26" s="1569"/>
      <c r="Y26" s="3471"/>
      <c r="Z26" s="1148"/>
      <c r="AA26" s="1570">
        <v>1</v>
      </c>
      <c r="AB26" s="1570">
        <v>1</v>
      </c>
      <c r="AC26" s="1570">
        <v>1</v>
      </c>
    </row>
    <row r="27" spans="1:29" s="1218" customFormat="1" ht="28.5">
      <c r="A27" s="577"/>
      <c r="B27" s="2570"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71"/>
      <c r="Q27" s="2555" t="str">
        <f t="shared" ref="Q27" si="9">B27</f>
        <v>基础设施水平</v>
      </c>
      <c r="R27" s="1567" t="s">
        <v>8</v>
      </c>
      <c r="S27" s="1568">
        <f>F27</f>
        <v>100</v>
      </c>
      <c r="T27" s="1567" t="s">
        <v>8</v>
      </c>
      <c r="U27" s="1568">
        <f>H27</f>
        <v>100</v>
      </c>
      <c r="V27" s="1567" t="s">
        <v>8</v>
      </c>
      <c r="W27" s="1568">
        <f>J27</f>
        <v>100</v>
      </c>
      <c r="X27" s="1569"/>
      <c r="Y27" s="3471"/>
      <c r="Z27" s="2552" t="str">
        <f>Q27</f>
        <v>基础设施水平</v>
      </c>
      <c r="AA27" s="1575">
        <f>D27/F27</f>
        <v>1</v>
      </c>
      <c r="AB27" s="1575">
        <f>D27/H27</f>
        <v>1</v>
      </c>
      <c r="AC27" s="1575">
        <f>D27/J27</f>
        <v>1</v>
      </c>
    </row>
    <row r="28" spans="1:29" s="1218" customFormat="1" ht="15">
      <c r="A28" s="577"/>
      <c r="B28" s="595"/>
      <c r="C28" s="2569"/>
      <c r="D28" s="555"/>
      <c r="E28" s="579"/>
      <c r="F28" s="555"/>
      <c r="G28" s="579"/>
      <c r="H28" s="555"/>
      <c r="I28" s="579"/>
      <c r="J28" s="555"/>
      <c r="K28" s="531"/>
      <c r="L28" s="2134"/>
      <c r="M28" s="2135"/>
      <c r="N28" s="2135"/>
      <c r="O28" s="2136"/>
      <c r="P28" s="3471"/>
      <c r="Q28" s="2555"/>
      <c r="R28" s="1567"/>
      <c r="S28" s="1568"/>
      <c r="T28" s="1567"/>
      <c r="U28" s="1568"/>
      <c r="V28" s="1567"/>
      <c r="W28" s="1568"/>
      <c r="X28" s="1569"/>
      <c r="Y28" s="3471"/>
      <c r="Z28" s="2552"/>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7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71"/>
      <c r="Z29" s="1574" t="str">
        <f t="shared" ref="Z29:Z42" si="13">Q29</f>
        <v>临街状况</v>
      </c>
      <c r="AA29" s="1575">
        <f t="shared" si="3"/>
        <v>1</v>
      </c>
      <c r="AB29" s="1575">
        <f t="shared" si="4"/>
        <v>1</v>
      </c>
      <c r="AC29" s="1575">
        <f t="shared" si="5"/>
        <v>1</v>
      </c>
    </row>
    <row r="30" spans="1:29" ht="27">
      <c r="A30" s="532"/>
      <c r="B30" s="922" t="s">
        <v>548</v>
      </c>
      <c r="C30" s="2572">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71"/>
      <c r="Q30" s="1571" t="str">
        <f t="shared" si="8"/>
        <v>毗邻道路的类型与等级</v>
      </c>
      <c r="R30" s="1572" t="s">
        <v>8</v>
      </c>
      <c r="S30" s="1573">
        <f t="shared" si="10"/>
        <v>100</v>
      </c>
      <c r="T30" s="1572" t="s">
        <v>8</v>
      </c>
      <c r="U30" s="1573">
        <f t="shared" si="11"/>
        <v>100</v>
      </c>
      <c r="V30" s="1572" t="s">
        <v>8</v>
      </c>
      <c r="W30" s="1573">
        <f t="shared" si="12"/>
        <v>100</v>
      </c>
      <c r="X30" s="1566"/>
      <c r="Y30" s="347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71"/>
      <c r="Q31" s="1571"/>
      <c r="R31" s="1572"/>
      <c r="S31" s="1573"/>
      <c r="T31" s="1572"/>
      <c r="U31" s="1573"/>
      <c r="V31" s="1572"/>
      <c r="W31" s="1573"/>
      <c r="X31" s="1566"/>
      <c r="Y31" s="3471"/>
      <c r="Z31" s="1574"/>
      <c r="AA31" s="1575">
        <v>1</v>
      </c>
      <c r="AB31" s="1575">
        <v>1</v>
      </c>
      <c r="AC31" s="1575">
        <v>1</v>
      </c>
    </row>
    <row r="32" spans="1:29" ht="15">
      <c r="A32" s="532"/>
      <c r="B32" s="527" t="s">
        <v>549</v>
      </c>
      <c r="C32" s="2573">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71"/>
      <c r="Q32" s="1571" t="str">
        <f t="shared" si="8"/>
        <v>土地级别</v>
      </c>
      <c r="R32" s="1572" t="s">
        <v>8</v>
      </c>
      <c r="S32" s="1573">
        <f t="shared" si="10"/>
        <v>100</v>
      </c>
      <c r="T32" s="1572" t="s">
        <v>8</v>
      </c>
      <c r="U32" s="1573">
        <f t="shared" si="11"/>
        <v>100</v>
      </c>
      <c r="V32" s="1572" t="s">
        <v>8</v>
      </c>
      <c r="W32" s="1573">
        <f t="shared" si="12"/>
        <v>100</v>
      </c>
      <c r="X32" s="1566"/>
      <c r="Y32" s="347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71"/>
      <c r="Q33" s="1571">
        <f t="shared" si="8"/>
        <v>111</v>
      </c>
      <c r="R33" s="1572" t="s">
        <v>8</v>
      </c>
      <c r="S33" s="1573">
        <f t="shared" si="10"/>
        <v>100</v>
      </c>
      <c r="T33" s="1572" t="s">
        <v>8</v>
      </c>
      <c r="U33" s="1573">
        <f t="shared" si="11"/>
        <v>100</v>
      </c>
      <c r="V33" s="1572" t="s">
        <v>8</v>
      </c>
      <c r="W33" s="1573">
        <f t="shared" si="12"/>
        <v>100</v>
      </c>
      <c r="X33" s="1566"/>
      <c r="Y33" s="347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72" t="s">
        <v>550</v>
      </c>
      <c r="Q34" s="1571">
        <f t="shared" si="8"/>
        <v>111</v>
      </c>
      <c r="R34" s="1572" t="s">
        <v>8</v>
      </c>
      <c r="S34" s="1573">
        <f t="shared" si="10"/>
        <v>100</v>
      </c>
      <c r="T34" s="1572" t="s">
        <v>8</v>
      </c>
      <c r="U34" s="1573">
        <f t="shared" si="11"/>
        <v>100</v>
      </c>
      <c r="V34" s="1572" t="s">
        <v>8</v>
      </c>
      <c r="W34" s="1573">
        <f t="shared" si="12"/>
        <v>100</v>
      </c>
      <c r="X34" s="1566"/>
      <c r="Y34" s="3473" t="s">
        <v>550</v>
      </c>
      <c r="Z34" s="1574">
        <f t="shared" si="13"/>
        <v>111</v>
      </c>
      <c r="AA34" s="1575">
        <f t="shared" si="3"/>
        <v>1</v>
      </c>
      <c r="AB34" s="1575">
        <f t="shared" si="4"/>
        <v>1</v>
      </c>
      <c r="AC34" s="1575">
        <f t="shared" si="5"/>
        <v>1</v>
      </c>
    </row>
    <row r="35" spans="1:29" s="1337" customFormat="1" ht="15.75" thickBot="1">
      <c r="A35" s="589"/>
      <c r="B35" s="2571">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73"/>
      <c r="Q35" s="1571">
        <f t="shared" si="8"/>
        <v>111</v>
      </c>
      <c r="R35" s="1576" t="s">
        <v>8</v>
      </c>
      <c r="S35" s="1577">
        <f t="shared" si="10"/>
        <v>100</v>
      </c>
      <c r="T35" s="1576" t="s">
        <v>8</v>
      </c>
      <c r="U35" s="1577">
        <f t="shared" si="11"/>
        <v>100</v>
      </c>
      <c r="V35" s="1576" t="s">
        <v>8</v>
      </c>
      <c r="W35" s="1577">
        <f t="shared" si="12"/>
        <v>100</v>
      </c>
      <c r="X35" s="1578"/>
      <c r="Y35" s="3473"/>
      <c r="Z35" s="1579">
        <f t="shared" si="13"/>
        <v>111</v>
      </c>
      <c r="AA35" s="1575">
        <f t="shared" si="3"/>
        <v>1</v>
      </c>
      <c r="AB35" s="1575">
        <f t="shared" si="4"/>
        <v>1</v>
      </c>
      <c r="AC35" s="1575">
        <f t="shared" si="5"/>
        <v>1</v>
      </c>
    </row>
    <row r="36" spans="1:29" ht="15">
      <c r="A36" s="288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73"/>
      <c r="Q36" s="1571" t="str">
        <f>B36</f>
        <v>宗地面积</v>
      </c>
      <c r="R36" s="1572" t="s">
        <v>8</v>
      </c>
      <c r="S36" s="1573" t="e">
        <f t="shared" si="10"/>
        <v>#N/A</v>
      </c>
      <c r="T36" s="1572" t="s">
        <v>8</v>
      </c>
      <c r="U36" s="1573" t="e">
        <f t="shared" si="11"/>
        <v>#N/A</v>
      </c>
      <c r="V36" s="1572" t="s">
        <v>8</v>
      </c>
      <c r="W36" s="1573" t="e">
        <f t="shared" si="12"/>
        <v>#N/A</v>
      </c>
      <c r="X36" s="1566"/>
      <c r="Y36" s="3473"/>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73"/>
      <c r="Q37" s="1571" t="str">
        <f t="shared" ref="Q37:Q42" si="14">B37</f>
        <v>宗地形状</v>
      </c>
      <c r="R37" s="1572" t="s">
        <v>8</v>
      </c>
      <c r="S37" s="1573">
        <f t="shared" si="10"/>
        <v>100</v>
      </c>
      <c r="T37" s="1572" t="s">
        <v>8</v>
      </c>
      <c r="U37" s="1573">
        <f t="shared" si="11"/>
        <v>100</v>
      </c>
      <c r="V37" s="1572" t="s">
        <v>8</v>
      </c>
      <c r="W37" s="1573">
        <f t="shared" si="12"/>
        <v>100</v>
      </c>
      <c r="X37" s="1566"/>
      <c r="Y37" s="3473"/>
      <c r="Z37" s="1574" t="str">
        <f t="shared" si="13"/>
        <v>宗地形状</v>
      </c>
      <c r="AA37" s="1575">
        <f t="shared" si="3"/>
        <v>1</v>
      </c>
      <c r="AB37" s="1575">
        <f t="shared" si="4"/>
        <v>1</v>
      </c>
      <c r="AC37" s="1575">
        <f t="shared" si="5"/>
        <v>1</v>
      </c>
    </row>
    <row r="38" spans="1:29" s="1218"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73"/>
      <c r="Q38" s="1571" t="str">
        <f t="shared" si="14"/>
        <v>宗地开发程度</v>
      </c>
      <c r="R38" s="1567" t="s">
        <v>8</v>
      </c>
      <c r="S38" s="1568">
        <f t="shared" si="10"/>
        <v>100</v>
      </c>
      <c r="T38" s="1567" t="s">
        <v>8</v>
      </c>
      <c r="U38" s="1568">
        <f t="shared" si="11"/>
        <v>100</v>
      </c>
      <c r="V38" s="1567" t="s">
        <v>8</v>
      </c>
      <c r="W38" s="1568">
        <f t="shared" si="12"/>
        <v>100</v>
      </c>
      <c r="X38" s="1569"/>
      <c r="Y38" s="3473"/>
      <c r="Z38" s="1148"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73" t="s">
        <v>601</v>
      </c>
      <c r="Q39" s="1571" t="str">
        <f t="shared" si="14"/>
        <v>工程地质条件</v>
      </c>
      <c r="R39" s="1572" t="s">
        <v>8</v>
      </c>
      <c r="S39" s="1573">
        <f t="shared" si="10"/>
        <v>100</v>
      </c>
      <c r="T39" s="1572" t="s">
        <v>8</v>
      </c>
      <c r="U39" s="1573">
        <f t="shared" si="11"/>
        <v>100</v>
      </c>
      <c r="V39" s="1572" t="s">
        <v>8</v>
      </c>
      <c r="W39" s="1573">
        <f t="shared" si="12"/>
        <v>100</v>
      </c>
      <c r="X39" s="1566"/>
      <c r="Y39" s="3473"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73"/>
      <c r="Q40" s="1571">
        <f t="shared" si="14"/>
        <v>111</v>
      </c>
      <c r="R40" s="1572" t="s">
        <v>8</v>
      </c>
      <c r="S40" s="1573">
        <f t="shared" si="10"/>
        <v>100</v>
      </c>
      <c r="T40" s="1572" t="s">
        <v>8</v>
      </c>
      <c r="U40" s="1573">
        <f t="shared" si="11"/>
        <v>100</v>
      </c>
      <c r="V40" s="1572" t="s">
        <v>8</v>
      </c>
      <c r="W40" s="1573">
        <f t="shared" si="12"/>
        <v>100</v>
      </c>
      <c r="X40" s="1566"/>
      <c r="Y40" s="347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73"/>
      <c r="Q41" s="1571">
        <f t="shared" si="14"/>
        <v>111</v>
      </c>
      <c r="R41" s="1572" t="s">
        <v>8</v>
      </c>
      <c r="S41" s="1573">
        <f t="shared" si="10"/>
        <v>100</v>
      </c>
      <c r="T41" s="1572" t="s">
        <v>8</v>
      </c>
      <c r="U41" s="1573">
        <f t="shared" si="11"/>
        <v>100</v>
      </c>
      <c r="V41" s="1572" t="s">
        <v>8</v>
      </c>
      <c r="W41" s="1573">
        <f t="shared" si="12"/>
        <v>100</v>
      </c>
      <c r="X41" s="1566"/>
      <c r="Y41" s="3473"/>
      <c r="Z41" s="1574">
        <f t="shared" si="13"/>
        <v>111</v>
      </c>
      <c r="AA41" s="1575">
        <f t="shared" si="3"/>
        <v>1</v>
      </c>
      <c r="AB41" s="1575">
        <f t="shared" si="4"/>
        <v>1</v>
      </c>
      <c r="AC41" s="1575">
        <f t="shared" si="5"/>
        <v>1</v>
      </c>
    </row>
    <row r="42" spans="1:29" s="1337"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73"/>
      <c r="Q42" s="1571">
        <f t="shared" si="14"/>
        <v>111</v>
      </c>
      <c r="R42" s="1576" t="s">
        <v>8</v>
      </c>
      <c r="S42" s="1577">
        <f t="shared" si="10"/>
        <v>100</v>
      </c>
      <c r="T42" s="1576" t="s">
        <v>8</v>
      </c>
      <c r="U42" s="1577">
        <f t="shared" si="11"/>
        <v>100</v>
      </c>
      <c r="V42" s="1576" t="s">
        <v>8</v>
      </c>
      <c r="W42" s="1577">
        <f t="shared" si="12"/>
        <v>100</v>
      </c>
      <c r="X42" s="1578"/>
      <c r="Y42" s="3473"/>
      <c r="Z42" s="1579">
        <f t="shared" si="13"/>
        <v>111</v>
      </c>
      <c r="AA42" s="1575">
        <f t="shared" si="3"/>
        <v>1</v>
      </c>
      <c r="AB42" s="1575">
        <f t="shared" si="4"/>
        <v>1</v>
      </c>
      <c r="AC42" s="1575">
        <f t="shared" si="5"/>
        <v>1</v>
      </c>
    </row>
    <row r="43" spans="1:29" ht="15">
      <c r="A43" s="607" t="s">
        <v>556</v>
      </c>
      <c r="B43" s="608" t="s">
        <v>2933</v>
      </c>
      <c r="C43" s="609" t="s">
        <v>1</v>
      </c>
      <c r="D43" s="610"/>
      <c r="E43" s="611"/>
      <c r="F43" s="612"/>
      <c r="G43" s="613"/>
      <c r="H43" s="614"/>
      <c r="I43" s="611"/>
      <c r="J43" s="614"/>
      <c r="K43" s="1338"/>
      <c r="L43" s="2143"/>
      <c r="M43" s="2133"/>
      <c r="N43" s="2133"/>
      <c r="O43" s="2144"/>
      <c r="P43" s="3435" t="str">
        <f>A43</f>
        <v>成交单价</v>
      </c>
      <c r="Q43" s="3435"/>
      <c r="R43" s="3436">
        <f>E43</f>
        <v>0</v>
      </c>
      <c r="S43" s="3436"/>
      <c r="T43" s="3436">
        <f>G43</f>
        <v>0</v>
      </c>
      <c r="U43" s="3436"/>
      <c r="V43" s="3436">
        <f>I43</f>
        <v>0</v>
      </c>
      <c r="W43" s="3436"/>
      <c r="X43" s="1558"/>
      <c r="Y43" s="1580"/>
      <c r="Z43" s="1558"/>
      <c r="AA43" s="1558"/>
      <c r="AB43" s="1558"/>
      <c r="AC43" s="1558"/>
    </row>
    <row r="44" spans="1:29" ht="15.75" thickBot="1">
      <c r="A44" s="615" t="s">
        <v>2692</v>
      </c>
      <c r="B44" s="616"/>
      <c r="C44" s="617" t="e">
        <f>R45</f>
        <v>#DIV/0!</v>
      </c>
      <c r="D44" s="618"/>
      <c r="E44" s="617" t="e">
        <f>R44</f>
        <v>#DIV/0!</v>
      </c>
      <c r="F44" s="619"/>
      <c r="G44" s="620" t="e">
        <f>T44</f>
        <v>#DIV/0!</v>
      </c>
      <c r="H44" s="618"/>
      <c r="I44" s="617" t="e">
        <f>V44</f>
        <v>#DIV/0!</v>
      </c>
      <c r="J44" s="618"/>
      <c r="K44" s="1339"/>
      <c r="L44" s="2143"/>
      <c r="M44" s="2133"/>
      <c r="N44" s="2133"/>
      <c r="O44" s="2144"/>
      <c r="P44" s="3435" t="str">
        <f>A44</f>
        <v>比较价格（元/平方米）</v>
      </c>
      <c r="Q44" s="3435"/>
      <c r="R44" s="3437" t="e">
        <f>ROUND(PRODUCT(R43,AA9:AA42),0)</f>
        <v>#DIV/0!</v>
      </c>
      <c r="S44" s="3437"/>
      <c r="T44" s="3437" t="e">
        <f>ROUND(PRODUCT(T43,AB9:AB42),0)</f>
        <v>#DIV/0!</v>
      </c>
      <c r="U44" s="3437"/>
      <c r="V44" s="3437" t="e">
        <f>ROUND(PRODUCT(V43,AC9:AC42),0)</f>
        <v>#DIV/0!</v>
      </c>
      <c r="W44" s="3437"/>
      <c r="X44" s="1558"/>
      <c r="Y44" s="1558"/>
      <c r="Z44" s="1558"/>
      <c r="AA44" s="1558"/>
      <c r="AB44" s="1558"/>
      <c r="AC44" s="1558"/>
    </row>
    <row r="45" spans="1:29" ht="15.75" thickBot="1">
      <c r="A45" s="621" t="s">
        <v>2934</v>
      </c>
      <c r="B45" s="622"/>
      <c r="C45" s="623" t="e">
        <f>R45</f>
        <v>#DIV/0!</v>
      </c>
      <c r="D45" s="623"/>
      <c r="E45" s="623"/>
      <c r="F45" s="623"/>
      <c r="G45" s="623"/>
      <c r="H45" s="623"/>
      <c r="I45" s="623"/>
      <c r="J45" s="623"/>
      <c r="K45" s="1340"/>
      <c r="L45" s="2143"/>
      <c r="M45" s="2133"/>
      <c r="N45" s="2133"/>
      <c r="O45" s="2144"/>
      <c r="P45" s="3432" t="str">
        <f>A45</f>
        <v>估价对象XX用房的比较价格（楼面单价，元/平方米）</v>
      </c>
      <c r="Q45" s="3433"/>
      <c r="R45" s="3434" t="e">
        <f>ROUND(AVERAGE(R44:V44),0)</f>
        <v>#DIV/0!</v>
      </c>
      <c r="S45" s="3434"/>
      <c r="T45" s="3434"/>
      <c r="U45" s="3434"/>
      <c r="V45" s="3434"/>
      <c r="W45" s="3434"/>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1724</v>
      </c>
      <c r="D52" s="2226" t="s">
        <v>2293</v>
      </c>
      <c r="E52" s="631" t="s">
        <v>562</v>
      </c>
      <c r="F52" s="1950" t="s">
        <v>563</v>
      </c>
      <c r="G52" s="3480" t="s">
        <v>2284</v>
      </c>
      <c r="H52" s="3481"/>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3" t="s">
        <v>564</v>
      </c>
      <c r="B53" s="634" t="e">
        <f>C45</f>
        <v>#DIV/0!</v>
      </c>
      <c r="C53" s="635">
        <v>1</v>
      </c>
      <c r="D53" s="2227">
        <v>1</v>
      </c>
      <c r="E53" s="635">
        <f>'数据-汇总表'!E8+'数据-汇总表'!E9</f>
        <v>43120</v>
      </c>
      <c r="F53" s="1949" t="e">
        <f t="shared" ref="F53:F62" si="15">ROUND(B53*E53/10000,0)</f>
        <v>#DIV/0!</v>
      </c>
      <c r="G53" s="3482"/>
      <c r="H53" s="3483"/>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7" t="s">
        <v>565</v>
      </c>
      <c r="B54" s="638" t="e">
        <f>ROUND($C$45*C54*D54,0)</f>
        <v>#DIV/0!</v>
      </c>
      <c r="C54" s="378">
        <f t="shared" ref="C54:C62" si="16">IF($C$52="北京市系数",I54,J54)</f>
        <v>0</v>
      </c>
      <c r="D54" s="2228">
        <v>0.25</v>
      </c>
      <c r="E54" s="639"/>
      <c r="F54" s="1949" t="e">
        <f t="shared" si="15"/>
        <v>#DIV/0!</v>
      </c>
      <c r="G54" s="3484"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7" t="s">
        <v>566</v>
      </c>
      <c r="B55" s="638" t="e">
        <f t="shared" ref="B55:B62" si="17">ROUND($C$45*C55*D55,0)</f>
        <v>#DIV/0!</v>
      </c>
      <c r="C55" s="378">
        <f t="shared" si="16"/>
        <v>0</v>
      </c>
      <c r="D55" s="2228">
        <v>0.25</v>
      </c>
      <c r="E55" s="639"/>
      <c r="F55" s="1949" t="e">
        <f t="shared" si="15"/>
        <v>#DIV/0!</v>
      </c>
      <c r="G55" s="3484"/>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7" t="s">
        <v>567</v>
      </c>
      <c r="B56" s="638" t="e">
        <f t="shared" si="17"/>
        <v>#DIV/0!</v>
      </c>
      <c r="C56" s="378">
        <f t="shared" si="16"/>
        <v>0</v>
      </c>
      <c r="D56" s="2228">
        <v>0.25</v>
      </c>
      <c r="E56" s="639"/>
      <c r="F56" s="1949" t="e">
        <f t="shared" si="15"/>
        <v>#DIV/0!</v>
      </c>
      <c r="G56" s="3484"/>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7" t="s">
        <v>568</v>
      </c>
      <c r="B57" s="638" t="e">
        <f t="shared" si="17"/>
        <v>#DIV/0!</v>
      </c>
      <c r="C57" s="378">
        <f t="shared" si="16"/>
        <v>0</v>
      </c>
      <c r="D57" s="2228">
        <v>0.25</v>
      </c>
      <c r="E57" s="639"/>
      <c r="F57" s="1949" t="e">
        <f t="shared" si="15"/>
        <v>#DIV/0!</v>
      </c>
      <c r="G57" s="3484"/>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7" t="s">
        <v>569</v>
      </c>
      <c r="B59" s="638" t="e">
        <f t="shared" si="17"/>
        <v>#DIV/0!</v>
      </c>
      <c r="C59" s="378">
        <f t="shared" si="16"/>
        <v>0</v>
      </c>
      <c r="D59" s="2228">
        <v>0.25</v>
      </c>
      <c r="E59" s="641">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7" t="s">
        <v>570</v>
      </c>
      <c r="B60" s="638" t="e">
        <f t="shared" si="17"/>
        <v>#DIV/0!</v>
      </c>
      <c r="C60" s="378">
        <f t="shared" si="16"/>
        <v>0</v>
      </c>
      <c r="D60" s="2228">
        <v>0.25</v>
      </c>
      <c r="E60" s="641">
        <f>'数据-汇总表'!E13</f>
        <v>0</v>
      </c>
      <c r="F60" s="1949" t="e">
        <f t="shared" si="15"/>
        <v>#DIV/0!</v>
      </c>
      <c r="G60" s="1945" t="s">
        <v>922</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7" t="s">
        <v>571</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2" t="s">
        <v>573</v>
      </c>
      <c r="B63" s="643" t="s">
        <v>17</v>
      </c>
      <c r="C63" s="643" t="s">
        <v>18</v>
      </c>
      <c r="D63" s="643" t="s">
        <v>2294</v>
      </c>
      <c r="E63" s="643">
        <f>IF(B43="楼面地价",SUM(E53:E62),'数据-汇总表'!D3)</f>
        <v>15400</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6" t="str">
        <f>YEAR(C9)&amp;"-"&amp;MONTH(C9)&amp;"-1"</f>
        <v>2019-2-1</v>
      </c>
      <c r="D65" s="2775">
        <f>EDATE(C65,-3)</f>
        <v>43405</v>
      </c>
      <c r="E65" s="2775">
        <f t="shared" ref="E65:N65" si="18">EDATE(D65,-3)</f>
        <v>43313</v>
      </c>
      <c r="F65" s="2775">
        <f t="shared" si="18"/>
        <v>43221</v>
      </c>
      <c r="G65" s="2775">
        <f t="shared" si="18"/>
        <v>43132</v>
      </c>
      <c r="H65" s="2775">
        <f t="shared" si="18"/>
        <v>43040</v>
      </c>
      <c r="I65" s="2775">
        <f t="shared" si="18"/>
        <v>42948</v>
      </c>
      <c r="J65" s="2775">
        <f t="shared" si="18"/>
        <v>42856</v>
      </c>
      <c r="K65" s="2775">
        <f t="shared" si="18"/>
        <v>42767</v>
      </c>
      <c r="L65" s="2775">
        <f t="shared" si="18"/>
        <v>42675</v>
      </c>
      <c r="M65" s="2775">
        <f t="shared" si="18"/>
        <v>42583</v>
      </c>
      <c r="N65" s="2775">
        <f t="shared" si="18"/>
        <v>42491</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5" customFormat="1" ht="15">
      <c r="A67" s="2545" t="s">
        <v>2533</v>
      </c>
      <c r="B67" s="646"/>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8"/>
      <c r="P67" s="2159"/>
      <c r="Q67" s="2160"/>
      <c r="R67" s="2160"/>
      <c r="S67" s="2160"/>
      <c r="T67" s="2160"/>
      <c r="U67" s="2160"/>
      <c r="V67" s="2160"/>
      <c r="W67" s="2160"/>
      <c r="X67" s="2160"/>
      <c r="Y67" s="2160"/>
      <c r="Z67" s="2160"/>
      <c r="AA67" s="2160"/>
      <c r="AB67" s="2160"/>
      <c r="AC67" s="2160"/>
    </row>
    <row r="68" spans="1:29" s="1218" customFormat="1" ht="27.75" customHeight="1">
      <c r="A68" s="2774" t="s">
        <v>2648</v>
      </c>
      <c r="B68" s="479" t="str">
        <f>"北京市平均增长率"&amp;TEXT(基准地价!P24,"0.00%")</f>
        <v>北京市平均增长率1.42%</v>
      </c>
      <c r="C68" s="894">
        <v>100</v>
      </c>
      <c r="D68" s="730"/>
      <c r="E68" s="730"/>
      <c r="F68" s="730"/>
      <c r="G68" s="730"/>
      <c r="H68" s="730"/>
      <c r="I68" s="730"/>
      <c r="J68" s="730"/>
      <c r="K68" s="730"/>
      <c r="L68" s="730"/>
      <c r="M68" s="2768"/>
      <c r="N68" s="2769"/>
      <c r="O68" s="2161"/>
      <c r="P68" s="2157"/>
      <c r="Q68" s="1992"/>
      <c r="R68" s="1992"/>
      <c r="S68" s="1992"/>
      <c r="T68" s="1992"/>
      <c r="U68" s="1992"/>
      <c r="V68" s="1992"/>
      <c r="W68" s="1992"/>
      <c r="X68" s="1992"/>
      <c r="Y68" s="1992"/>
      <c r="Z68" s="1992"/>
      <c r="AA68" s="1992"/>
      <c r="AB68" s="1992"/>
      <c r="AC68" s="1992"/>
    </row>
    <row r="69" spans="1:29" s="1218" customFormat="1" ht="15.75" thickBot="1">
      <c r="A69" s="653" t="s">
        <v>575</v>
      </c>
      <c r="B69" s="654"/>
      <c r="C69" s="2766"/>
      <c r="D69" s="2767"/>
      <c r="E69" s="2767"/>
      <c r="F69" s="2767"/>
      <c r="G69" s="2767"/>
      <c r="H69" s="2767"/>
      <c r="I69" s="2767"/>
      <c r="J69" s="2767"/>
      <c r="K69" s="2767"/>
      <c r="L69" s="2767"/>
      <c r="M69" s="2767"/>
      <c r="N69" s="2767"/>
      <c r="O69" s="2161"/>
      <c r="P69" s="2157"/>
      <c r="Q69" s="2157"/>
      <c r="R69" s="1992"/>
      <c r="S69" s="1992"/>
      <c r="T69" s="1992"/>
      <c r="U69" s="1992"/>
      <c r="V69" s="1992"/>
      <c r="W69" s="1992"/>
      <c r="X69" s="1992"/>
      <c r="Y69" s="1992"/>
      <c r="Z69" s="1992"/>
      <c r="AA69" s="1992"/>
      <c r="AB69" s="1992"/>
      <c r="AC69" s="1992"/>
    </row>
    <row r="70" spans="1:29" s="1218"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7"/>
      <c r="B93" s="1895" t="s">
        <v>2548</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7"/>
      <c r="B95" s="2574" t="s">
        <v>2550</v>
      </c>
      <c r="C95" s="2575" t="s">
        <v>2551</v>
      </c>
      <c r="D95" s="2575" t="s">
        <v>2552</v>
      </c>
      <c r="E95" s="2575" t="s">
        <v>2553</v>
      </c>
      <c r="F95" s="2575" t="s">
        <v>2554</v>
      </c>
      <c r="G95" s="2575"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7"/>
      <c r="B96" s="681"/>
      <c r="C96" s="679">
        <v>100</v>
      </c>
      <c r="D96" s="679">
        <f>C96-$K27</f>
        <v>100</v>
      </c>
      <c r="E96" s="679">
        <f>D96-$K27</f>
        <v>100</v>
      </c>
      <c r="F96" s="679">
        <f>E96-$K27</f>
        <v>100</v>
      </c>
      <c r="G96" s="679">
        <f>F96-$K27</f>
        <v>100</v>
      </c>
      <c r="H96" s="683"/>
      <c r="I96" s="683"/>
      <c r="J96" s="683"/>
      <c r="K96" s="683"/>
      <c r="L96" s="683"/>
      <c r="M96" s="2567"/>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O24" sqref="O24"/>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0</v>
      </c>
      <c r="E1" s="1405" t="s">
        <v>2427</v>
      </c>
      <c r="F1" s="2429"/>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2" t="s">
        <v>2761</v>
      </c>
      <c r="S1" s="2912" t="s">
        <v>2762</v>
      </c>
      <c r="T1" s="2912" t="s">
        <v>2783</v>
      </c>
      <c r="U1" s="2912" t="s">
        <v>2784</v>
      </c>
      <c r="V1" s="2912" t="s">
        <v>2785</v>
      </c>
      <c r="W1" s="2188"/>
      <c r="X1" s="2188"/>
      <c r="Y1" s="2188"/>
      <c r="Z1" s="2188"/>
      <c r="AA1" s="2188"/>
      <c r="AB1" s="2188"/>
      <c r="AC1" s="2189"/>
    </row>
    <row r="2" spans="1:39" ht="15.75">
      <c r="A2" s="1405" t="s">
        <v>919</v>
      </c>
      <c r="B2" s="1036" t="e">
        <f ca="1">C26</f>
        <v>#DIV/0!</v>
      </c>
      <c r="C2" s="1406" t="s">
        <v>920</v>
      </c>
      <c r="D2" s="1407" t="s">
        <v>921</v>
      </c>
      <c r="E2" s="1408" t="s">
        <v>922</v>
      </c>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3">
        <v>1</v>
      </c>
      <c r="S2" s="2913">
        <f>ROUND(IF(G3&gt;1,IF(R2&lt;7,SUMPRODUCT((B93:B98=R2)*(C92:N92=G2)*(C93:N98)),SUMIF(C92:N92,G2,C100:N100)),IF(R2&lt;7,SUMPRODUCT((B102:B107=R2)*(C92:N92=G2)*(C102:N107)),SUMIF(C92:N92,G2,C109:N109))),4)</f>
        <v>0</v>
      </c>
      <c r="T2" s="2913" t="e">
        <f ca="1">ROUND($C$5*$C$18*$C$19*$C$20*S2*$C$24,0)</f>
        <v>#DIV/0!</v>
      </c>
      <c r="U2" s="2902"/>
      <c r="V2" s="2913" t="e">
        <f ca="1">ROUND(T2*U2/10000,0)</f>
        <v>#DIV/0!</v>
      </c>
      <c r="W2" s="2188"/>
      <c r="X2" s="2188"/>
      <c r="Y2" s="2188"/>
      <c r="Z2" s="2188"/>
      <c r="AA2" s="2188"/>
      <c r="AB2" s="2188"/>
      <c r="AC2" s="2189"/>
    </row>
    <row r="3" spans="1:39" ht="24">
      <c r="A3" s="1410" t="s">
        <v>1687</v>
      </c>
      <c r="B3" s="1036" t="e">
        <f ca="1">ROUND(B2*10000/D1,0)</f>
        <v>#DIV/0!</v>
      </c>
      <c r="C3" s="1406" t="s">
        <v>926</v>
      </c>
      <c r="D3" s="1407" t="s">
        <v>927</v>
      </c>
      <c r="E3" s="1411" t="s">
        <v>3263</v>
      </c>
      <c r="F3" s="1412" t="s">
        <v>2935</v>
      </c>
      <c r="G3" s="1037">
        <f>IF(F3="宗地容积率",'数据-汇总表'!I4,IF(F3="估价对象容积率",'数据-汇总表'!I6,'数据-汇总表'!I7))</f>
        <v>2.8</v>
      </c>
      <c r="H3" s="1413" t="s">
        <v>928</v>
      </c>
      <c r="I3" s="1038">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3">
        <v>2</v>
      </c>
      <c r="S3" s="2913">
        <f>ROUND(IF(G3&gt;1,IF(R3&lt;7,SUMPRODUCT((B93:B98=R3)*(C92:N92=G2)*(C93:N98)),SUMIF(C92:N92,G2,C100:N100)),IF(R3&lt;7,SUMPRODUCT((B102:B107=R3)*(C92:N92=G2)*(C102:N107)),SUMIF(C92:N92,G2,C109:N109))),4)</f>
        <v>0</v>
      </c>
      <c r="T3" s="2913" t="e">
        <f t="shared" ref="T3:T16" ca="1" si="0">ROUND($C$5*$C$18*$C$19*$C$20*S3*$C$24,0)</f>
        <v>#DIV/0!</v>
      </c>
      <c r="U3" s="2902"/>
      <c r="V3" s="2913" t="e">
        <f t="shared" ref="V3:V16" ca="1" si="1">ROUND(T3*U3/10000,0)</f>
        <v>#DIV/0!</v>
      </c>
      <c r="W3" s="2188"/>
      <c r="X3" s="2188"/>
      <c r="Y3" s="2188"/>
      <c r="Z3" s="2188"/>
      <c r="AA3" s="2188"/>
      <c r="AB3" s="2188"/>
      <c r="AC3" s="2189"/>
    </row>
    <row r="4" spans="1:39" ht="28.5">
      <c r="A4" s="1890" t="s">
        <v>2280</v>
      </c>
      <c r="B4" s="2430"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3">
        <v>3</v>
      </c>
      <c r="S4" s="2913">
        <f>ROUND(IF(G3&gt;1,IF(R4&lt;7,SUMPRODUCT((B93:B98=R4)*(C92:N92=G2)*(C93:N98)),SUMIF(C92:N92,G2,C100:N100)),IF(R4&lt;7,SUMPRODUCT((B102:B107=R4)*(C92:N92=G2)*(C102:N107)),SUMIF(C92:N92,G2,C109:N109))),4)</f>
        <v>0</v>
      </c>
      <c r="T4" s="2913" t="e">
        <f t="shared" ca="1" si="0"/>
        <v>#DIV/0!</v>
      </c>
      <c r="U4" s="2902"/>
      <c r="V4" s="2913" t="e">
        <f t="shared" ca="1" si="1"/>
        <v>#DIV/0!</v>
      </c>
      <c r="W4" s="2188"/>
      <c r="X4" s="2188"/>
      <c r="Y4" s="2188"/>
      <c r="Z4" s="2188"/>
      <c r="AA4" s="2188"/>
      <c r="AB4" s="2188"/>
      <c r="AC4" s="2189"/>
    </row>
    <row r="5" spans="1:39" s="1420" customFormat="1" ht="15.75" thickBot="1">
      <c r="A5" s="1637" t="s">
        <v>1823</v>
      </c>
      <c r="B5" s="1414" t="s">
        <v>930</v>
      </c>
      <c r="C5" s="1039" t="e">
        <f>ROUND(IF(E2="商业",IF(F16="增加",C6*C7+C16,C6*C7-C16),IF(E2="住宅",IF(F16="增加",C6*C12+C16,C6*C12-C16),IF(F16="增加",C6+C16,C6-C16))),0)</f>
        <v>#DIV/0!</v>
      </c>
      <c r="D5" s="3094" t="e">
        <f>ROUND(IF(F16="增加",C6+C16,C6-C16),0)</f>
        <v>#DIV/0!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3">
        <v>4</v>
      </c>
      <c r="S5" s="2913">
        <f>ROUND(IF(G3&gt;1,IF(R5&lt;7,SUMPRODUCT((B93:B98=R5)*(C92:N92=G2)*(C93:N98)),SUMIF(C92:N92,G2,C100:N100)),IF(R5&lt;7,SUMPRODUCT((B102:B107=R5)*(C92:N92=G2)*(C102:N107)),SUMIF(C92:N92,G2,C109:N109))),4)</f>
        <v>0</v>
      </c>
      <c r="T5" s="2913" t="e">
        <f t="shared" ca="1" si="0"/>
        <v>#DIV/0!</v>
      </c>
      <c r="U5" s="2902"/>
      <c r="V5" s="2913" t="e">
        <f t="shared" ca="1"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13">
        <v>5</v>
      </c>
      <c r="S6" s="2913">
        <f>ROUND(IF(G3&gt;1,IF(R6&lt;7,SUMPRODUCT((B93:B98=R6)*(C92:N92=G2)*(C93:N98)),SUMIF(C92:N92,G2,C100:N100)),IF(R6&lt;7,SUMPRODUCT((B102:B107=R6)*(C92:N92=G2)*(C102:N107)),SUMIF(C92:N92,G2,C109:N109))),4)</f>
        <v>0</v>
      </c>
      <c r="T6" s="2913" t="e">
        <f t="shared" ca="1" si="0"/>
        <v>#DIV/0!</v>
      </c>
      <c r="U6" s="2902"/>
      <c r="V6" s="2913" t="e">
        <f t="shared" ca="1" si="1"/>
        <v>#DIV/0!</v>
      </c>
      <c r="W6" s="2188"/>
      <c r="X6" s="2188"/>
      <c r="Y6" s="2188"/>
      <c r="Z6" s="2188"/>
      <c r="AA6" s="2188"/>
      <c r="AB6" s="2188"/>
      <c r="AC6" s="2190"/>
      <c r="AD6" s="1418"/>
      <c r="AE6" s="1418"/>
      <c r="AF6" s="1418"/>
      <c r="AG6" s="1418"/>
      <c r="AH6" s="1418"/>
      <c r="AI6" s="1418"/>
      <c r="AJ6" s="1419"/>
    </row>
    <row r="7" spans="1:39" ht="24">
      <c r="A7" s="3494" t="str">
        <f>IF(E2="商业",IF(C8="不临58条商业街","",2),"")</f>
        <v/>
      </c>
      <c r="B7" s="1426" t="s">
        <v>931</v>
      </c>
      <c r="C7" s="1041" t="e">
        <f>IF(C8="不临58条商业街",1,ROUND(1+(1.6*E8+1.2*E9+0.8*E10+0.4*E11)*C9,4))</f>
        <v>#DIV/0!</v>
      </c>
      <c r="D7" s="1427" t="s">
        <v>932</v>
      </c>
      <c r="E7" s="1042"/>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3">
        <v>6</v>
      </c>
      <c r="S7" s="2913">
        <f>ROUND(IF(G3&gt;1,IF(R7&lt;7,SUMPRODUCT((B93:B98=R7)*(C92:N92=G2)*(C93:N98)),SUMIF(C92:N92,G2,C100:N100)),IF(R7&lt;7,SUMPRODUCT((B102:B107=R7)*(C92:N92=G2)*(C102:N107)),SUMIF(C92:N92,G2,C109:N109))),4)</f>
        <v>0</v>
      </c>
      <c r="T7" s="2913" t="e">
        <f t="shared" ca="1" si="0"/>
        <v>#DIV/0!</v>
      </c>
      <c r="U7" s="2902"/>
      <c r="V7" s="2913" t="e">
        <f t="shared" ca="1" si="1"/>
        <v>#DIV/0!</v>
      </c>
      <c r="W7" s="2911" t="s">
        <v>2764</v>
      </c>
      <c r="X7" s="2903">
        <f>G2</f>
        <v>0</v>
      </c>
      <c r="Y7" s="2903" t="s">
        <v>2765</v>
      </c>
      <c r="Z7" s="2904">
        <f>G3</f>
        <v>2.8</v>
      </c>
      <c r="AA7" s="2191"/>
      <c r="AB7" s="2191"/>
      <c r="AC7" s="2192"/>
      <c r="AD7" s="2905"/>
      <c r="AE7" s="2905"/>
      <c r="AF7" s="2905"/>
      <c r="AG7" s="2905"/>
      <c r="AH7" s="2905"/>
      <c r="AI7" s="2905"/>
      <c r="AJ7" s="2906"/>
    </row>
    <row r="8" spans="1:39" ht="15">
      <c r="A8" s="3495"/>
      <c r="B8" s="1413" t="s">
        <v>933</v>
      </c>
      <c r="C8" s="1528"/>
      <c r="D8" s="1043" t="s">
        <v>934</v>
      </c>
      <c r="E8" s="1044" t="e">
        <f>ROUND(C11/E7,4)</f>
        <v>#DIV/0!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3">
        <v>7</v>
      </c>
      <c r="S8" s="2902"/>
      <c r="T8" s="2913" t="e">
        <f t="shared" ca="1" si="0"/>
        <v>#DIV/0!</v>
      </c>
      <c r="U8" s="2902"/>
      <c r="V8" s="2913" t="e">
        <f t="shared" ca="1" si="1"/>
        <v>#DIV/0!</v>
      </c>
      <c r="W8" s="3486" t="s">
        <v>2782</v>
      </c>
      <c r="X8" s="3487"/>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95"/>
      <c r="B9" s="1413" t="s">
        <v>936</v>
      </c>
      <c r="C9" s="1045">
        <f>SUMIF(修正!C59:C119,C8,修正!E59:E119)</f>
        <v>0</v>
      </c>
      <c r="D9" s="1046" t="s">
        <v>937</v>
      </c>
      <c r="E9" s="1046" t="e">
        <f>ROUND(C11/E7,4)</f>
        <v>#DIV/0!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3">
        <v>8</v>
      </c>
      <c r="S9" s="2902"/>
      <c r="T9" s="2913" t="e">
        <f t="shared" ca="1" si="0"/>
        <v>#DIV/0!</v>
      </c>
      <c r="U9" s="2902"/>
      <c r="V9" s="2913" t="e">
        <f t="shared" ca="1" si="1"/>
        <v>#DIV/0!</v>
      </c>
      <c r="W9" s="3485" t="s">
        <v>2778</v>
      </c>
      <c r="X9" s="2907" t="s">
        <v>2779</v>
      </c>
      <c r="Y9" s="3072"/>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95"/>
      <c r="B10" s="1413" t="s">
        <v>939</v>
      </c>
      <c r="C10" s="1046">
        <f>SUMIF(修正!C59:C119,C8,修正!F59:F119)</f>
        <v>0</v>
      </c>
      <c r="D10" s="1046" t="s">
        <v>940</v>
      </c>
      <c r="E10" s="1046" t="e">
        <f>ROUND(C11/E7,4)</f>
        <v>#DIV/0!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3">
        <v>9</v>
      </c>
      <c r="S10" s="2902"/>
      <c r="T10" s="2913" t="e">
        <f t="shared" ca="1" si="0"/>
        <v>#DIV/0!</v>
      </c>
      <c r="U10" s="2902"/>
      <c r="V10" s="2913" t="e">
        <f t="shared" ca="1" si="1"/>
        <v>#DIV/0!</v>
      </c>
      <c r="W10" s="3485"/>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95"/>
      <c r="B11" s="1434" t="s">
        <v>942</v>
      </c>
      <c r="C11" s="1047">
        <f>C10/4</f>
        <v>0</v>
      </c>
      <c r="D11" s="1047" t="s">
        <v>943</v>
      </c>
      <c r="E11" s="1047" t="e">
        <f>ROUND(C11/E7,4)</f>
        <v>#DIV/0!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3">
        <v>10</v>
      </c>
      <c r="S11" s="2902"/>
      <c r="T11" s="2913" t="e">
        <f t="shared" ca="1" si="0"/>
        <v>#DIV/0!</v>
      </c>
      <c r="U11" s="2902"/>
      <c r="V11" s="2913" t="e">
        <f t="shared" ca="1" si="1"/>
        <v>#DIV/0!</v>
      </c>
      <c r="W11" s="3485" t="s">
        <v>2780</v>
      </c>
      <c r="X11" s="1046" t="s">
        <v>2765</v>
      </c>
      <c r="Y11" s="1652">
        <f>$G$3</f>
        <v>2.8</v>
      </c>
      <c r="Z11" s="1652">
        <f t="shared" ref="Z11:AJ11" si="3">$G$3</f>
        <v>2.8</v>
      </c>
      <c r="AA11" s="1652">
        <f t="shared" si="3"/>
        <v>2.8</v>
      </c>
      <c r="AB11" s="1652">
        <f t="shared" si="3"/>
        <v>2.8</v>
      </c>
      <c r="AC11" s="1652">
        <f t="shared" si="3"/>
        <v>2.8</v>
      </c>
      <c r="AD11" s="1652">
        <f t="shared" si="3"/>
        <v>2.8</v>
      </c>
      <c r="AE11" s="1652">
        <f t="shared" si="3"/>
        <v>2.8</v>
      </c>
      <c r="AF11" s="1652">
        <f t="shared" si="3"/>
        <v>2.8</v>
      </c>
      <c r="AG11" s="1652">
        <f t="shared" si="3"/>
        <v>2.8</v>
      </c>
      <c r="AH11" s="1652">
        <f t="shared" si="3"/>
        <v>2.8</v>
      </c>
      <c r="AI11" s="1652">
        <f t="shared" si="3"/>
        <v>2.8</v>
      </c>
      <c r="AJ11" s="1652">
        <f t="shared" si="3"/>
        <v>2.8</v>
      </c>
    </row>
    <row r="12" spans="1:39" ht="25.5" thickBot="1">
      <c r="A12" s="3494" t="s">
        <v>1871</v>
      </c>
      <c r="B12" s="1438" t="s">
        <v>945</v>
      </c>
      <c r="C12" s="1041">
        <f>ROUND(C15*D15*E15*F15*G15*H15*I15*J15,4)</f>
        <v>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3">
        <v>11</v>
      </c>
      <c r="S12" s="2902"/>
      <c r="T12" s="2913" t="e">
        <f t="shared" ca="1" si="0"/>
        <v>#DIV/0!</v>
      </c>
      <c r="U12" s="2902"/>
      <c r="V12" s="2913" t="e">
        <f t="shared" ca="1" si="1"/>
        <v>#DIV/0!</v>
      </c>
      <c r="W12" s="3485"/>
      <c r="X12" s="2910" t="s">
        <v>2781</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96"/>
      <c r="B13" s="1443" t="s">
        <v>1696</v>
      </c>
      <c r="C13" s="1444" t="s">
        <v>1697</v>
      </c>
      <c r="D13" s="1087" t="s">
        <v>1698</v>
      </c>
      <c r="E13" s="1087" t="s">
        <v>1699</v>
      </c>
      <c r="F13" s="1445" t="s">
        <v>947</v>
      </c>
      <c r="G13" s="1446" t="s">
        <v>1642</v>
      </c>
      <c r="H13" s="1447" t="s">
        <v>1642</v>
      </c>
      <c r="I13" s="1448" t="s">
        <v>1642</v>
      </c>
      <c r="J13" s="1449" t="s">
        <v>1642</v>
      </c>
      <c r="K13" s="1400"/>
      <c r="L13" s="2188"/>
      <c r="M13" s="2188"/>
      <c r="N13" s="2188"/>
      <c r="O13" s="2188"/>
      <c r="P13" s="2188"/>
      <c r="Q13" s="2188"/>
      <c r="R13" s="2913">
        <v>12</v>
      </c>
      <c r="S13" s="2902"/>
      <c r="T13" s="2913" t="e">
        <f t="shared" ca="1" si="0"/>
        <v>#DIV/0!</v>
      </c>
      <c r="U13" s="2902"/>
      <c r="V13" s="2913" t="e">
        <f t="shared" ca="1" si="1"/>
        <v>#DIV/0!</v>
      </c>
      <c r="W13" s="3485"/>
      <c r="X13" s="2910"/>
      <c r="Y13" s="2909">
        <f>(-0.163*(Y12^2)-0.59*Y12+7617)*(10^(-4))/Y11</f>
        <v>0.27203571428571433</v>
      </c>
      <c r="Z13" s="2909">
        <f t="shared" ref="Z13:AJ13" si="5">(-0.163*(Z12^2)-0.59*Z12+7617)*(10^(-4))/Z11</f>
        <v>0.27203571428571433</v>
      </c>
      <c r="AA13" s="2909">
        <f t="shared" si="5"/>
        <v>0.27203571428571433</v>
      </c>
      <c r="AB13" s="2909">
        <f t="shared" si="5"/>
        <v>0.27203571428571433</v>
      </c>
      <c r="AC13" s="2909">
        <f t="shared" si="5"/>
        <v>0.27203571428571433</v>
      </c>
      <c r="AD13" s="2909">
        <f t="shared" si="5"/>
        <v>0.27203571428571433</v>
      </c>
      <c r="AE13" s="2909">
        <f t="shared" si="5"/>
        <v>0.27203571428571433</v>
      </c>
      <c r="AF13" s="2909">
        <f t="shared" si="5"/>
        <v>0.27203571428571433</v>
      </c>
      <c r="AG13" s="2909">
        <f t="shared" si="5"/>
        <v>0.27203571428571433</v>
      </c>
      <c r="AH13" s="2909">
        <f t="shared" si="5"/>
        <v>0.27203571428571433</v>
      </c>
      <c r="AI13" s="2909">
        <f t="shared" si="5"/>
        <v>0.27203571428571433</v>
      </c>
      <c r="AJ13" s="2909">
        <f t="shared" si="5"/>
        <v>0.27203571428571433</v>
      </c>
    </row>
    <row r="14" spans="1:39" ht="12.75" customHeight="1" thickBot="1">
      <c r="A14" s="3496"/>
      <c r="B14" s="1450"/>
      <c r="C14" s="1451"/>
      <c r="D14" s="1452"/>
      <c r="E14" s="1452"/>
      <c r="F14" s="1453"/>
      <c r="G14" s="1454" t="s">
        <v>948</v>
      </c>
      <c r="H14" s="1455"/>
      <c r="I14" s="1456"/>
      <c r="J14" s="1457"/>
      <c r="K14" s="1400"/>
      <c r="L14" s="2188"/>
      <c r="M14" s="2188"/>
      <c r="N14" s="2188"/>
      <c r="O14" s="2188"/>
      <c r="P14" s="2188"/>
      <c r="Q14" s="2188"/>
      <c r="R14" s="2913">
        <v>13</v>
      </c>
      <c r="S14" s="2902"/>
      <c r="T14" s="2913" t="e">
        <f t="shared" ca="1" si="0"/>
        <v>#DIV/0!</v>
      </c>
      <c r="U14" s="2902"/>
      <c r="V14" s="2913" t="e">
        <f t="shared" ca="1" si="1"/>
        <v>#DIV/0!</v>
      </c>
      <c r="W14" s="2188"/>
      <c r="X14" s="2188"/>
      <c r="Y14" s="2188"/>
      <c r="Z14" s="2188"/>
      <c r="AA14" s="2188"/>
      <c r="AB14" s="2188"/>
      <c r="AC14" s="2189"/>
    </row>
    <row r="15" spans="1:39" ht="13.5" customHeight="1" thickBot="1">
      <c r="A15" s="3497"/>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8"/>
      <c r="R15" s="2913">
        <v>14</v>
      </c>
      <c r="S15" s="2902"/>
      <c r="T15" s="2913" t="e">
        <f t="shared" ca="1" si="0"/>
        <v>#DIV/0!</v>
      </c>
      <c r="U15" s="2902"/>
      <c r="V15" s="2913" t="e">
        <f t="shared" ca="1" si="1"/>
        <v>#DIV/0!</v>
      </c>
      <c r="W15" s="2188"/>
      <c r="X15" s="2188"/>
      <c r="Y15" s="2188"/>
      <c r="Z15" s="2188"/>
      <c r="AA15" s="2188"/>
      <c r="AB15" s="2188"/>
      <c r="AC15" s="2189"/>
    </row>
    <row r="16" spans="1:39" ht="24">
      <c r="A16" s="3494"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1"/>
      <c r="R16" s="2913">
        <v>15</v>
      </c>
      <c r="S16" s="2902"/>
      <c r="T16" s="2913" t="e">
        <f t="shared" ca="1" si="0"/>
        <v>#DIV/0!</v>
      </c>
      <c r="U16" s="2902"/>
      <c r="V16" s="2913" t="e">
        <f t="shared" ca="1" si="1"/>
        <v>#DIV/0!</v>
      </c>
      <c r="W16" s="2191"/>
      <c r="X16" s="2191"/>
      <c r="Y16" s="2191"/>
      <c r="Z16" s="2191"/>
      <c r="AA16" s="2191"/>
      <c r="AB16" s="2191"/>
      <c r="AC16" s="2192"/>
    </row>
    <row r="17" spans="1:40" ht="13.5" thickBot="1">
      <c r="A17" s="3495"/>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48" t="s">
        <v>955</v>
      </c>
      <c r="C18" s="2749">
        <f>SUMIF(修正!C18:C39,E3,修正!E18:E39)</f>
        <v>1</v>
      </c>
      <c r="D18" s="2750"/>
      <c r="E18" s="2751"/>
      <c r="F18" s="2752"/>
      <c r="G18" s="2746"/>
      <c r="H18" s="2746"/>
      <c r="I18" s="2746"/>
      <c r="J18" s="2753"/>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5">
        <f>ROUND(IF(H19="按公示增长率计算",SUMPRODUCT((地价!A3:A25=YEAR(G19)&amp;"-"&amp;ROUNDUP(MONTH(G19)/3,0))*(地价!X2:AB2=E2)*(地价!X3:AB25)),IF(H19="地价指数",M20/M19,(1+I19)^O19)),4)</f>
        <v>1.5673999999999999</v>
      </c>
      <c r="D19" s="1473" t="s">
        <v>957</v>
      </c>
      <c r="E19" s="1056">
        <v>41640</v>
      </c>
      <c r="F19" s="1473" t="s">
        <v>958</v>
      </c>
      <c r="G19" s="1057">
        <f>'数据-取费表'!B2</f>
        <v>43510</v>
      </c>
      <c r="H19" s="1474" t="s">
        <v>2936</v>
      </c>
      <c r="I19" s="2760" t="str">
        <f>IF(H19="季度增幅（自定义）",SUMIF(N21:N24,E2,O21:O24),"")</f>
        <v/>
      </c>
      <c r="J19" s="1470"/>
      <c r="K19" s="1480"/>
      <c r="L19" s="3013" t="s">
        <v>2840</v>
      </c>
      <c r="M19" s="3014">
        <f>ROUND(SUMIF(地价!B2:F2,E2,地价!B25:F25),0)</f>
        <v>423</v>
      </c>
      <c r="N19" s="2762" t="s">
        <v>1676</v>
      </c>
      <c r="O19" s="2761">
        <f>ROUNDDOWN(DATEDIF(E19,G19,"M")/3,0)</f>
        <v>20</v>
      </c>
      <c r="P19" s="1595"/>
      <c r="R19" s="2901"/>
      <c r="S19" s="2901"/>
      <c r="T19" s="2901"/>
      <c r="U19" s="2901"/>
      <c r="V19" s="2901"/>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4" t="s">
        <v>1836</v>
      </c>
      <c r="B20" s="2755" t="s">
        <v>971</v>
      </c>
      <c r="C20" s="2756">
        <f ca="1">ROUND(POWER(1+G20,J20-I20)*(POWER(1+G20,I20)-1)/(POWER(1+G20,J20)-1),4)</f>
        <v>0.95250000000000001</v>
      </c>
      <c r="D20" s="2757" t="s">
        <v>972</v>
      </c>
      <c r="E20" s="3069">
        <f ca="1">存贷款利率!I4/100</f>
        <v>4.3499999999999997E-2</v>
      </c>
      <c r="F20" s="2757" t="s">
        <v>973</v>
      </c>
      <c r="G20" s="2758">
        <f ca="1">SUMIF(M15:P15,E2,M17:P17)</f>
        <v>0.05</v>
      </c>
      <c r="H20" s="2757" t="s">
        <v>974</v>
      </c>
      <c r="I20" s="2747">
        <f>SUMIF('数据-取费表'!C6:C15,E2,'数据-取费表'!F6:F15)/COUNTIF('数据-取费表'!C6:C15,E2)</f>
        <v>52.07</v>
      </c>
      <c r="J20" s="2759">
        <f>IF(E2="住宅",70,IF(E2="商业",40,50))</f>
        <v>70</v>
      </c>
      <c r="K20" s="1480"/>
      <c r="L20" s="3015" t="s">
        <v>2841</v>
      </c>
      <c r="M20" s="3016">
        <f>ROUND(SUMPRODUCT((地价!A4:A25=YEAR(G19)&amp;"-"&amp;ROUNDUP(MONTH(G19)/3,0))*(地价!B2:F2=E2)*(地价!B4:F25)),0)</f>
        <v>663</v>
      </c>
      <c r="N20" s="2765" t="s">
        <v>2645</v>
      </c>
      <c r="O20" s="2763" t="s">
        <v>2644</v>
      </c>
      <c r="P20" s="2764" t="s">
        <v>2649</v>
      </c>
      <c r="R20" s="2901"/>
      <c r="S20" s="2901"/>
      <c r="T20" s="2901"/>
      <c r="U20" s="2901"/>
      <c r="V20" s="2901"/>
      <c r="W20" s="2194"/>
      <c r="X20" s="2194"/>
      <c r="Y20" s="2194"/>
      <c r="Z20" s="2194"/>
      <c r="AA20" s="2194"/>
      <c r="AB20" s="2194"/>
      <c r="AC20" s="2194"/>
      <c r="AD20" s="1471"/>
      <c r="AE20" s="1471"/>
      <c r="AF20" s="1471"/>
      <c r="AG20" s="1471"/>
      <c r="AH20" s="1471"/>
      <c r="AI20" s="1471"/>
    </row>
    <row r="21" spans="1:40" s="1420" customFormat="1" ht="14.25">
      <c r="A21" s="1641" t="s">
        <v>1837</v>
      </c>
      <c r="B21" s="1479" t="s">
        <v>2760</v>
      </c>
      <c r="C21" s="1156">
        <f>IF(B21="容积率修正",IF(G3&lt;=10,D22,J22),C23)</f>
        <v>0</v>
      </c>
      <c r="D21" s="1480"/>
      <c r="E21" s="1480"/>
      <c r="F21" s="1480"/>
      <c r="G21" s="1480"/>
      <c r="H21" s="1480"/>
      <c r="I21" s="1480"/>
      <c r="J21" s="1481"/>
      <c r="K21" s="1480"/>
      <c r="L21" s="1480"/>
      <c r="M21" s="1480"/>
      <c r="N21" s="1477" t="s">
        <v>975</v>
      </c>
      <c r="O21" s="1541"/>
      <c r="P21" s="2745">
        <f>SUMPRODUCT((地价!A3:A25=YEAR(G19)&amp;"-"&amp;ROUNDUP(MONTH(G19)/3,0))*(地价!AD2:AH2=N21)*(地价!AD3:AH25))</f>
        <v>1.5100000000000001E-2</v>
      </c>
      <c r="R21" s="2901"/>
      <c r="S21" s="2901"/>
      <c r="T21" s="2901"/>
      <c r="U21" s="2901"/>
      <c r="V21" s="2901"/>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8" t="s">
        <v>1702</v>
      </c>
      <c r="D22" s="1058">
        <f>IF(E22=G22,F22,IF(G3&lt;=10,ROUND(F22+(H22-F22)*(G3-E22)/(G22-E22),4),"——"))</f>
        <v>0</v>
      </c>
      <c r="E22" s="1037">
        <f>ROUNDDOWN(G3,1)</f>
        <v>2.8</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45">
        <f>SUMPRODUCT((地价!A3:A25=YEAR(G19)&amp;"-"&amp;ROUNDUP(MONTH(G19)/3,0))*(地价!AD2:AH2=N22)*(地价!AD3:AH25))</f>
        <v>1.5100000000000001E-2</v>
      </c>
      <c r="R22" s="2901"/>
      <c r="S22" s="2901"/>
      <c r="T22" s="2901"/>
      <c r="U22" s="2901"/>
      <c r="V22" s="2901"/>
      <c r="W22" s="2194"/>
      <c r="X22" s="2194"/>
      <c r="Y22" s="2194"/>
      <c r="Z22" s="2194"/>
      <c r="AA22" s="2194"/>
      <c r="AB22" s="2194"/>
      <c r="AC22" s="2194"/>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45">
        <f>SUMPRODUCT((地价!A3:A25=YEAR(G19)&amp;"-"&amp;ROUNDUP(MONTH(G19)/3,0))*(地价!AD2:AH2=N23)*(地价!AD3:AH25))</f>
        <v>2.3400000000000001E-2</v>
      </c>
      <c r="R23" s="2901"/>
      <c r="S23" s="2901"/>
      <c r="T23" s="2901"/>
      <c r="U23" s="2901"/>
      <c r="V23" s="2901"/>
      <c r="W23" s="2194"/>
      <c r="X23" s="2194"/>
      <c r="Y23" s="2194"/>
      <c r="Z23" s="2194"/>
      <c r="AA23" s="2194"/>
      <c r="AB23" s="2194"/>
      <c r="AC23" s="2194"/>
      <c r="AN23" s="1403"/>
    </row>
    <row r="24" spans="1:40" s="1420" customFormat="1" ht="15.75" thickBot="1">
      <c r="A24" s="1640" t="s">
        <v>1872</v>
      </c>
      <c r="B24" s="1414" t="s">
        <v>980</v>
      </c>
      <c r="C24" s="1060">
        <f>SUMIF(A44:A87,E2,B44:B87)</f>
        <v>1</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1"/>
      <c r="S24" s="2901"/>
      <c r="T24" s="2901"/>
      <c r="U24" s="2901"/>
      <c r="V24" s="2901"/>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3" t="s">
        <v>2647</v>
      </c>
      <c r="O25" s="2194"/>
      <c r="P25" s="1540">
        <f>SUMPRODUCT((地价!A3:A25=YEAR(G19)&amp;"-"&amp;ROUNDUP(MONTH(G19)/3,0))*(地价!AD2:AH2=N25)*(地价!AD3:AH25))</f>
        <v>2.1299999999999999E-2</v>
      </c>
      <c r="R25" s="2901"/>
      <c r="S25" s="2901"/>
      <c r="T25" s="2901"/>
      <c r="U25" s="2901"/>
      <c r="V25" s="2901"/>
      <c r="W25" s="2194"/>
      <c r="X25" s="2194"/>
      <c r="Y25" s="2194"/>
      <c r="Z25" s="2194"/>
      <c r="AA25" s="2194"/>
      <c r="AB25" s="2194"/>
      <c r="AC25" s="2194"/>
    </row>
    <row r="26" spans="1:40" ht="14.25">
      <c r="A26" s="1488"/>
      <c r="B26" s="1482" t="s">
        <v>986</v>
      </c>
      <c r="C26" s="1061" t="e">
        <f ca="1">E29+SUM(E33:E39)</f>
        <v>#DIV/0!</v>
      </c>
      <c r="D26" s="1489"/>
      <c r="E26" s="1455"/>
      <c r="F26" s="1490"/>
      <c r="G26" s="1455"/>
      <c r="H26" s="1455"/>
      <c r="I26" s="1455"/>
      <c r="J26" s="1491"/>
      <c r="K26" s="1400"/>
      <c r="L26" s="2194"/>
      <c r="M26" s="2194"/>
      <c r="N26" s="2194"/>
      <c r="O26" s="2194"/>
      <c r="P26" s="2194"/>
      <c r="Q26" s="2194"/>
      <c r="R26" s="2901"/>
      <c r="S26" s="2901"/>
      <c r="T26" s="2901"/>
      <c r="U26" s="2901"/>
      <c r="V26" s="2901"/>
      <c r="W26" s="2194"/>
      <c r="X26" s="2194"/>
      <c r="Y26" s="2194"/>
      <c r="Z26" s="2194"/>
      <c r="AA26" s="2194"/>
      <c r="AB26" s="2194"/>
      <c r="AC26" s="2194"/>
      <c r="AD26" s="1471"/>
      <c r="AE26" s="1471"/>
      <c r="AF26" s="1471"/>
      <c r="AG26" s="1471"/>
    </row>
    <row r="27" spans="1:40" ht="15" thickBot="1">
      <c r="A27" s="1488"/>
      <c r="B27" s="1492" t="s">
        <v>988</v>
      </c>
      <c r="C27" s="1062" t="e">
        <f ca="1">E30+SUM(I33:I39)</f>
        <v>#DIV/0!</v>
      </c>
      <c r="D27" s="1493"/>
      <c r="E27" s="1494"/>
      <c r="F27" s="1495"/>
      <c r="G27" s="1494"/>
      <c r="H27" s="1494"/>
      <c r="I27" s="1494"/>
      <c r="J27" s="1496"/>
      <c r="K27" s="1400"/>
      <c r="L27" s="2194"/>
      <c r="M27" s="2194"/>
      <c r="N27" s="2194"/>
      <c r="O27" s="2194"/>
      <c r="P27" s="2194"/>
      <c r="Q27" s="2194"/>
      <c r="R27" s="2901"/>
      <c r="S27" s="2901"/>
      <c r="T27" s="2901"/>
      <c r="U27" s="2901"/>
      <c r="V27" s="2901"/>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1"/>
      <c r="S28" s="2901"/>
      <c r="T28" s="2901"/>
      <c r="U28" s="2901"/>
      <c r="V28" s="2901"/>
      <c r="W28" s="2194"/>
      <c r="X28" s="2194"/>
      <c r="Y28" s="2194"/>
      <c r="Z28" s="2194"/>
      <c r="AA28" s="2194"/>
      <c r="AB28" s="2194"/>
      <c r="AC28" s="2194"/>
      <c r="AD28" s="1471"/>
      <c r="AE28" s="1471"/>
      <c r="AF28" s="1471"/>
      <c r="AG28" s="1471"/>
    </row>
    <row r="29" spans="1:40" ht="24">
      <c r="A29" s="1501"/>
      <c r="B29" s="1502" t="s">
        <v>993</v>
      </c>
      <c r="C29" s="1061" t="e">
        <f ca="1">ROUND(C5*C18*C19*C20*C21*C24,0)</f>
        <v>#DIV/0!</v>
      </c>
      <c r="D29" s="1503"/>
      <c r="E29" s="1848" t="e">
        <f ca="1">ROUND(C29*D29/10000,0)</f>
        <v>#DIV/0!</v>
      </c>
      <c r="F29" s="1504" t="s">
        <v>1701</v>
      </c>
      <c r="G29" s="1505"/>
      <c r="H29" s="1505"/>
      <c r="I29" s="1505"/>
      <c r="J29" s="1506"/>
      <c r="K29" s="1400"/>
      <c r="L29" s="2194"/>
      <c r="M29" s="2194"/>
      <c r="N29" s="2194"/>
      <c r="O29" s="2194"/>
      <c r="P29" s="2194"/>
      <c r="Q29" s="2194"/>
      <c r="R29" s="2901"/>
      <c r="S29" s="2901"/>
      <c r="T29" s="2901"/>
      <c r="U29" s="2901"/>
      <c r="V29" s="2901"/>
      <c r="W29" s="2194"/>
      <c r="X29" s="2194"/>
      <c r="Y29" s="2194"/>
      <c r="Z29" s="2194"/>
      <c r="AA29" s="2194"/>
      <c r="AB29" s="2194"/>
      <c r="AC29" s="2194"/>
      <c r="AH29" s="1401"/>
      <c r="AI29" s="1401"/>
      <c r="AJ29" s="1404"/>
      <c r="AK29" s="1404"/>
      <c r="AL29" s="1404"/>
      <c r="AM29" s="1404"/>
    </row>
    <row r="30" spans="1:40" ht="24.75" thickBot="1">
      <c r="A30" s="1507"/>
      <c r="B30" s="1508" t="s">
        <v>994</v>
      </c>
      <c r="C30" s="1049" t="e">
        <f ca="1">ROUND(IF(E2="工业",C29*M39,C29*M38),0)</f>
        <v>#DIV/0!</v>
      </c>
      <c r="D30" s="1509"/>
      <c r="E30" s="1848" t="e">
        <f ca="1">ROUND(C30*D30/10000,0)</f>
        <v>#DIV/0!</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500" t="s">
        <v>2962</v>
      </c>
      <c r="B33" s="1523" t="s">
        <v>999</v>
      </c>
      <c r="C33" s="1061" t="e">
        <f ca="1">ROUND(D5*C19*C20*C24*F33,0)</f>
        <v>#DIV/0!</v>
      </c>
      <c r="D33" s="1536"/>
      <c r="E33" s="1046" t="e">
        <f ca="1">ROUND(C33*D33/10000,0)</f>
        <v>#DIV/0!</v>
      </c>
      <c r="F33" s="1046">
        <f>SUMIF(修正!A45:A56,G2,修正!B45:B56)</f>
        <v>0</v>
      </c>
      <c r="G33" s="1046" t="e">
        <f t="shared" ref="G33" ca="1" si="6">ROUND(IF(E2="工业",C33*$M$39,C33*$M$38),0)</f>
        <v>#DIV/0!</v>
      </c>
      <c r="H33" s="1046">
        <f>D33</f>
        <v>0</v>
      </c>
      <c r="I33" s="1046" t="e">
        <f ca="1">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501"/>
      <c r="B34" s="1444" t="s">
        <v>1000</v>
      </c>
      <c r="C34" s="1061" t="e">
        <f ca="1">ROUND(D5*C19*C20*C24*F34,0)</f>
        <v>#DIV/0!</v>
      </c>
      <c r="D34" s="1536"/>
      <c r="E34" s="1046" t="e">
        <f t="shared" ref="E34:E39" ca="1" si="7">ROUND(C34*D34/10000,0)</f>
        <v>#DIV/0!</v>
      </c>
      <c r="F34" s="1046">
        <f>SUMIF(修正!A45:A56,G2,修正!C45:C56)</f>
        <v>0</v>
      </c>
      <c r="G34" s="1046" t="e">
        <f ca="1">ROUND(IF(E2="工业",C34*$M$39,C34*$M$38),0)</f>
        <v>#DIV/0!</v>
      </c>
      <c r="H34" s="1046">
        <f t="shared" ref="H34:H39" si="8">D34</f>
        <v>0</v>
      </c>
      <c r="I34" s="1046" t="e">
        <f t="shared" ref="I34:I39" ca="1"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501"/>
      <c r="B35" s="1444" t="s">
        <v>1001</v>
      </c>
      <c r="C35" s="1061" t="e">
        <f ca="1">ROUND(D5*C19*C20*C24*F35,0)</f>
        <v>#DIV/0!</v>
      </c>
      <c r="D35" s="1536"/>
      <c r="E35" s="1046" t="e">
        <f t="shared" ca="1" si="7"/>
        <v>#DIV/0!</v>
      </c>
      <c r="F35" s="1046">
        <f>SUMIF(修正!A45:A56,G2,修正!D45:D56)</f>
        <v>0</v>
      </c>
      <c r="G35" s="1046" t="e">
        <f ca="1">ROUND(IF(E2="工业",C35*$M$39,C35*$M$38),0)</f>
        <v>#DIV/0!</v>
      </c>
      <c r="H35" s="1046">
        <f t="shared" si="8"/>
        <v>0</v>
      </c>
      <c r="I35" s="1046" t="e">
        <f t="shared" ca="1"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502"/>
      <c r="B36" s="1444" t="s">
        <v>1002</v>
      </c>
      <c r="C36" s="1061" t="e">
        <f ca="1">ROUND(D5*C19*C20*C24*F36,0)</f>
        <v>#DIV/0!</v>
      </c>
      <c r="D36" s="1536"/>
      <c r="E36" s="1046" t="e">
        <f t="shared" ca="1" si="7"/>
        <v>#DIV/0!</v>
      </c>
      <c r="F36" s="1046">
        <f>SUMIF(修正!A45:A56,G2,修正!E45:E56)</f>
        <v>0</v>
      </c>
      <c r="G36" s="1046" t="e">
        <f ca="1">ROUND(IF(E2="工业",C36*$M$39,C36*$M$38),0)</f>
        <v>#DIV/0!</v>
      </c>
      <c r="H36" s="1046">
        <f t="shared" si="8"/>
        <v>0</v>
      </c>
      <c r="I36" s="1046" t="e">
        <f t="shared" ca="1"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6" t="e">
        <f ca="1">ROUND(D5*C19*C20*C24*F37,0)</f>
        <v>#DIV/0!</v>
      </c>
      <c r="D37" s="1536"/>
      <c r="E37" s="1046" t="e">
        <f t="shared" ca="1" si="7"/>
        <v>#DIV/0!</v>
      </c>
      <c r="F37" s="1061">
        <f>SUMIF(修正!A45:A56,G2,修正!F45:F56)</f>
        <v>0</v>
      </c>
      <c r="G37" s="1046" t="e">
        <f ca="1">ROUND(IF(E2="工业",C37*$M$39,C37*$M$38),0)</f>
        <v>#DIV/0!</v>
      </c>
      <c r="H37" s="1046">
        <f t="shared" si="8"/>
        <v>0</v>
      </c>
      <c r="I37" s="1046" t="e">
        <f t="shared" ca="1" si="9"/>
        <v>#DIV/0!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6" t="e">
        <f ca="1">ROUND(D5*C19*C41*C24*F38,0)</f>
        <v>#DIV/0!</v>
      </c>
      <c r="D38" s="1536"/>
      <c r="E38" s="1046" t="e">
        <f t="shared" ca="1" si="7"/>
        <v>#DIV/0!</v>
      </c>
      <c r="F38" s="1061">
        <f>SUMIF(修正!A45:A56,G2,修正!G45:G56)</f>
        <v>0</v>
      </c>
      <c r="G38" s="1046" t="e">
        <f ca="1">ROUND(IF(E2="工业",C38*$M$39,C38*$M$38),0)</f>
        <v>#DIV/0!</v>
      </c>
      <c r="H38" s="1046">
        <f t="shared" si="8"/>
        <v>0</v>
      </c>
      <c r="I38" s="1046" t="e">
        <f t="shared" ca="1" si="9"/>
        <v>#DIV/0!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49" t="e">
        <f ca="1">ROUND(D5*C19*C41*C24*F39,0)</f>
        <v>#DIV/0!</v>
      </c>
      <c r="D39" s="1537"/>
      <c r="E39" s="1049" t="e">
        <f t="shared" ca="1" si="7"/>
        <v>#DIV/0!</v>
      </c>
      <c r="F39" s="1063">
        <f>SUMIF(修正!A45:A56,G2,修正!H45:H56)</f>
        <v>0</v>
      </c>
      <c r="G39" s="1049" t="e">
        <f ca="1">ROUND(IF(E2="工业",C39*$M$39,C39*$M$38),0)</f>
        <v>#DIV/0!</v>
      </c>
      <c r="H39" s="1049">
        <f t="shared" si="8"/>
        <v>0</v>
      </c>
      <c r="I39" s="1049" t="e">
        <f t="shared" ca="1" si="9"/>
        <v>#DIV/0!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2989</v>
      </c>
      <c r="C41" s="839">
        <f ca="1">ROUND(POWER(1+E41,H41-G41)*(POWER(1+E41,G41)-1)/(POWER(1+E41,H41)-1),4)</f>
        <v>0</v>
      </c>
      <c r="D41" s="378" t="s">
        <v>2987</v>
      </c>
      <c r="E41" s="3171">
        <f ca="1">G20</f>
        <v>0.05</v>
      </c>
      <c r="F41" s="378" t="s">
        <v>2988</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6" t="s">
        <v>1006</v>
      </c>
      <c r="B44" s="2397"/>
      <c r="C44" s="2398"/>
      <c r="D44" s="2399"/>
      <c r="E44" s="2399"/>
      <c r="F44" s="2400"/>
      <c r="G44" s="1064"/>
      <c r="H44" s="2400"/>
      <c r="I44" s="1064"/>
      <c r="J44" s="1064"/>
      <c r="K44" s="1064"/>
      <c r="L44" s="1064"/>
      <c r="M44" s="1064"/>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1" t="s">
        <v>1007</v>
      </c>
      <c r="B45" s="2402">
        <f>1+E47</f>
        <v>1</v>
      </c>
      <c r="C45" s="2403"/>
      <c r="D45" s="2404"/>
      <c r="E45" s="2405"/>
      <c r="F45" s="2406"/>
      <c r="G45" s="2400"/>
      <c r="H45" s="2400"/>
      <c r="I45" s="1064"/>
      <c r="J45" s="1064"/>
      <c r="K45" s="1064"/>
      <c r="L45" s="1064"/>
      <c r="M45" s="1064"/>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5" t="s">
        <v>1008</v>
      </c>
      <c r="B46" s="2385" t="s">
        <v>1009</v>
      </c>
      <c r="C46" s="2407" t="s">
        <v>1010</v>
      </c>
      <c r="D46" s="2408" t="s">
        <v>1011</v>
      </c>
      <c r="E46" s="2409" t="s">
        <v>1013</v>
      </c>
      <c r="F46" s="2410" t="s">
        <v>2250</v>
      </c>
      <c r="G46" s="2408" t="s">
        <v>1014</v>
      </c>
      <c r="H46" s="2391" t="s">
        <v>2418</v>
      </c>
      <c r="I46" s="2408" t="s">
        <v>1012</v>
      </c>
      <c r="J46" s="2411" t="s">
        <v>1015</v>
      </c>
      <c r="K46" s="2411" t="s">
        <v>1016</v>
      </c>
      <c r="L46" s="2411" t="s">
        <v>1017</v>
      </c>
      <c r="M46" s="2411" t="s">
        <v>1018</v>
      </c>
      <c r="N46" s="2411"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5" t="s">
        <v>1020</v>
      </c>
      <c r="B47" s="2388" t="str">
        <f>估价对象房地状况!C16</f>
        <v>估价对象位于XX商圈，周边商业氛围成熟，人流量大，商业繁华度好</v>
      </c>
      <c r="C47" s="1048"/>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5" t="s">
        <v>1021</v>
      </c>
      <c r="B48" s="2385" t="str">
        <f>估价对象房地状况!C18</f>
        <v>估价对象周边道路状况、公共交通通达情况、停车便捷程度，综合评价交通便捷度较好</v>
      </c>
      <c r="C48" s="1048"/>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5" t="s">
        <v>1022</v>
      </c>
      <c r="B49" s="2385">
        <f>估价对象房地状况!C19</f>
        <v>0</v>
      </c>
      <c r="C49" s="1048"/>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5" t="s">
        <v>1023</v>
      </c>
      <c r="B50" s="3071" t="s">
        <v>2938</v>
      </c>
      <c r="C50" s="1048"/>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5" t="s">
        <v>1024</v>
      </c>
      <c r="B51" s="2385">
        <f>估价对象房地状况!C24</f>
        <v>0</v>
      </c>
      <c r="C51" s="1048"/>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5" t="s">
        <v>1025</v>
      </c>
      <c r="B52" s="3070" t="s">
        <v>2937</v>
      </c>
      <c r="C52" s="1048"/>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7" t="s">
        <v>1026</v>
      </c>
      <c r="B53" s="2386" t="str">
        <f>估价对象房地状况!C21</f>
        <v>估价对象所在区域公共配套设施齐备情况</v>
      </c>
      <c r="C53" s="1048"/>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7" t="s">
        <v>1027</v>
      </c>
      <c r="B54" s="2385" t="str">
        <f>估价对象房地状况!C22</f>
        <v>估价对象所在区域基础设施水平</v>
      </c>
      <c r="C54" s="1048"/>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8" t="s">
        <v>1028</v>
      </c>
      <c r="B55" s="2389" t="str">
        <f>估价对象房地状况!C20</f>
        <v>区域自然环境：；人文环境；综合评价环境状况一般</v>
      </c>
      <c r="C55" s="1048"/>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01" t="s">
        <v>1029</v>
      </c>
      <c r="B56" s="2402">
        <f>1+E58</f>
        <v>1</v>
      </c>
      <c r="C56" s="2421"/>
      <c r="D56" s="2404"/>
      <c r="E56" s="2405"/>
      <c r="F56" s="2406"/>
      <c r="G56" s="2400"/>
      <c r="H56" s="2400"/>
      <c r="I56" s="2400"/>
      <c r="J56" s="1064"/>
      <c r="K56" s="1064"/>
      <c r="L56" s="1064"/>
      <c r="M56" s="1064"/>
      <c r="N56" s="1064"/>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5" t="s">
        <v>1008</v>
      </c>
      <c r="B57" s="2385"/>
      <c r="C57" s="2407" t="s">
        <v>1010</v>
      </c>
      <c r="D57" s="2408" t="s">
        <v>1011</v>
      </c>
      <c r="E57" s="2409" t="s">
        <v>1013</v>
      </c>
      <c r="F57" s="2410" t="s">
        <v>2251</v>
      </c>
      <c r="G57" s="2408" t="s">
        <v>1014</v>
      </c>
      <c r="H57" s="2391" t="s">
        <v>2418</v>
      </c>
      <c r="I57" s="2408" t="s">
        <v>1012</v>
      </c>
      <c r="J57" s="2411" t="s">
        <v>1015</v>
      </c>
      <c r="K57" s="2411" t="s">
        <v>1016</v>
      </c>
      <c r="L57" s="2411" t="s">
        <v>1017</v>
      </c>
      <c r="M57" s="2411" t="s">
        <v>1018</v>
      </c>
      <c r="N57" s="2411"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5" t="s">
        <v>1030</v>
      </c>
      <c r="B58" s="2388" t="str">
        <f>估价对象房地状况!C17</f>
        <v>估价对象位于XX商圈，周边办公楼项目较多，入驻率高，办公集聚程度较好</v>
      </c>
      <c r="C58" s="1048"/>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5" t="s">
        <v>1021</v>
      </c>
      <c r="B59" s="2385" t="str">
        <f>估价对象房地状况!C18</f>
        <v>估价对象周边道路状况、公共交通通达情况、停车便捷程度，综合评价交通便捷度较好</v>
      </c>
      <c r="C59" s="1048"/>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5" t="s">
        <v>1022</v>
      </c>
      <c r="B60" s="2385">
        <f>估价对象房地状况!C19</f>
        <v>0</v>
      </c>
      <c r="C60" s="1048"/>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5" t="s">
        <v>1023</v>
      </c>
      <c r="B61" s="3071" t="s">
        <v>2939</v>
      </c>
      <c r="C61" s="1048"/>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5" t="s">
        <v>1024</v>
      </c>
      <c r="B62" s="2385">
        <f>估价对象房地状况!C24</f>
        <v>0</v>
      </c>
      <c r="C62" s="1048"/>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5" t="s">
        <v>1025</v>
      </c>
      <c r="B63" s="3070" t="s">
        <v>2937</v>
      </c>
      <c r="C63" s="1048"/>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5" t="s">
        <v>1026</v>
      </c>
      <c r="B64" s="2386" t="str">
        <f>估价对象房地状况!C21</f>
        <v>估价对象所在区域公共配套设施齐备情况</v>
      </c>
      <c r="C64" s="1048"/>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5" t="s">
        <v>1027</v>
      </c>
      <c r="B65" s="2386" t="str">
        <f>估价对象房地状况!C22</f>
        <v>估价对象所在区域基础设施水平</v>
      </c>
      <c r="C65" s="1048"/>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18" t="s">
        <v>1028</v>
      </c>
      <c r="B66" s="2390" t="str">
        <f>估价对象房地状况!C20</f>
        <v>区域自然环境：；人文环境；综合评价环境状况一般</v>
      </c>
      <c r="C66" s="1048"/>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1" t="s">
        <v>1031</v>
      </c>
      <c r="B67" s="2402">
        <f>1+E69</f>
        <v>1</v>
      </c>
      <c r="C67" s="2421"/>
      <c r="D67" s="2404"/>
      <c r="E67" s="2405"/>
      <c r="F67" s="2406"/>
      <c r="G67" s="2400"/>
      <c r="H67" s="2400"/>
      <c r="I67" s="2400"/>
      <c r="J67" s="1064"/>
      <c r="K67" s="1064"/>
      <c r="L67" s="1064"/>
      <c r="M67" s="1064"/>
      <c r="N67" s="1064"/>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5" t="s">
        <v>1008</v>
      </c>
      <c r="B68" s="2385"/>
      <c r="C68" s="2407" t="s">
        <v>1010</v>
      </c>
      <c r="D68" s="2408" t="s">
        <v>1011</v>
      </c>
      <c r="E68" s="2409" t="s">
        <v>1013</v>
      </c>
      <c r="F68" s="2410" t="s">
        <v>2252</v>
      </c>
      <c r="G68" s="2408" t="s">
        <v>1014</v>
      </c>
      <c r="H68" s="2391" t="s">
        <v>2418</v>
      </c>
      <c r="I68" s="2408" t="s">
        <v>1012</v>
      </c>
      <c r="J68" s="2411" t="s">
        <v>1015</v>
      </c>
      <c r="K68" s="2411" t="s">
        <v>1016</v>
      </c>
      <c r="L68" s="2411" t="s">
        <v>1017</v>
      </c>
      <c r="M68" s="2411" t="s">
        <v>1018</v>
      </c>
      <c r="N68" s="2411"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5" t="s">
        <v>1032</v>
      </c>
      <c r="B69" s="2388" t="str">
        <f>估价对象房地状况!C15</f>
        <v>估价对象周边居住用地比例、居住小区规模和社区发展完善程度，综合评价居住社区成熟度一般</v>
      </c>
      <c r="C69" s="1157"/>
      <c r="D69" s="2394">
        <f t="shared" ref="D69:D77" si="20">SUMIF($J$68:$N$68,C69,J69:N69)</f>
        <v>0</v>
      </c>
      <c r="E69" s="2413">
        <f>ROUND(SUM(D69:D77),4)</f>
        <v>0</v>
      </c>
      <c r="F69" s="2414">
        <f>IF(E2="住宅",SUMIF(L1:L12,G2,N1:N12),"——")</f>
        <v>0</v>
      </c>
      <c r="G69" s="2395"/>
      <c r="H69" s="2439">
        <f t="shared" ref="H69:H77" si="21">IFERROR(ROUNDDOWN($F$69*I69/2,4),"——")</f>
        <v>0</v>
      </c>
      <c r="I69" s="2412">
        <v>0.14000000000000001</v>
      </c>
      <c r="J69" s="2415">
        <f t="shared" ref="J69:J77" si="22">K69+$G69</f>
        <v>0</v>
      </c>
      <c r="K69" s="2415">
        <f t="shared" ref="K69:K77" si="23">$L69+$G69</f>
        <v>0</v>
      </c>
      <c r="L69" s="2415">
        <v>0</v>
      </c>
      <c r="M69" s="2415">
        <f t="shared" ref="M69:N77" si="24">L69-$G69</f>
        <v>0</v>
      </c>
      <c r="N69" s="2415">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5" t="s">
        <v>1033</v>
      </c>
      <c r="B70" s="2385" t="str">
        <f>估价对象房地状况!C18</f>
        <v>估价对象周边道路状况、公共交通通达情况、停车便捷程度，综合评价交通便捷度较好</v>
      </c>
      <c r="C70" s="1157"/>
      <c r="D70" s="2394">
        <f t="shared" si="20"/>
        <v>0</v>
      </c>
      <c r="E70" s="2422"/>
      <c r="F70" s="2423"/>
      <c r="G70" s="2395"/>
      <c r="H70" s="2439">
        <f t="shared" si="21"/>
        <v>0</v>
      </c>
      <c r="I70" s="2412">
        <v>0.3</v>
      </c>
      <c r="J70" s="2415">
        <f t="shared" si="22"/>
        <v>0</v>
      </c>
      <c r="K70" s="2415">
        <f t="shared" si="23"/>
        <v>0</v>
      </c>
      <c r="L70" s="2415">
        <v>0</v>
      </c>
      <c r="M70" s="2415">
        <f t="shared" si="24"/>
        <v>0</v>
      </c>
      <c r="N70" s="2415">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5" t="s">
        <v>1022</v>
      </c>
      <c r="B71" s="2385">
        <f>估价对象房地状况!C19</f>
        <v>0</v>
      </c>
      <c r="C71" s="1157"/>
      <c r="D71" s="2394">
        <f t="shared" si="20"/>
        <v>0</v>
      </c>
      <c r="E71" s="2422"/>
      <c r="F71" s="2423"/>
      <c r="G71" s="2395"/>
      <c r="H71" s="2439">
        <f t="shared" si="21"/>
        <v>0</v>
      </c>
      <c r="I71" s="2412">
        <v>0.08</v>
      </c>
      <c r="J71" s="2415">
        <f t="shared" si="22"/>
        <v>0</v>
      </c>
      <c r="K71" s="2415">
        <f t="shared" si="23"/>
        <v>0</v>
      </c>
      <c r="L71" s="2415">
        <v>0</v>
      </c>
      <c r="M71" s="2415">
        <f t="shared" si="24"/>
        <v>0</v>
      </c>
      <c r="N71" s="2415">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5" t="s">
        <v>1034</v>
      </c>
      <c r="B72" s="2385">
        <f>估价对象房地状况!C24</f>
        <v>0</v>
      </c>
      <c r="C72" s="1157"/>
      <c r="D72" s="2394">
        <f t="shared" si="20"/>
        <v>0</v>
      </c>
      <c r="E72" s="2422"/>
      <c r="F72" s="2423"/>
      <c r="G72" s="2395"/>
      <c r="H72" s="2439">
        <f t="shared" si="21"/>
        <v>0</v>
      </c>
      <c r="I72" s="2412">
        <v>0.04</v>
      </c>
      <c r="J72" s="2415">
        <f t="shared" si="22"/>
        <v>0</v>
      </c>
      <c r="K72" s="2415">
        <f t="shared" si="23"/>
        <v>0</v>
      </c>
      <c r="L72" s="2415">
        <v>0</v>
      </c>
      <c r="M72" s="2415">
        <f t="shared" si="24"/>
        <v>0</v>
      </c>
      <c r="N72" s="2415">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5" t="s">
        <v>1026</v>
      </c>
      <c r="B73" s="2386" t="str">
        <f>估价对象房地状况!C21</f>
        <v>估价对象所在区域公共配套设施齐备情况</v>
      </c>
      <c r="C73" s="1157"/>
      <c r="D73" s="2394">
        <f t="shared" si="20"/>
        <v>0</v>
      </c>
      <c r="E73" s="2422"/>
      <c r="F73" s="2423"/>
      <c r="G73" s="2395"/>
      <c r="H73" s="2439">
        <f t="shared" si="21"/>
        <v>0</v>
      </c>
      <c r="I73" s="2412">
        <v>0.08</v>
      </c>
      <c r="J73" s="2415">
        <f t="shared" si="22"/>
        <v>0</v>
      </c>
      <c r="K73" s="2415">
        <f t="shared" si="23"/>
        <v>0</v>
      </c>
      <c r="L73" s="2415">
        <v>0</v>
      </c>
      <c r="M73" s="2415">
        <f t="shared" si="24"/>
        <v>0</v>
      </c>
      <c r="N73" s="2415">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5" t="s">
        <v>1027</v>
      </c>
      <c r="B74" s="2386" t="str">
        <f>估价对象房地状况!C22</f>
        <v>估价对象所在区域基础设施水平</v>
      </c>
      <c r="C74" s="1157"/>
      <c r="D74" s="2394">
        <f t="shared" si="20"/>
        <v>0</v>
      </c>
      <c r="E74" s="2422"/>
      <c r="F74" s="2423"/>
      <c r="G74" s="2395"/>
      <c r="H74" s="2439">
        <f t="shared" si="21"/>
        <v>0</v>
      </c>
      <c r="I74" s="2412">
        <v>0.12</v>
      </c>
      <c r="J74" s="2415">
        <f t="shared" si="22"/>
        <v>0</v>
      </c>
      <c r="K74" s="2415">
        <f t="shared" si="23"/>
        <v>0</v>
      </c>
      <c r="L74" s="2415">
        <v>0</v>
      </c>
      <c r="M74" s="2415">
        <f t="shared" si="24"/>
        <v>0</v>
      </c>
      <c r="N74" s="2415">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5" t="s">
        <v>1025</v>
      </c>
      <c r="B75" s="3070" t="s">
        <v>2937</v>
      </c>
      <c r="C75" s="1157"/>
      <c r="D75" s="2394">
        <f t="shared" si="20"/>
        <v>0</v>
      </c>
      <c r="E75" s="2422"/>
      <c r="F75" s="2423"/>
      <c r="G75" s="2395"/>
      <c r="H75" s="2439">
        <f t="shared" si="21"/>
        <v>0</v>
      </c>
      <c r="I75" s="2412">
        <v>0.05</v>
      </c>
      <c r="J75" s="2415">
        <f t="shared" si="22"/>
        <v>0</v>
      </c>
      <c r="K75" s="2415">
        <f t="shared" si="23"/>
        <v>0</v>
      </c>
      <c r="L75" s="2415">
        <v>0</v>
      </c>
      <c r="M75" s="2415">
        <f t="shared" si="24"/>
        <v>0</v>
      </c>
      <c r="N75" s="2415">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5" t="s">
        <v>1028</v>
      </c>
      <c r="B76" s="2388" t="str">
        <f>估价对象房地状况!C20</f>
        <v>区域自然环境：；人文环境；综合评价环境状况一般</v>
      </c>
      <c r="C76" s="1157"/>
      <c r="D76" s="2394">
        <f t="shared" si="20"/>
        <v>0</v>
      </c>
      <c r="E76" s="2422"/>
      <c r="F76" s="2423"/>
      <c r="G76" s="2395"/>
      <c r="H76" s="2439">
        <f t="shared" si="21"/>
        <v>0</v>
      </c>
      <c r="I76" s="2412">
        <v>0.15</v>
      </c>
      <c r="J76" s="2415">
        <f t="shared" si="22"/>
        <v>0</v>
      </c>
      <c r="K76" s="2415">
        <f t="shared" si="23"/>
        <v>0</v>
      </c>
      <c r="L76" s="2415">
        <v>0</v>
      </c>
      <c r="M76" s="2415">
        <f t="shared" si="24"/>
        <v>0</v>
      </c>
      <c r="N76" s="2415">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8" t="s">
        <v>1035</v>
      </c>
      <c r="B77" s="1849"/>
      <c r="C77" s="1157"/>
      <c r="D77" s="2394">
        <f t="shared" si="20"/>
        <v>0</v>
      </c>
      <c r="E77" s="2424"/>
      <c r="F77" s="2423"/>
      <c r="G77" s="2395"/>
      <c r="H77" s="2439">
        <f t="shared" si="21"/>
        <v>0</v>
      </c>
      <c r="I77" s="2419">
        <v>0.04</v>
      </c>
      <c r="J77" s="2415">
        <f t="shared" si="22"/>
        <v>0</v>
      </c>
      <c r="K77" s="2415">
        <f t="shared" si="23"/>
        <v>0</v>
      </c>
      <c r="L77" s="2415">
        <v>0</v>
      </c>
      <c r="M77" s="2415">
        <f t="shared" si="24"/>
        <v>0</v>
      </c>
      <c r="N77" s="2415">
        <f t="shared" si="24"/>
        <v>0</v>
      </c>
      <c r="AC77" s="1404"/>
      <c r="AD77" s="1403"/>
      <c r="AJ77" s="1402"/>
      <c r="AN77" s="1403"/>
    </row>
    <row r="78" spans="1:40" ht="15">
      <c r="A78" s="2401" t="s">
        <v>1036</v>
      </c>
      <c r="B78" s="2402">
        <f>1+E80</f>
        <v>1</v>
      </c>
      <c r="C78" s="2421"/>
      <c r="D78" s="2404"/>
      <c r="E78" s="2405"/>
      <c r="F78" s="2406"/>
      <c r="G78" s="2400"/>
      <c r="H78" s="2400"/>
      <c r="I78" s="2400"/>
      <c r="J78" s="1064"/>
      <c r="K78" s="1064"/>
      <c r="L78" s="1064"/>
      <c r="M78" s="1064"/>
      <c r="N78" s="1064"/>
      <c r="AC78" s="1404"/>
      <c r="AD78" s="1403"/>
      <c r="AJ78" s="1402"/>
      <c r="AN78" s="1403"/>
    </row>
    <row r="79" spans="1:40" ht="24">
      <c r="A79" s="1065" t="s">
        <v>1008</v>
      </c>
      <c r="B79" s="2385"/>
      <c r="C79" s="2407" t="s">
        <v>1010</v>
      </c>
      <c r="D79" s="2408" t="s">
        <v>1011</v>
      </c>
      <c r="E79" s="2409" t="s">
        <v>1013</v>
      </c>
      <c r="F79" s="2410" t="s">
        <v>2253</v>
      </c>
      <c r="G79" s="2408" t="s">
        <v>1014</v>
      </c>
      <c r="H79" s="2391" t="s">
        <v>2418</v>
      </c>
      <c r="I79" s="2408" t="s">
        <v>1012</v>
      </c>
      <c r="J79" s="2411" t="s">
        <v>1015</v>
      </c>
      <c r="K79" s="2411" t="s">
        <v>1016</v>
      </c>
      <c r="L79" s="2411" t="s">
        <v>1017</v>
      </c>
      <c r="M79" s="2411" t="s">
        <v>1018</v>
      </c>
      <c r="N79" s="2411" t="s">
        <v>1019</v>
      </c>
      <c r="AC79" s="1404"/>
      <c r="AD79" s="1403"/>
      <c r="AJ79" s="1402"/>
      <c r="AN79" s="1403"/>
    </row>
    <row r="80" spans="1:40" ht="36">
      <c r="A80" s="1065" t="s">
        <v>1037</v>
      </c>
      <c r="B80" s="2385" t="str">
        <f>估价对象房地状况!G15</f>
        <v>估价对象位于XX开发区，园区建设成熟度XX，产业集聚程度XX</v>
      </c>
      <c r="C80" s="1048"/>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4"/>
      <c r="AD80" s="1403"/>
      <c r="AJ80" s="1402"/>
      <c r="AN80" s="1403"/>
    </row>
    <row r="81" spans="1:40" ht="48">
      <c r="A81" s="1065" t="s">
        <v>1033</v>
      </c>
      <c r="B81" s="2385" t="str">
        <f>估价对象房地状况!G16</f>
        <v>估价对象周边道路状况、公共交通通达情况、停车便捷程度，综合评价交通便捷度较好</v>
      </c>
      <c r="C81" s="1048"/>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4"/>
      <c r="AD81" s="1403"/>
      <c r="AJ81" s="1402"/>
      <c r="AN81" s="1403"/>
    </row>
    <row r="82" spans="1:40" ht="24">
      <c r="A82" s="1065" t="s">
        <v>1022</v>
      </c>
      <c r="B82" s="2385">
        <f>估价对象房地状况!G17</f>
        <v>0</v>
      </c>
      <c r="C82" s="1048"/>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4"/>
      <c r="AD82" s="1403"/>
      <c r="AJ82" s="1402"/>
      <c r="AN82" s="1403"/>
    </row>
    <row r="83" spans="1:40" ht="14.25">
      <c r="A83" s="1065" t="s">
        <v>1034</v>
      </c>
      <c r="B83" s="2385">
        <f>估价对象房地状况!G22</f>
        <v>0</v>
      </c>
      <c r="C83" s="1048"/>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4"/>
      <c r="AD83" s="1403"/>
      <c r="AJ83" s="1402"/>
      <c r="AN83" s="1403"/>
    </row>
    <row r="84" spans="1:40" ht="24">
      <c r="A84" s="1065" t="s">
        <v>1026</v>
      </c>
      <c r="B84" s="2386" t="str">
        <f>估价对象房地状况!G19</f>
        <v>估价对象所在区域公共配套设施齐备情况</v>
      </c>
      <c r="C84" s="1048"/>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4"/>
      <c r="AD84" s="1403"/>
      <c r="AJ84" s="1402"/>
      <c r="AN84" s="1403"/>
    </row>
    <row r="85" spans="1:40" ht="24">
      <c r="A85" s="1065" t="s">
        <v>1027</v>
      </c>
      <c r="B85" s="2386" t="str">
        <f>估价对象房地状况!G20</f>
        <v>估价对象所在区域基础设施水平</v>
      </c>
      <c r="C85" s="1048"/>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4"/>
      <c r="AD85" s="1403"/>
      <c r="AJ85" s="1402"/>
      <c r="AN85" s="1403"/>
    </row>
    <row r="86" spans="1:40" ht="24">
      <c r="A86" s="1065" t="s">
        <v>1025</v>
      </c>
      <c r="B86" s="3070" t="s">
        <v>2937</v>
      </c>
      <c r="C86" s="1048"/>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4"/>
      <c r="AD86" s="1403"/>
      <c r="AJ86" s="1402"/>
      <c r="AN86" s="1403"/>
    </row>
    <row r="87" spans="1:40" ht="36.75" thickBot="1">
      <c r="A87" s="2418" t="s">
        <v>1038</v>
      </c>
      <c r="B87" s="2387" t="str">
        <f>估价对象房地状况!G18</f>
        <v>该园区内是否有污染型企业，绿化情况，卫生条件，整体环境状况判断</v>
      </c>
      <c r="C87" s="1048"/>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4"/>
      <c r="AD87" s="1403"/>
      <c r="AJ87" s="1402"/>
      <c r="AN87" s="1403"/>
    </row>
    <row r="90" spans="1:40">
      <c r="A90" s="3498" t="s">
        <v>1633</v>
      </c>
      <c r="B90" s="3498"/>
      <c r="C90" s="3498"/>
      <c r="D90" s="3498"/>
      <c r="E90" s="3498"/>
      <c r="F90" s="3498"/>
      <c r="G90" s="3498"/>
      <c r="H90" s="3498"/>
      <c r="I90" s="3498"/>
      <c r="J90" s="3498"/>
      <c r="K90" s="2427"/>
      <c r="L90" s="2427"/>
      <c r="M90" s="2427"/>
      <c r="N90" s="2427"/>
    </row>
    <row r="91" spans="1:40">
      <c r="A91" s="3499" t="s">
        <v>1443</v>
      </c>
      <c r="B91" s="3499" t="s">
        <v>1634</v>
      </c>
      <c r="C91" s="1138" t="s">
        <v>1635</v>
      </c>
      <c r="D91" s="1139"/>
      <c r="E91" s="1139"/>
      <c r="F91" s="1139"/>
      <c r="G91" s="1139"/>
      <c r="H91" s="1139"/>
      <c r="I91" s="1139"/>
      <c r="J91" s="1140"/>
      <c r="K91" s="1132"/>
      <c r="L91" s="1132"/>
      <c r="M91" s="1132"/>
      <c r="N91" s="1132"/>
    </row>
    <row r="92" spans="1:40">
      <c r="A92" s="3499"/>
      <c r="B92" s="3499"/>
      <c r="C92" s="2426" t="s">
        <v>906</v>
      </c>
      <c r="D92" s="2426" t="s">
        <v>884</v>
      </c>
      <c r="E92" s="2426" t="s">
        <v>885</v>
      </c>
      <c r="F92" s="2426" t="s">
        <v>909</v>
      </c>
      <c r="G92" s="2426" t="s">
        <v>887</v>
      </c>
      <c r="H92" s="2426" t="s">
        <v>888</v>
      </c>
      <c r="I92" s="2426" t="s">
        <v>889</v>
      </c>
      <c r="J92" s="2426" t="s">
        <v>890</v>
      </c>
      <c r="K92" s="2426" t="s">
        <v>914</v>
      </c>
      <c r="L92" s="2426" t="s">
        <v>892</v>
      </c>
      <c r="M92" s="2426" t="s">
        <v>893</v>
      </c>
      <c r="N92" s="2426" t="s">
        <v>917</v>
      </c>
    </row>
    <row r="93" spans="1:40">
      <c r="A93" s="3488"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8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8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8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8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8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89"/>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9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88" t="s">
        <v>1637</v>
      </c>
      <c r="B101" s="1145" t="s">
        <v>905</v>
      </c>
      <c r="C101" s="1146">
        <f>$G$3</f>
        <v>2.8</v>
      </c>
      <c r="D101" s="1146">
        <f t="shared" ref="D101:N101" si="31">$G$3</f>
        <v>2.8</v>
      </c>
      <c r="E101" s="1146">
        <f t="shared" si="31"/>
        <v>2.8</v>
      </c>
      <c r="F101" s="1146">
        <f t="shared" si="31"/>
        <v>2.8</v>
      </c>
      <c r="G101" s="1146">
        <f t="shared" si="31"/>
        <v>2.8</v>
      </c>
      <c r="H101" s="1146">
        <f t="shared" si="31"/>
        <v>2.8</v>
      </c>
      <c r="I101" s="1146">
        <f t="shared" si="31"/>
        <v>2.8</v>
      </c>
      <c r="J101" s="1146">
        <f t="shared" si="31"/>
        <v>2.8</v>
      </c>
      <c r="K101" s="1146">
        <f t="shared" si="31"/>
        <v>2.8</v>
      </c>
      <c r="L101" s="1146">
        <f t="shared" si="31"/>
        <v>2.8</v>
      </c>
      <c r="M101" s="1146">
        <f t="shared" si="31"/>
        <v>2.8</v>
      </c>
      <c r="N101" s="1146">
        <f t="shared" si="31"/>
        <v>2.8</v>
      </c>
    </row>
    <row r="102" spans="1:14">
      <c r="A102" s="3489"/>
      <c r="B102" s="1141">
        <v>1</v>
      </c>
      <c r="C102" s="1142">
        <f>1.9362/C101</f>
        <v>0.6915</v>
      </c>
      <c r="D102" s="1142">
        <f>1.9362/D101</f>
        <v>0.6915</v>
      </c>
      <c r="E102" s="1142">
        <f>1.8629/E101</f>
        <v>0.66532142857142862</v>
      </c>
      <c r="F102" s="1142">
        <f>1.8629/F101</f>
        <v>0.66532142857142862</v>
      </c>
      <c r="G102" s="1142">
        <f>1.8629/G101</f>
        <v>0.66532142857142862</v>
      </c>
      <c r="H102" s="1142">
        <f>1.8629/H101</f>
        <v>0.66532142857142862</v>
      </c>
      <c r="I102" s="1142">
        <f>1.8629/I101</f>
        <v>0.66532142857142862</v>
      </c>
      <c r="J102" s="1142">
        <f>1.942/J101</f>
        <v>0.69357142857142862</v>
      </c>
      <c r="K102" s="1142">
        <f>1.942/K101</f>
        <v>0.69357142857142862</v>
      </c>
      <c r="L102" s="1142">
        <f>1.942/L101</f>
        <v>0.69357142857142862</v>
      </c>
      <c r="M102" s="1142">
        <f>1.942/M101</f>
        <v>0.69357142857142862</v>
      </c>
      <c r="N102" s="1142">
        <f>1.942/N101</f>
        <v>0.69357142857142862</v>
      </c>
    </row>
    <row r="103" spans="1:14">
      <c r="A103" s="3489"/>
      <c r="B103" s="1141">
        <v>2</v>
      </c>
      <c r="C103" s="1142">
        <f>1.4198/C101</f>
        <v>0.50707142857142862</v>
      </c>
      <c r="D103" s="1142">
        <f>1.4198/D101</f>
        <v>0.50707142857142862</v>
      </c>
      <c r="E103" s="1142">
        <f>1.3372/E101</f>
        <v>0.47757142857142859</v>
      </c>
      <c r="F103" s="1142">
        <f>1.3372/F101</f>
        <v>0.47757142857142859</v>
      </c>
      <c r="G103" s="1142">
        <f>1.3372/G101</f>
        <v>0.47757142857142859</v>
      </c>
      <c r="H103" s="1142">
        <f>1.3372/H101</f>
        <v>0.47757142857142859</v>
      </c>
      <c r="I103" s="1142">
        <f>1.3372/I101</f>
        <v>0.47757142857142859</v>
      </c>
      <c r="J103" s="1142">
        <f>1.2799/J101</f>
        <v>0.45710714285714288</v>
      </c>
      <c r="K103" s="1142">
        <f>1.2799/K101</f>
        <v>0.45710714285714288</v>
      </c>
      <c r="L103" s="1142">
        <f>1.2799/L101</f>
        <v>0.45710714285714288</v>
      </c>
      <c r="M103" s="1142">
        <f>1.2799/M101</f>
        <v>0.45710714285714288</v>
      </c>
      <c r="N103" s="1142">
        <f>1.2799/N101</f>
        <v>0.45710714285714288</v>
      </c>
    </row>
    <row r="104" spans="1:14">
      <c r="A104" s="3489"/>
      <c r="B104" s="1141">
        <v>3</v>
      </c>
      <c r="C104" s="1142">
        <f>1.1594/C101</f>
        <v>0.41407142857142859</v>
      </c>
      <c r="D104" s="1142">
        <f>1.1594/D101</f>
        <v>0.41407142857142859</v>
      </c>
      <c r="E104" s="1142">
        <f>1.0788/E101</f>
        <v>0.38528571428571429</v>
      </c>
      <c r="F104" s="1142">
        <f>1.0788/F101</f>
        <v>0.38528571428571429</v>
      </c>
      <c r="G104" s="1142">
        <f>1.0788/G101</f>
        <v>0.38528571428571429</v>
      </c>
      <c r="H104" s="1142">
        <f>1.0788/H101</f>
        <v>0.38528571428571429</v>
      </c>
      <c r="I104" s="1142">
        <f>1.0788/I101</f>
        <v>0.38528571428571429</v>
      </c>
      <c r="J104" s="1142">
        <f>1.0072/J101</f>
        <v>0.35971428571428576</v>
      </c>
      <c r="K104" s="1142">
        <f>1.0072/K101</f>
        <v>0.35971428571428576</v>
      </c>
      <c r="L104" s="1142">
        <f>1.0072/L101</f>
        <v>0.35971428571428576</v>
      </c>
      <c r="M104" s="1142">
        <f>1.0072/M101</f>
        <v>0.35971428571428576</v>
      </c>
      <c r="N104" s="1142">
        <f>1.0072/N101</f>
        <v>0.35971428571428576</v>
      </c>
    </row>
    <row r="105" spans="1:14">
      <c r="A105" s="3489"/>
      <c r="B105" s="1141">
        <v>4</v>
      </c>
      <c r="C105" s="1142">
        <f>0.9622/C101</f>
        <v>0.34364285714285719</v>
      </c>
      <c r="D105" s="1142">
        <f>0.9622/D101</f>
        <v>0.34364285714285719</v>
      </c>
      <c r="E105" s="1142">
        <f>0.8656/E101</f>
        <v>0.30914285714285716</v>
      </c>
      <c r="F105" s="1142">
        <f>0.8656/F101</f>
        <v>0.30914285714285716</v>
      </c>
      <c r="G105" s="1142">
        <f>0.8656/G101</f>
        <v>0.30914285714285716</v>
      </c>
      <c r="H105" s="1142">
        <f>0.8656/H101</f>
        <v>0.30914285714285716</v>
      </c>
      <c r="I105" s="1142">
        <f>0.8656/I101</f>
        <v>0.30914285714285716</v>
      </c>
      <c r="J105" s="1142">
        <f>0.7525/J101</f>
        <v>0.26874999999999999</v>
      </c>
      <c r="K105" s="1142">
        <f>0.7525/K101</f>
        <v>0.26874999999999999</v>
      </c>
      <c r="L105" s="1142">
        <f>0.7525/L101</f>
        <v>0.26874999999999999</v>
      </c>
      <c r="M105" s="1142">
        <f>0.7525/M101</f>
        <v>0.26874999999999999</v>
      </c>
      <c r="N105" s="1142">
        <f>0.7525/N101</f>
        <v>0.26874999999999999</v>
      </c>
    </row>
    <row r="106" spans="1:14">
      <c r="A106" s="3489"/>
      <c r="B106" s="1141">
        <v>5</v>
      </c>
      <c r="C106" s="1142">
        <f>0.8417/C101</f>
        <v>0.30060714285714285</v>
      </c>
      <c r="D106" s="1142">
        <f>0.8417/D101</f>
        <v>0.30060714285714285</v>
      </c>
      <c r="E106" s="1142">
        <f>0.7371/E101</f>
        <v>0.26324999999999998</v>
      </c>
      <c r="F106" s="1142">
        <f>0.7371/F101</f>
        <v>0.26324999999999998</v>
      </c>
      <c r="G106" s="1142">
        <f>0.7371/G101</f>
        <v>0.26324999999999998</v>
      </c>
      <c r="H106" s="1142">
        <f>0.7371/H101</f>
        <v>0.26324999999999998</v>
      </c>
      <c r="I106" s="1142">
        <f>0.7371/I101</f>
        <v>0.26324999999999998</v>
      </c>
      <c r="J106" s="1142">
        <f>0.5659/J101</f>
        <v>0.20210714285714285</v>
      </c>
      <c r="K106" s="1142">
        <f>0.5659/K101</f>
        <v>0.20210714285714285</v>
      </c>
      <c r="L106" s="1142">
        <f>0.5659/L101</f>
        <v>0.20210714285714285</v>
      </c>
      <c r="M106" s="1142">
        <f>0.5659/M101</f>
        <v>0.20210714285714285</v>
      </c>
      <c r="N106" s="1142">
        <f>0.5659/N101</f>
        <v>0.20210714285714285</v>
      </c>
    </row>
    <row r="107" spans="1:14">
      <c r="A107" s="3489"/>
      <c r="B107" s="1141">
        <v>6</v>
      </c>
      <c r="C107" s="1142">
        <f>0.7608/C101</f>
        <v>0.27171428571428574</v>
      </c>
      <c r="D107" s="1142">
        <f>0.7608/D101</f>
        <v>0.27171428571428574</v>
      </c>
      <c r="E107" s="1142">
        <f>0.6482/E101</f>
        <v>0.23150000000000001</v>
      </c>
      <c r="F107" s="1142">
        <f>0.6482/F101</f>
        <v>0.23150000000000001</v>
      </c>
      <c r="G107" s="1142">
        <f>0.6482/G101</f>
        <v>0.23150000000000001</v>
      </c>
      <c r="H107" s="1142">
        <f>0.6482/H101</f>
        <v>0.23150000000000001</v>
      </c>
      <c r="I107" s="1142">
        <f>0.6482/I101</f>
        <v>0.23150000000000001</v>
      </c>
      <c r="J107" s="1142">
        <f>0.4525/J101</f>
        <v>0.16160714285714287</v>
      </c>
      <c r="K107" s="1142">
        <f>0.4525/K101</f>
        <v>0.16160714285714287</v>
      </c>
      <c r="L107" s="1142">
        <f>0.4525/L101</f>
        <v>0.16160714285714287</v>
      </c>
      <c r="M107" s="1142">
        <f>0.4525/M101</f>
        <v>0.16160714285714287</v>
      </c>
      <c r="N107" s="1142">
        <f>0.4525/N101</f>
        <v>0.16160714285714287</v>
      </c>
    </row>
    <row r="108" spans="1:14">
      <c r="A108" s="3489"/>
      <c r="B108" s="3491"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90"/>
      <c r="B109" s="3492"/>
      <c r="C109" s="1144">
        <f>(-0.163*(C108^2)-0.59*C108+7617)*(10^(-4))/C101</f>
        <v>0.27149457142857142</v>
      </c>
      <c r="D109" s="1144">
        <f>(-0.163*(D108^2)-0.59*D108+7617)*(10^(-4))/D101</f>
        <v>0.27149457142857142</v>
      </c>
      <c r="E109" s="1144">
        <f>(-0.161*(E108^2)-7.509*E108+6533)*(10^(-4))/E101</f>
        <v>0.23080800000000001</v>
      </c>
      <c r="F109" s="1144">
        <f>(-0.161*(F108^2)-7.509*F108+6533)*(10^(-4))/F101</f>
        <v>0.23080800000000001</v>
      </c>
      <c r="G109" s="1144">
        <f>(-0.161*(G108^2)-7.509*G108+6533)*(10^(-4))/G101</f>
        <v>0.23080800000000001</v>
      </c>
      <c r="H109" s="1144">
        <f>(-0.161*(H108^2)-7.509*H108+6533)*(10^(-4))/H101</f>
        <v>0.23080800000000001</v>
      </c>
      <c r="I109" s="1144">
        <f>(-0.161*(I108^2)-7.509*I108+6533)*(10^(-4))/I101</f>
        <v>0.23080800000000001</v>
      </c>
      <c r="J109" s="1144">
        <f>(-0.214*(J108^2)-21.991*J108+4665)*(10^(-4))/J101</f>
        <v>0.15983485714285717</v>
      </c>
      <c r="K109" s="1144">
        <f>(-0.214*(K108^2)-21.991*K108+4665)*(10^(-4))/K101</f>
        <v>0.15983485714285717</v>
      </c>
      <c r="L109" s="1144">
        <f>(-0.214*(L108^2)-21.991*L108+4665)*(10^(-4))/L101</f>
        <v>0.15983485714285717</v>
      </c>
      <c r="M109" s="1144">
        <f>(-0.214*(M108^2)-21.991*M108+4665)*(10^(-4))/M101</f>
        <v>0.15983485714285717</v>
      </c>
      <c r="N109" s="1144">
        <f>(-0.214*(N108^2)-21.991*N108+4665)*(10^(-4))/N101</f>
        <v>0.15983485714285717</v>
      </c>
    </row>
    <row r="110" spans="1:14">
      <c r="A110" s="3493" t="s">
        <v>1639</v>
      </c>
      <c r="B110" s="3493"/>
      <c r="C110" s="3493"/>
      <c r="D110" s="3493"/>
      <c r="E110" s="3493"/>
      <c r="F110" s="3493"/>
      <c r="G110" s="3493"/>
      <c r="H110" s="3493"/>
      <c r="I110" s="3493"/>
      <c r="J110" s="3493"/>
      <c r="K110" s="2425"/>
      <c r="L110" s="2425"/>
      <c r="M110" s="2425"/>
      <c r="N110" s="2425"/>
    </row>
    <row r="112" spans="1:14" ht="12.75" thickBot="1"/>
    <row r="113" spans="1:13" ht="25.5" thickBot="1">
      <c r="A113" s="1014" t="s">
        <v>895</v>
      </c>
      <c r="B113" s="2428">
        <f>G3</f>
        <v>2.8</v>
      </c>
      <c r="C113" s="1015" t="s">
        <v>896</v>
      </c>
      <c r="D113" s="1016">
        <f>SUMPRODUCT((A115:A118=F113)*(B114:M114=H113)*B115:M118)</f>
        <v>0</v>
      </c>
      <c r="E113" s="1017" t="s">
        <v>897</v>
      </c>
      <c r="F113" s="1018" t="str">
        <f>E2</f>
        <v>住宅</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0.90720000000000001</v>
      </c>
      <c r="C115" s="1028">
        <f>B115</f>
        <v>0.90720000000000001</v>
      </c>
      <c r="D115" s="1028">
        <f>ROUND(0.8331-0.0109*B113,4)</f>
        <v>0.80259999999999998</v>
      </c>
      <c r="E115" s="1028">
        <f>D115</f>
        <v>0.80259999999999998</v>
      </c>
      <c r="F115" s="1028">
        <f>E115</f>
        <v>0.80259999999999998</v>
      </c>
      <c r="G115" s="1028">
        <f>F115</f>
        <v>0.80259999999999998</v>
      </c>
      <c r="H115" s="1028">
        <f>G115</f>
        <v>0.80259999999999998</v>
      </c>
      <c r="I115" s="1028">
        <f>ROUND(0.689-0.0155*B113,4)</f>
        <v>0.64559999999999995</v>
      </c>
      <c r="J115" s="1028">
        <f t="shared" ref="J115:M118" si="33">I115</f>
        <v>0.64559999999999995</v>
      </c>
      <c r="K115" s="1028">
        <f t="shared" si="33"/>
        <v>0.64559999999999995</v>
      </c>
      <c r="L115" s="1028">
        <f t="shared" si="33"/>
        <v>0.64559999999999995</v>
      </c>
      <c r="M115" s="1029">
        <f t="shared" si="33"/>
        <v>0.64559999999999995</v>
      </c>
    </row>
    <row r="116" spans="1:13" ht="12.75">
      <c r="A116" s="1027" t="s">
        <v>900</v>
      </c>
      <c r="B116" s="1028">
        <f>ROUND(0.949-0.012*B113,4)</f>
        <v>0.91539999999999999</v>
      </c>
      <c r="C116" s="1028">
        <f>B116</f>
        <v>0.91539999999999999</v>
      </c>
      <c r="D116" s="1028">
        <f>ROUND(0.8567-0.013*B113,4)</f>
        <v>0.82030000000000003</v>
      </c>
      <c r="E116" s="1028">
        <f t="shared" ref="E116:H117" si="34">D116</f>
        <v>0.82030000000000003</v>
      </c>
      <c r="F116" s="1028">
        <f t="shared" si="34"/>
        <v>0.82030000000000003</v>
      </c>
      <c r="G116" s="1028">
        <f t="shared" si="34"/>
        <v>0.82030000000000003</v>
      </c>
      <c r="H116" s="1028">
        <f t="shared" si="34"/>
        <v>0.82030000000000003</v>
      </c>
      <c r="I116" s="1028">
        <f>ROUND(0.7694-0.014*B113,4)</f>
        <v>0.73019999999999996</v>
      </c>
      <c r="J116" s="1028">
        <f t="shared" si="33"/>
        <v>0.73019999999999996</v>
      </c>
      <c r="K116" s="1028">
        <f t="shared" si="33"/>
        <v>0.73019999999999996</v>
      </c>
      <c r="L116" s="1028">
        <f t="shared" si="33"/>
        <v>0.73019999999999996</v>
      </c>
      <c r="M116" s="1029">
        <f t="shared" si="33"/>
        <v>0.73019999999999996</v>
      </c>
    </row>
    <row r="117" spans="1:13" ht="12.75">
      <c r="A117" s="1030" t="s">
        <v>901</v>
      </c>
      <c r="B117" s="1028">
        <f>ROUND(0.8808-0.006*B113,4)</f>
        <v>0.86399999999999999</v>
      </c>
      <c r="C117" s="1028">
        <f>B117</f>
        <v>0.86399999999999999</v>
      </c>
      <c r="D117" s="1028">
        <f>ROUND(0.8748-0.008*B113,4)</f>
        <v>0.85240000000000005</v>
      </c>
      <c r="E117" s="1028">
        <f t="shared" si="34"/>
        <v>0.85240000000000005</v>
      </c>
      <c r="F117" s="1028">
        <f t="shared" si="34"/>
        <v>0.85240000000000005</v>
      </c>
      <c r="G117" s="1028">
        <f t="shared" si="34"/>
        <v>0.85240000000000005</v>
      </c>
      <c r="H117" s="1028">
        <f t="shared" si="34"/>
        <v>0.85240000000000005</v>
      </c>
      <c r="I117" s="1028">
        <f>ROUND(0.7412-0.0095*B113,4)</f>
        <v>0.71460000000000001</v>
      </c>
      <c r="J117" s="1028">
        <f t="shared" si="33"/>
        <v>0.71460000000000001</v>
      </c>
      <c r="K117" s="1028">
        <f t="shared" si="33"/>
        <v>0.71460000000000001</v>
      </c>
      <c r="L117" s="1028">
        <f t="shared" si="33"/>
        <v>0.71460000000000001</v>
      </c>
      <c r="M117" s="1029">
        <f t="shared" si="33"/>
        <v>0.71460000000000001</v>
      </c>
    </row>
    <row r="118" spans="1:13" ht="13.5" thickBot="1">
      <c r="A118" s="1031" t="s">
        <v>902</v>
      </c>
      <c r="B118" s="1032">
        <f>ROUND(0.7275-0.01*B113,4)</f>
        <v>0.69950000000000001</v>
      </c>
      <c r="C118" s="1032">
        <f>B118</f>
        <v>0.69950000000000001</v>
      </c>
      <c r="D118" s="1032">
        <f>ROUND(0.7043-0.012*B113,4)</f>
        <v>0.67069999999999996</v>
      </c>
      <c r="E118" s="1032">
        <f>D118</f>
        <v>0.67069999999999996</v>
      </c>
      <c r="F118" s="1032">
        <f>E118</f>
        <v>0.67069999999999996</v>
      </c>
      <c r="G118" s="1032">
        <f>ROUND(0.6299-0.0122*B113,4)</f>
        <v>0.59570000000000001</v>
      </c>
      <c r="H118" s="1032">
        <f>G118</f>
        <v>0.59570000000000001</v>
      </c>
      <c r="I118" s="1032">
        <f>ROUND(0.5667-0.0136*B113,4)</f>
        <v>0.52859999999999996</v>
      </c>
      <c r="J118" s="1032">
        <f t="shared" si="33"/>
        <v>0.52859999999999996</v>
      </c>
      <c r="K118" s="1032">
        <f t="shared" si="33"/>
        <v>0.52859999999999996</v>
      </c>
      <c r="L118" s="1032">
        <f t="shared" si="33"/>
        <v>0.52859999999999996</v>
      </c>
      <c r="M118" s="1033">
        <f t="shared" si="33"/>
        <v>0.52859999999999996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31"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99" t="s">
        <v>1007</v>
      </c>
      <c r="B18" s="1152" t="s">
        <v>1446</v>
      </c>
      <c r="C18" s="1129" t="s">
        <v>1447</v>
      </c>
      <c r="D18" s="1130"/>
      <c r="E18" s="1152">
        <v>1</v>
      </c>
      <c r="F18" s="1131" t="s">
        <v>1448</v>
      </c>
      <c r="G18" s="1132"/>
      <c r="H18" s="1103"/>
      <c r="I18" s="1103"/>
    </row>
    <row r="19" spans="1:9" s="1598" customFormat="1" ht="19.5" customHeight="1">
      <c r="A19" s="3499"/>
      <c r="B19" s="3499" t="s">
        <v>1449</v>
      </c>
      <c r="C19" s="1129" t="s">
        <v>1450</v>
      </c>
      <c r="D19" s="1130"/>
      <c r="E19" s="1152">
        <v>0.9</v>
      </c>
      <c r="F19" s="1131" t="s">
        <v>1451</v>
      </c>
      <c r="G19" s="1132"/>
      <c r="H19" s="1103"/>
      <c r="I19" s="1103"/>
    </row>
    <row r="20" spans="1:9" s="1598" customFormat="1" ht="19.5" customHeight="1">
      <c r="A20" s="3499"/>
      <c r="B20" s="3499"/>
      <c r="C20" s="1129" t="s">
        <v>1452</v>
      </c>
      <c r="D20" s="1130"/>
      <c r="E20" s="1152">
        <v>1.1000000000000001</v>
      </c>
      <c r="F20" s="1131" t="s">
        <v>1453</v>
      </c>
      <c r="G20" s="1132"/>
      <c r="H20" s="1103"/>
      <c r="I20" s="1103"/>
    </row>
    <row r="21" spans="1:9" s="1598" customFormat="1" ht="19.5" customHeight="1">
      <c r="A21" s="3499"/>
      <c r="B21" s="3499"/>
      <c r="C21" s="1129" t="s">
        <v>1454</v>
      </c>
      <c r="D21" s="1130"/>
      <c r="E21" s="1152">
        <v>0.8</v>
      </c>
      <c r="F21" s="1131" t="s">
        <v>1455</v>
      </c>
      <c r="G21" s="1132"/>
      <c r="H21" s="1103"/>
      <c r="I21" s="1103"/>
    </row>
    <row r="22" spans="1:9" s="1598" customFormat="1" ht="19.5" customHeight="1">
      <c r="A22" s="3499"/>
      <c r="B22" s="3499"/>
      <c r="C22" s="1129" t="s">
        <v>1456</v>
      </c>
      <c r="D22" s="1130"/>
      <c r="E22" s="1152">
        <v>0.5</v>
      </c>
      <c r="F22" s="1131"/>
      <c r="G22" s="1132"/>
      <c r="H22" s="1103"/>
      <c r="I22" s="1103"/>
    </row>
    <row r="23" spans="1:9" s="1598" customFormat="1" ht="19.5" customHeight="1">
      <c r="A23" s="3499" t="s">
        <v>1029</v>
      </c>
      <c r="B23" s="1152" t="s">
        <v>1446</v>
      </c>
      <c r="C23" s="1129" t="s">
        <v>1457</v>
      </c>
      <c r="D23" s="1130"/>
      <c r="E23" s="1152">
        <v>1</v>
      </c>
      <c r="F23" s="1131" t="s">
        <v>1458</v>
      </c>
      <c r="G23" s="1132"/>
      <c r="H23" s="1103"/>
      <c r="I23" s="1103"/>
    </row>
    <row r="24" spans="1:9" s="1598" customFormat="1" ht="19.5" customHeight="1">
      <c r="A24" s="3499"/>
      <c r="B24" s="3499" t="s">
        <v>1449</v>
      </c>
      <c r="C24" s="1129" t="s">
        <v>1459</v>
      </c>
      <c r="D24" s="1130"/>
      <c r="E24" s="1152">
        <v>0.5</v>
      </c>
      <c r="F24" s="1131"/>
      <c r="G24" s="1132"/>
      <c r="H24" s="1103"/>
      <c r="I24" s="1103"/>
    </row>
    <row r="25" spans="1:9" s="1598" customFormat="1" ht="19.5" customHeight="1">
      <c r="A25" s="3499"/>
      <c r="B25" s="3499"/>
      <c r="C25" s="1129" t="s">
        <v>1460</v>
      </c>
      <c r="D25" s="1130"/>
      <c r="E25" s="1152">
        <v>1.1000000000000001</v>
      </c>
      <c r="F25" s="1131"/>
      <c r="G25" s="1132"/>
      <c r="H25" s="1103"/>
      <c r="I25" s="1103"/>
    </row>
    <row r="26" spans="1:9" s="1598" customFormat="1" ht="19.5" customHeight="1">
      <c r="A26" s="3499"/>
      <c r="B26" s="3499"/>
      <c r="C26" s="1129" t="s">
        <v>1461</v>
      </c>
      <c r="D26" s="1130"/>
      <c r="E26" s="1152">
        <v>1.1000000000000001</v>
      </c>
      <c r="F26" s="1131"/>
      <c r="G26" s="1132"/>
      <c r="H26" s="1103"/>
      <c r="I26" s="1103"/>
    </row>
    <row r="27" spans="1:9" s="1598" customFormat="1" ht="19.5" customHeight="1">
      <c r="A27" s="3499"/>
      <c r="B27" s="3499"/>
      <c r="C27" s="1129" t="s">
        <v>1462</v>
      </c>
      <c r="D27" s="1130"/>
      <c r="E27" s="1152">
        <v>0.9</v>
      </c>
      <c r="F27" s="1131" t="s">
        <v>1463</v>
      </c>
      <c r="G27" s="1132"/>
      <c r="H27" s="1103"/>
      <c r="I27" s="1103"/>
    </row>
    <row r="28" spans="1:9" s="1598" customFormat="1" ht="19.5" customHeight="1">
      <c r="A28" s="3499"/>
      <c r="B28" s="3499"/>
      <c r="C28" s="1129" t="s">
        <v>1464</v>
      </c>
      <c r="D28" s="1130"/>
      <c r="E28" s="1152">
        <v>0.9</v>
      </c>
      <c r="F28" s="1131" t="s">
        <v>1465</v>
      </c>
      <c r="G28" s="1132"/>
      <c r="H28" s="1103"/>
      <c r="I28" s="1103"/>
    </row>
    <row r="29" spans="1:9" s="1598" customFormat="1" ht="19.5" customHeight="1">
      <c r="A29" s="3499"/>
      <c r="B29" s="3499"/>
      <c r="C29" s="1129" t="s">
        <v>1466</v>
      </c>
      <c r="D29" s="1130"/>
      <c r="E29" s="1152">
        <v>0.9</v>
      </c>
      <c r="F29" s="1131" t="s">
        <v>1467</v>
      </c>
      <c r="G29" s="1132"/>
      <c r="H29" s="1103"/>
      <c r="I29" s="1103"/>
    </row>
    <row r="30" spans="1:9" s="1598" customFormat="1" ht="19.5" customHeight="1">
      <c r="A30" s="3499"/>
      <c r="B30" s="3499"/>
      <c r="C30" s="1129" t="s">
        <v>1468</v>
      </c>
      <c r="D30" s="1130"/>
      <c r="E30" s="1152">
        <v>0.9</v>
      </c>
      <c r="F30" s="1131" t="s">
        <v>1469</v>
      </c>
      <c r="G30" s="1132"/>
      <c r="H30" s="1103"/>
      <c r="I30" s="1103"/>
    </row>
    <row r="31" spans="1:9" s="1598" customFormat="1" ht="19.5" customHeight="1">
      <c r="A31" s="3499"/>
      <c r="B31" s="3499"/>
      <c r="C31" s="1129" t="s">
        <v>1470</v>
      </c>
      <c r="D31" s="1130"/>
      <c r="E31" s="1152">
        <v>0.8</v>
      </c>
      <c r="F31" s="1131" t="s">
        <v>1471</v>
      </c>
      <c r="G31" s="1132"/>
      <c r="H31" s="1103"/>
      <c r="I31" s="1103"/>
    </row>
    <row r="32" spans="1:9" s="1598" customFormat="1" ht="19.5" customHeight="1">
      <c r="A32" s="3499"/>
      <c r="B32" s="3499"/>
      <c r="C32" s="1129" t="s">
        <v>1472</v>
      </c>
      <c r="D32" s="1130"/>
      <c r="E32" s="1152">
        <v>0.8</v>
      </c>
      <c r="F32" s="1131" t="s">
        <v>1473</v>
      </c>
      <c r="G32" s="1132"/>
      <c r="H32" s="1103"/>
      <c r="I32" s="1103"/>
    </row>
    <row r="33" spans="1:9" s="1598" customFormat="1" ht="19.5" customHeight="1">
      <c r="A33" s="3499" t="s">
        <v>1474</v>
      </c>
      <c r="B33" s="1152" t="s">
        <v>1446</v>
      </c>
      <c r="C33" s="1129" t="s">
        <v>1475</v>
      </c>
      <c r="D33" s="1130"/>
      <c r="E33" s="1152">
        <v>1</v>
      </c>
      <c r="F33" s="1131" t="s">
        <v>1476</v>
      </c>
      <c r="G33" s="1132"/>
      <c r="H33" s="1103"/>
      <c r="I33" s="1103"/>
    </row>
    <row r="34" spans="1:9" s="1598" customFormat="1" ht="19.5" customHeight="1">
      <c r="A34" s="3499"/>
      <c r="B34" s="1152" t="s">
        <v>1449</v>
      </c>
      <c r="C34" s="1129" t="s">
        <v>1477</v>
      </c>
      <c r="D34" s="1130"/>
      <c r="E34" s="1152">
        <v>1.5</v>
      </c>
      <c r="F34" s="1131" t="s">
        <v>1478</v>
      </c>
      <c r="G34" s="1132"/>
      <c r="H34" s="1103"/>
      <c r="I34" s="1103"/>
    </row>
    <row r="35" spans="1:9" s="1598" customFormat="1" ht="19.5" customHeight="1">
      <c r="A35" s="3499" t="s">
        <v>1432</v>
      </c>
      <c r="B35" s="1152" t="s">
        <v>1446</v>
      </c>
      <c r="C35" s="1129" t="s">
        <v>1479</v>
      </c>
      <c r="D35" s="1130"/>
      <c r="E35" s="1152">
        <v>1</v>
      </c>
      <c r="F35" s="1131" t="s">
        <v>1480</v>
      </c>
      <c r="G35" s="1132"/>
      <c r="H35" s="1103"/>
      <c r="I35" s="1103"/>
    </row>
    <row r="36" spans="1:9" s="1598" customFormat="1" ht="19.5" customHeight="1">
      <c r="A36" s="3499"/>
      <c r="B36" s="3499" t="s">
        <v>1449</v>
      </c>
      <c r="C36" s="1129" t="s">
        <v>1481</v>
      </c>
      <c r="D36" s="1130"/>
      <c r="E36" s="1152">
        <v>1</v>
      </c>
      <c r="F36" s="1131" t="s">
        <v>1482</v>
      </c>
      <c r="G36" s="1132"/>
      <c r="H36" s="1103"/>
      <c r="I36" s="1103"/>
    </row>
    <row r="37" spans="1:9" s="1598" customFormat="1" ht="19.5" customHeight="1">
      <c r="A37" s="3499"/>
      <c r="B37" s="3499"/>
      <c r="C37" s="1129" t="s">
        <v>1483</v>
      </c>
      <c r="D37" s="1130"/>
      <c r="E37" s="1152">
        <v>1.5</v>
      </c>
      <c r="F37" s="1131" t="s">
        <v>1484</v>
      </c>
      <c r="G37" s="1132"/>
      <c r="H37" s="1103"/>
      <c r="I37" s="1103"/>
    </row>
    <row r="38" spans="1:9" s="1598" customFormat="1" ht="19.5" customHeight="1">
      <c r="A38" s="3499"/>
      <c r="B38" s="3499"/>
      <c r="C38" s="1129" t="s">
        <v>1485</v>
      </c>
      <c r="D38" s="1130"/>
      <c r="E38" s="1152">
        <v>1</v>
      </c>
      <c r="F38" s="1131" t="s">
        <v>1486</v>
      </c>
      <c r="G38" s="1132"/>
      <c r="H38" s="1103"/>
      <c r="I38" s="1103"/>
    </row>
    <row r="39" spans="1:9" s="1598" customFormat="1" ht="19.5" customHeight="1">
      <c r="A39" s="3499"/>
      <c r="B39" s="3499"/>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99" t="s">
        <v>1501</v>
      </c>
      <c r="C61" s="1066" t="s">
        <v>1502</v>
      </c>
      <c r="D61" s="1066" t="s">
        <v>1503</v>
      </c>
      <c r="E61" s="1137">
        <v>0.5</v>
      </c>
      <c r="F61" s="1152">
        <v>80</v>
      </c>
      <c r="H61" s="1103">
        <f>SUMIF(C59:C119,基准地价!C8,E59:E119)</f>
        <v>0</v>
      </c>
    </row>
    <row r="62" spans="1:8" s="1103" customFormat="1" ht="24">
      <c r="A62" s="1152">
        <v>2</v>
      </c>
      <c r="B62" s="3499"/>
      <c r="C62" s="1066" t="s">
        <v>1504</v>
      </c>
      <c r="D62" s="1066" t="s">
        <v>1505</v>
      </c>
      <c r="E62" s="1137">
        <v>0.5</v>
      </c>
      <c r="F62" s="1152">
        <v>80</v>
      </c>
    </row>
    <row r="63" spans="1:8" s="1103" customFormat="1" ht="36">
      <c r="A63" s="1152">
        <v>3</v>
      </c>
      <c r="B63" s="3499"/>
      <c r="C63" s="1066" t="s">
        <v>1506</v>
      </c>
      <c r="D63" s="1066" t="s">
        <v>1507</v>
      </c>
      <c r="E63" s="1137">
        <v>0.5</v>
      </c>
      <c r="F63" s="1152">
        <v>80</v>
      </c>
    </row>
    <row r="64" spans="1:8" s="1103" customFormat="1" ht="36">
      <c r="A64" s="1152">
        <v>4</v>
      </c>
      <c r="B64" s="3499"/>
      <c r="C64" s="1066" t="s">
        <v>1508</v>
      </c>
      <c r="D64" s="1066" t="s">
        <v>1509</v>
      </c>
      <c r="E64" s="1137">
        <v>0.4</v>
      </c>
      <c r="F64" s="1152">
        <v>60</v>
      </c>
    </row>
    <row r="65" spans="1:6" s="1103" customFormat="1" ht="36">
      <c r="A65" s="1152">
        <v>5</v>
      </c>
      <c r="B65" s="3499"/>
      <c r="C65" s="1066" t="s">
        <v>1510</v>
      </c>
      <c r="D65" s="1066" t="s">
        <v>1511</v>
      </c>
      <c r="E65" s="1137">
        <v>0.2</v>
      </c>
      <c r="F65" s="1152">
        <v>30</v>
      </c>
    </row>
    <row r="66" spans="1:6" s="1103" customFormat="1" ht="36">
      <c r="A66" s="1152">
        <v>6</v>
      </c>
      <c r="B66" s="3499"/>
      <c r="C66" s="1066" t="s">
        <v>1512</v>
      </c>
      <c r="D66" s="1066" t="s">
        <v>1513</v>
      </c>
      <c r="E66" s="1137">
        <v>0.3</v>
      </c>
      <c r="F66" s="1152">
        <v>50</v>
      </c>
    </row>
    <row r="67" spans="1:6" s="1103" customFormat="1" ht="36">
      <c r="A67" s="1152">
        <v>7</v>
      </c>
      <c r="B67" s="3499"/>
      <c r="C67" s="1066" t="s">
        <v>1514</v>
      </c>
      <c r="D67" s="1066" t="s">
        <v>1515</v>
      </c>
      <c r="E67" s="1137">
        <v>0.2</v>
      </c>
      <c r="F67" s="1152">
        <v>30</v>
      </c>
    </row>
    <row r="68" spans="1:6" s="1103" customFormat="1" ht="36">
      <c r="A68" s="1152">
        <v>8</v>
      </c>
      <c r="B68" s="3499"/>
      <c r="C68" s="1066" t="s">
        <v>1516</v>
      </c>
      <c r="D68" s="1066" t="s">
        <v>1517</v>
      </c>
      <c r="E68" s="1137">
        <v>0.2</v>
      </c>
      <c r="F68" s="1152">
        <v>30</v>
      </c>
    </row>
    <row r="69" spans="1:6" s="1103" customFormat="1" ht="36">
      <c r="A69" s="1152">
        <v>9</v>
      </c>
      <c r="B69" s="3499"/>
      <c r="C69" s="1066" t="s">
        <v>1518</v>
      </c>
      <c r="D69" s="1066" t="s">
        <v>1519</v>
      </c>
      <c r="E69" s="1137">
        <v>0.2</v>
      </c>
      <c r="F69" s="1152">
        <v>30</v>
      </c>
    </row>
    <row r="70" spans="1:6" s="1103" customFormat="1" ht="48">
      <c r="A70" s="1152">
        <v>10</v>
      </c>
      <c r="B70" s="3499"/>
      <c r="C70" s="1066" t="s">
        <v>1520</v>
      </c>
      <c r="D70" s="1066" t="s">
        <v>1521</v>
      </c>
      <c r="E70" s="1137">
        <v>0.2</v>
      </c>
      <c r="F70" s="1152">
        <v>30</v>
      </c>
    </row>
    <row r="71" spans="1:6" s="1103" customFormat="1" ht="48">
      <c r="A71" s="1152">
        <v>11</v>
      </c>
      <c r="B71" s="3499"/>
      <c r="C71" s="1066" t="s">
        <v>1522</v>
      </c>
      <c r="D71" s="1066" t="s">
        <v>1523</v>
      </c>
      <c r="E71" s="1137">
        <v>0.2</v>
      </c>
      <c r="F71" s="1152">
        <v>30</v>
      </c>
    </row>
    <row r="72" spans="1:6" s="1103" customFormat="1" ht="36">
      <c r="A72" s="1152">
        <v>12</v>
      </c>
      <c r="B72" s="3499"/>
      <c r="C72" s="1066" t="s">
        <v>1524</v>
      </c>
      <c r="D72" s="1066" t="s">
        <v>1525</v>
      </c>
      <c r="E72" s="1137">
        <v>0.5</v>
      </c>
      <c r="F72" s="1152">
        <v>80</v>
      </c>
    </row>
    <row r="73" spans="1:6" s="1103" customFormat="1" ht="24">
      <c r="A73" s="1152">
        <v>13</v>
      </c>
      <c r="B73" s="3499"/>
      <c r="C73" s="1066" t="s">
        <v>1526</v>
      </c>
      <c r="D73" s="1066" t="s">
        <v>1527</v>
      </c>
      <c r="E73" s="1137">
        <v>0.4</v>
      </c>
      <c r="F73" s="1152">
        <v>60</v>
      </c>
    </row>
    <row r="74" spans="1:6" s="1103" customFormat="1" ht="24">
      <c r="A74" s="1152">
        <v>14</v>
      </c>
      <c r="B74" s="3499"/>
      <c r="C74" s="1066" t="s">
        <v>1528</v>
      </c>
      <c r="D74" s="1066" t="s">
        <v>1529</v>
      </c>
      <c r="E74" s="1137">
        <v>0.2</v>
      </c>
      <c r="F74" s="1152">
        <v>30</v>
      </c>
    </row>
    <row r="75" spans="1:6" s="1103" customFormat="1" ht="24">
      <c r="A75" s="1152">
        <v>15</v>
      </c>
      <c r="B75" s="3499"/>
      <c r="C75" s="1066" t="s">
        <v>1530</v>
      </c>
      <c r="D75" s="1066" t="s">
        <v>1531</v>
      </c>
      <c r="E75" s="1137">
        <v>0.2</v>
      </c>
      <c r="F75" s="1152">
        <v>30</v>
      </c>
    </row>
    <row r="76" spans="1:6" s="1103" customFormat="1" ht="24">
      <c r="A76" s="1152">
        <v>16</v>
      </c>
      <c r="B76" s="3499" t="s">
        <v>1532</v>
      </c>
      <c r="C76" s="1066" t="s">
        <v>1533</v>
      </c>
      <c r="D76" s="1066" t="s">
        <v>1534</v>
      </c>
      <c r="E76" s="1137">
        <v>0.5</v>
      </c>
      <c r="F76" s="1152">
        <v>80</v>
      </c>
    </row>
    <row r="77" spans="1:6" s="1103" customFormat="1" ht="24">
      <c r="A77" s="1152">
        <v>17</v>
      </c>
      <c r="B77" s="3499"/>
      <c r="C77" s="1066" t="s">
        <v>1535</v>
      </c>
      <c r="D77" s="1066" t="s">
        <v>1536</v>
      </c>
      <c r="E77" s="1137">
        <v>0.5</v>
      </c>
      <c r="F77" s="1152">
        <v>80</v>
      </c>
    </row>
    <row r="78" spans="1:6" s="1103" customFormat="1" ht="24">
      <c r="A78" s="1152">
        <v>18</v>
      </c>
      <c r="B78" s="3499"/>
      <c r="C78" s="1066" t="s">
        <v>1537</v>
      </c>
      <c r="D78" s="1066" t="s">
        <v>1538</v>
      </c>
      <c r="E78" s="1137">
        <v>0.2</v>
      </c>
      <c r="F78" s="1152">
        <v>30</v>
      </c>
    </row>
    <row r="79" spans="1:6" s="1103" customFormat="1" ht="24">
      <c r="A79" s="1152">
        <v>19</v>
      </c>
      <c r="B79" s="3499"/>
      <c r="C79" s="1066" t="s">
        <v>1539</v>
      </c>
      <c r="D79" s="1066" t="s">
        <v>1540</v>
      </c>
      <c r="E79" s="1137">
        <v>0.5</v>
      </c>
      <c r="F79" s="1152">
        <v>80</v>
      </c>
    </row>
    <row r="80" spans="1:6" s="1103" customFormat="1" ht="36">
      <c r="A80" s="1152">
        <v>20</v>
      </c>
      <c r="B80" s="3499"/>
      <c r="C80" s="1066" t="s">
        <v>1541</v>
      </c>
      <c r="D80" s="1066" t="s">
        <v>1542</v>
      </c>
      <c r="E80" s="1137">
        <v>0.2</v>
      </c>
      <c r="F80" s="1152">
        <v>30</v>
      </c>
    </row>
    <row r="81" spans="1:6" s="1103" customFormat="1" ht="36">
      <c r="A81" s="1152">
        <v>21</v>
      </c>
      <c r="B81" s="3499"/>
      <c r="C81" s="1066" t="s">
        <v>1543</v>
      </c>
      <c r="D81" s="1066" t="s">
        <v>1544</v>
      </c>
      <c r="E81" s="1137">
        <v>0.2</v>
      </c>
      <c r="F81" s="1152">
        <v>30</v>
      </c>
    </row>
    <row r="82" spans="1:6" s="1103" customFormat="1" ht="48">
      <c r="A82" s="1152">
        <v>22</v>
      </c>
      <c r="B82" s="3499"/>
      <c r="C82" s="1066" t="s">
        <v>1545</v>
      </c>
      <c r="D82" s="1066" t="s">
        <v>1546</v>
      </c>
      <c r="E82" s="1137">
        <v>0.2</v>
      </c>
      <c r="F82" s="1152">
        <v>30</v>
      </c>
    </row>
    <row r="83" spans="1:6" s="1103" customFormat="1" ht="48">
      <c r="A83" s="1152">
        <v>23</v>
      </c>
      <c r="B83" s="3499"/>
      <c r="C83" s="1066" t="s">
        <v>1547</v>
      </c>
      <c r="D83" s="1066" t="s">
        <v>1548</v>
      </c>
      <c r="E83" s="1137">
        <v>0.2</v>
      </c>
      <c r="F83" s="1152">
        <v>30</v>
      </c>
    </row>
    <row r="84" spans="1:6" s="1103" customFormat="1" ht="36">
      <c r="A84" s="1152">
        <v>24</v>
      </c>
      <c r="B84" s="3499"/>
      <c r="C84" s="1066" t="s">
        <v>1549</v>
      </c>
      <c r="D84" s="1066" t="s">
        <v>1550</v>
      </c>
      <c r="E84" s="1137">
        <v>0.2</v>
      </c>
      <c r="F84" s="1152">
        <v>30</v>
      </c>
    </row>
    <row r="85" spans="1:6" s="1103" customFormat="1" ht="36">
      <c r="A85" s="1152">
        <v>25</v>
      </c>
      <c r="B85" s="3499"/>
      <c r="C85" s="1066" t="s">
        <v>1551</v>
      </c>
      <c r="D85" s="1066" t="s">
        <v>1552</v>
      </c>
      <c r="E85" s="1137">
        <v>0.5</v>
      </c>
      <c r="F85" s="1152">
        <v>80</v>
      </c>
    </row>
    <row r="86" spans="1:6" s="1103" customFormat="1" ht="36">
      <c r="A86" s="1152">
        <v>26</v>
      </c>
      <c r="B86" s="3499"/>
      <c r="C86" s="1066" t="s">
        <v>1553</v>
      </c>
      <c r="D86" s="1066" t="s">
        <v>1554</v>
      </c>
      <c r="E86" s="1137">
        <v>0.2</v>
      </c>
      <c r="F86" s="1152">
        <v>30</v>
      </c>
    </row>
    <row r="87" spans="1:6" s="1103" customFormat="1" ht="36">
      <c r="A87" s="1152">
        <v>27</v>
      </c>
      <c r="B87" s="3499"/>
      <c r="C87" s="1066" t="s">
        <v>1555</v>
      </c>
      <c r="D87" s="1066" t="s">
        <v>1556</v>
      </c>
      <c r="E87" s="1137">
        <v>0.2</v>
      </c>
      <c r="F87" s="1152">
        <v>30</v>
      </c>
    </row>
    <row r="88" spans="1:6" s="1103" customFormat="1" ht="36">
      <c r="A88" s="1152">
        <v>28</v>
      </c>
      <c r="B88" s="3499"/>
      <c r="C88" s="1066" t="s">
        <v>1557</v>
      </c>
      <c r="D88" s="1066" t="s">
        <v>1558</v>
      </c>
      <c r="E88" s="1137">
        <v>0.2</v>
      </c>
      <c r="F88" s="1152">
        <v>30</v>
      </c>
    </row>
    <row r="89" spans="1:6" s="1103" customFormat="1" ht="24">
      <c r="A89" s="1152">
        <v>29</v>
      </c>
      <c r="B89" s="3499"/>
      <c r="C89" s="1066" t="s">
        <v>1559</v>
      </c>
      <c r="D89" s="1066" t="s">
        <v>1560</v>
      </c>
      <c r="E89" s="1137">
        <v>0.2</v>
      </c>
      <c r="F89" s="1152">
        <v>30</v>
      </c>
    </row>
    <row r="90" spans="1:6" s="1103" customFormat="1" ht="24">
      <c r="A90" s="1152">
        <v>30</v>
      </c>
      <c r="B90" s="3499"/>
      <c r="C90" s="1066" t="s">
        <v>1561</v>
      </c>
      <c r="D90" s="1066" t="s">
        <v>1562</v>
      </c>
      <c r="E90" s="1137">
        <v>0.2</v>
      </c>
      <c r="F90" s="1152">
        <v>30</v>
      </c>
    </row>
    <row r="91" spans="1:6" s="1103" customFormat="1" ht="36">
      <c r="A91" s="1152">
        <v>31</v>
      </c>
      <c r="B91" s="3499"/>
      <c r="C91" s="1066" t="s">
        <v>1563</v>
      </c>
      <c r="D91" s="1066" t="s">
        <v>1564</v>
      </c>
      <c r="E91" s="1137">
        <v>0.2</v>
      </c>
      <c r="F91" s="1152">
        <v>30</v>
      </c>
    </row>
    <row r="92" spans="1:6" s="1103" customFormat="1" ht="24">
      <c r="A92" s="1152">
        <v>32</v>
      </c>
      <c r="B92" s="3499" t="s">
        <v>1565</v>
      </c>
      <c r="C92" s="1152" t="s">
        <v>1566</v>
      </c>
      <c r="D92" s="1066" t="s">
        <v>1567</v>
      </c>
      <c r="E92" s="1137">
        <v>0.2</v>
      </c>
      <c r="F92" s="1152">
        <v>30</v>
      </c>
    </row>
    <row r="93" spans="1:6" s="1103" customFormat="1" ht="36">
      <c r="A93" s="1152">
        <v>33</v>
      </c>
      <c r="B93" s="3499"/>
      <c r="C93" s="1152" t="s">
        <v>1568</v>
      </c>
      <c r="D93" s="1066" t="s">
        <v>1569</v>
      </c>
      <c r="E93" s="1137">
        <v>0.2</v>
      </c>
      <c r="F93" s="1152">
        <v>30</v>
      </c>
    </row>
    <row r="94" spans="1:6" s="1103" customFormat="1" ht="48">
      <c r="A94" s="1152">
        <v>34</v>
      </c>
      <c r="B94" s="3499"/>
      <c r="C94" s="1152" t="s">
        <v>1570</v>
      </c>
      <c r="D94" s="1066" t="s">
        <v>1571</v>
      </c>
      <c r="E94" s="1137">
        <v>0.2</v>
      </c>
      <c r="F94" s="1152">
        <v>30</v>
      </c>
    </row>
    <row r="95" spans="1:6" s="1103" customFormat="1" ht="36">
      <c r="A95" s="1152">
        <v>35</v>
      </c>
      <c r="B95" s="3499"/>
      <c r="C95" s="1152" t="s">
        <v>1572</v>
      </c>
      <c r="D95" s="1066" t="s">
        <v>1573</v>
      </c>
      <c r="E95" s="1137">
        <v>0.2</v>
      </c>
      <c r="F95" s="1152">
        <v>30</v>
      </c>
    </row>
    <row r="96" spans="1:6" s="1103" customFormat="1" ht="48">
      <c r="A96" s="1152">
        <v>36</v>
      </c>
      <c r="B96" s="3499"/>
      <c r="C96" s="1066" t="s">
        <v>1574</v>
      </c>
      <c r="D96" s="1066" t="s">
        <v>1575</v>
      </c>
      <c r="E96" s="1137">
        <v>0.2</v>
      </c>
      <c r="F96" s="1152">
        <v>30</v>
      </c>
    </row>
    <row r="97" spans="1:6" s="1103" customFormat="1" ht="36">
      <c r="A97" s="1152">
        <v>37</v>
      </c>
      <c r="B97" s="3499"/>
      <c r="C97" s="1152" t="s">
        <v>1576</v>
      </c>
      <c r="D97" s="1066" t="s">
        <v>1577</v>
      </c>
      <c r="E97" s="1137">
        <v>0.2</v>
      </c>
      <c r="F97" s="1152">
        <v>30</v>
      </c>
    </row>
    <row r="98" spans="1:6" s="1103" customFormat="1" ht="36">
      <c r="A98" s="1152">
        <v>38</v>
      </c>
      <c r="B98" s="3499"/>
      <c r="C98" s="1152" t="s">
        <v>1578</v>
      </c>
      <c r="D98" s="1066" t="s">
        <v>1579</v>
      </c>
      <c r="E98" s="1137">
        <v>0.2</v>
      </c>
      <c r="F98" s="1152">
        <v>30</v>
      </c>
    </row>
    <row r="99" spans="1:6" s="1103" customFormat="1" ht="36">
      <c r="A99" s="1152">
        <v>39</v>
      </c>
      <c r="B99" s="3499" t="s">
        <v>1580</v>
      </c>
      <c r="C99" s="1152" t="s">
        <v>1581</v>
      </c>
      <c r="D99" s="1066" t="s">
        <v>1582</v>
      </c>
      <c r="E99" s="1137">
        <v>0.3</v>
      </c>
      <c r="F99" s="1152">
        <v>50</v>
      </c>
    </row>
    <row r="100" spans="1:6" s="1103" customFormat="1" ht="24">
      <c r="A100" s="1152">
        <v>40</v>
      </c>
      <c r="B100" s="3499"/>
      <c r="C100" s="1152" t="s">
        <v>1583</v>
      </c>
      <c r="D100" s="1066" t="s">
        <v>1584</v>
      </c>
      <c r="E100" s="1137">
        <v>0.2</v>
      </c>
      <c r="F100" s="1152">
        <v>30</v>
      </c>
    </row>
    <row r="101" spans="1:6" s="1103" customFormat="1" ht="36">
      <c r="A101" s="1152">
        <v>41</v>
      </c>
      <c r="B101" s="3499"/>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99" t="s">
        <v>1595</v>
      </c>
      <c r="C105" s="1152" t="s">
        <v>1596</v>
      </c>
      <c r="D105" s="1066" t="s">
        <v>1597</v>
      </c>
      <c r="E105" s="1137">
        <v>0.2</v>
      </c>
      <c r="F105" s="1152">
        <v>30</v>
      </c>
    </row>
    <row r="106" spans="1:6" s="1103" customFormat="1" ht="36">
      <c r="A106" s="1152">
        <v>46</v>
      </c>
      <c r="B106" s="3499"/>
      <c r="C106" s="1152" t="s">
        <v>1598</v>
      </c>
      <c r="D106" s="1066" t="s">
        <v>1599</v>
      </c>
      <c r="E106" s="1137">
        <v>0.2</v>
      </c>
      <c r="F106" s="1152">
        <v>30</v>
      </c>
    </row>
    <row r="107" spans="1:6" s="1103" customFormat="1" ht="36">
      <c r="A107" s="1152">
        <v>47</v>
      </c>
      <c r="B107" s="3499" t="s">
        <v>1600</v>
      </c>
      <c r="C107" s="1152" t="s">
        <v>1601</v>
      </c>
      <c r="D107" s="1066" t="s">
        <v>1602</v>
      </c>
      <c r="E107" s="1137">
        <v>0.3</v>
      </c>
      <c r="F107" s="1152">
        <v>50</v>
      </c>
    </row>
    <row r="108" spans="1:6" s="1103" customFormat="1" ht="36">
      <c r="A108" s="1152">
        <v>48</v>
      </c>
      <c r="B108" s="3499"/>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99" t="s">
        <v>1611</v>
      </c>
      <c r="C111" s="1152" t="s">
        <v>1612</v>
      </c>
      <c r="D111" s="1066" t="s">
        <v>1613</v>
      </c>
      <c r="E111" s="1137">
        <v>0.2</v>
      </c>
      <c r="F111" s="1152">
        <v>30</v>
      </c>
    </row>
    <row r="112" spans="1:6" s="1103" customFormat="1" ht="24">
      <c r="A112" s="1152">
        <v>52</v>
      </c>
      <c r="B112" s="3499"/>
      <c r="C112" s="1152" t="s">
        <v>1614</v>
      </c>
      <c r="D112" s="1066" t="s">
        <v>1615</v>
      </c>
      <c r="E112" s="1137">
        <v>0.2</v>
      </c>
      <c r="F112" s="1152">
        <v>30</v>
      </c>
    </row>
    <row r="113" spans="1:14" s="1103" customFormat="1" ht="24">
      <c r="A113" s="1152">
        <v>53</v>
      </c>
      <c r="B113" s="3499"/>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99" t="s">
        <v>1624</v>
      </c>
      <c r="C116" s="1152" t="s">
        <v>1625</v>
      </c>
      <c r="D116" s="1066" t="s">
        <v>1626</v>
      </c>
      <c r="E116" s="1137">
        <v>0.2</v>
      </c>
      <c r="F116" s="1152">
        <v>30</v>
      </c>
    </row>
    <row r="117" spans="1:14" ht="36">
      <c r="A117" s="1152">
        <v>57</v>
      </c>
      <c r="B117" s="3499"/>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98" t="s">
        <v>1633</v>
      </c>
      <c r="B121" s="3498"/>
      <c r="C121" s="3498"/>
      <c r="D121" s="3498"/>
      <c r="E121" s="3498"/>
      <c r="F121" s="3498"/>
      <c r="G121" s="3498"/>
      <c r="H121" s="3498"/>
      <c r="I121" s="3498"/>
      <c r="J121" s="349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受贵公司委托，我公司对北京市FXX0-0401-6016出让国有建设用地使用权市场价格进行了预评估。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FXX0-0401-6016出让国有建设用地使用权。根据《国有土地使用证》[]，估价对象（分摊）出让国有建设用地使用权面积为15400平方米。根据《建设工程规划许可证》[]、《出让合同》[]，估价对象规划建筑面积为43120平方米。</v>
      </c>
    </row>
    <row r="7" spans="1:4" ht="56.25">
      <c r="A7" s="1794" t="s">
        <v>2746</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2019年2月14日（评估专业人员勘察现场之日）</v>
      </c>
    </row>
    <row r="12" spans="1:4" ht="18.75">
      <c r="A12" s="1796" t="s">
        <v>2025</v>
      </c>
    </row>
    <row r="13" spans="1:4" ht="18.75">
      <c r="A13" s="1790" t="s">
        <v>2942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根据《国有土地使用证》[]，估价对象（分摊）出让国有建设用地使用权面积为15400平方米。根据《建设工程规划许可证》[]、《出让合同》[]，估价对象规划建筑面积为43120平方米。</v>
      </c>
    </row>
    <row r="21" spans="1:1" ht="18.75">
      <c r="A21" s="1790" t="s">
        <v>2074</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本次估价对象为出让国有建设用地使用权，《国有土地使用证》[]证载土地终止日期为住宅2071年3月1日、商业2041年3月1日。截至估价期日，出让国有建设用地使用权剩余土地使用年限为。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503" t="s">
        <v>1039</v>
      </c>
      <c r="B1" s="3503"/>
      <c r="C1" s="3503"/>
      <c r="D1" s="3503"/>
      <c r="E1" s="3503"/>
      <c r="F1" s="3503"/>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504" t="s">
        <v>1052</v>
      </c>
      <c r="B2" s="3504"/>
      <c r="C2" s="3504"/>
      <c r="D2" s="3504"/>
      <c r="E2" s="3504"/>
      <c r="F2" s="3504"/>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505"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506"/>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20" workbookViewId="0">
      <selection activeCell="G222" sqref="G222"/>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3197">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3197">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3197">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07" t="s">
        <v>2079</v>
      </c>
      <c r="B1" s="3507"/>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2950</v>
      </c>
      <c r="B1" s="3079"/>
      <c r="C1" s="3079"/>
      <c r="D1" s="3079"/>
      <c r="E1" s="3079"/>
      <c r="F1" s="3079"/>
    </row>
    <row r="2" spans="1:6" ht="14.25">
      <c r="A2" s="3080" t="s">
        <v>2945</v>
      </c>
      <c r="B2" s="3081" t="e">
        <f ca="1">SUMIF(B7:B14,"&lt;&gt;#ref!",B7:B14)</f>
        <v>#DIV/0!</v>
      </c>
      <c r="C2" s="3080" t="s">
        <v>2946</v>
      </c>
      <c r="D2" s="3079"/>
      <c r="E2" s="3079"/>
      <c r="F2" s="3079"/>
    </row>
    <row r="3" spans="1:6" ht="14.25">
      <c r="A3" s="3080" t="s">
        <v>2978</v>
      </c>
      <c r="B3" s="3081" t="e">
        <f ca="1">ROUND(B2*10000/E3,0)</f>
        <v>#DIV/0!</v>
      </c>
      <c r="C3" s="3080" t="s">
        <v>2078</v>
      </c>
      <c r="D3" s="3080" t="s">
        <v>2947</v>
      </c>
      <c r="E3" s="3081">
        <f ca="1">SUMIF(E7:E14,"&lt;&gt;#ref!",E7:E14)</f>
        <v>0</v>
      </c>
      <c r="F3" s="3079"/>
    </row>
    <row r="4" spans="1:6" ht="14.25">
      <c r="A4" s="3080" t="s">
        <v>2954</v>
      </c>
      <c r="B4" s="3081" t="e">
        <f ca="1">ROUND(B2*10000/E4,0)</f>
        <v>#DIV/0!</v>
      </c>
      <c r="C4" s="3080" t="s">
        <v>2078</v>
      </c>
      <c r="D4" s="3080" t="s">
        <v>2955</v>
      </c>
      <c r="E4" s="3081">
        <f ca="1">SUMIF(F7:F14,"&lt;&gt;#ref!",F7:F14)</f>
        <v>0</v>
      </c>
      <c r="F4" s="3079"/>
    </row>
    <row r="5" spans="1:6" ht="14.25">
      <c r="A5" s="3082"/>
      <c r="B5" s="1880"/>
      <c r="C5" s="1880"/>
      <c r="D5" s="1880"/>
      <c r="E5" s="1880"/>
      <c r="F5" s="3079"/>
    </row>
    <row r="6" spans="1:6" ht="28.5">
      <c r="A6" s="3083" t="s">
        <v>2951</v>
      </c>
      <c r="B6" s="3080" t="s">
        <v>2948</v>
      </c>
      <c r="C6" s="3081"/>
      <c r="D6" s="1880"/>
      <c r="E6" s="3080" t="s">
        <v>2949</v>
      </c>
      <c r="F6" s="3080" t="s">
        <v>2953</v>
      </c>
    </row>
    <row r="7" spans="1:6" ht="14.25">
      <c r="A7" s="260" t="s">
        <v>2952</v>
      </c>
      <c r="B7" s="3084" t="e">
        <f ca="1">SUMIF(INDIRECT("'"&amp;A7&amp;"'"&amp;"!A:A"),"总价",INDIRECT("'"&amp;A7&amp;"'"&amp;"!B:B"))</f>
        <v>#DIV/0!</v>
      </c>
      <c r="C7" s="3080" t="s">
        <v>2946</v>
      </c>
      <c r="D7" s="1880"/>
      <c r="E7" s="3085">
        <f ca="1">SUMIF(INDIRECT("'"&amp;A7&amp;"'"&amp;"!C:C"),"建筑面积",INDIRECT("'"&amp;A7&amp;"'"&amp;"!D:D"))</f>
        <v>0</v>
      </c>
      <c r="F7" s="3085">
        <f ca="1">SUMIF(INDIRECT("'"&amp;A7&amp;"'"&amp;"!E:E"),"土地面积",INDIRECT("'"&amp;A7&amp;"'"&amp;"!F:F"))</f>
        <v>0</v>
      </c>
    </row>
    <row r="8" spans="1:6" ht="14.25">
      <c r="A8" s="260"/>
      <c r="B8" s="3084" t="e">
        <f t="shared" ref="B8:B14" ca="1" si="0">SUMIF(INDIRECT("'"&amp;A8&amp;"'"&amp;"!A:A"),"总价",INDIRECT("'"&amp;A8&amp;"'"&amp;"!B:B"))</f>
        <v>#REF!</v>
      </c>
      <c r="C8" s="3080" t="s">
        <v>2946</v>
      </c>
      <c r="D8" s="1880"/>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2946</v>
      </c>
      <c r="D9" s="1880"/>
      <c r="E9" s="3085" t="e">
        <f t="shared" ca="1" si="1"/>
        <v>#REF!</v>
      </c>
      <c r="F9" s="3085" t="e">
        <f t="shared" ca="1" si="2"/>
        <v>#REF!</v>
      </c>
    </row>
    <row r="10" spans="1:6" ht="14.25">
      <c r="A10" s="260"/>
      <c r="B10" s="3084" t="e">
        <f t="shared" ca="1" si="0"/>
        <v>#REF!</v>
      </c>
      <c r="C10" s="3080" t="s">
        <v>2946</v>
      </c>
      <c r="D10" s="1880"/>
      <c r="E10" s="3085" t="e">
        <f t="shared" ca="1" si="1"/>
        <v>#REF!</v>
      </c>
      <c r="F10" s="3085" t="e">
        <f t="shared" ca="1" si="2"/>
        <v>#REF!</v>
      </c>
    </row>
    <row r="11" spans="1:6" ht="14.25">
      <c r="A11" s="260"/>
      <c r="B11" s="3084" t="e">
        <f t="shared" ca="1" si="0"/>
        <v>#REF!</v>
      </c>
      <c r="C11" s="3080" t="s">
        <v>2946</v>
      </c>
      <c r="D11" s="1880"/>
      <c r="E11" s="3085" t="e">
        <f t="shared" ca="1" si="1"/>
        <v>#REF!</v>
      </c>
      <c r="F11" s="3085" t="e">
        <f t="shared" ca="1" si="2"/>
        <v>#REF!</v>
      </c>
    </row>
    <row r="12" spans="1:6" ht="14.25">
      <c r="A12" s="260"/>
      <c r="B12" s="3084" t="e">
        <f t="shared" ca="1" si="0"/>
        <v>#REF!</v>
      </c>
      <c r="C12" s="3080" t="s">
        <v>2946</v>
      </c>
      <c r="D12" s="1880"/>
      <c r="E12" s="3085" t="e">
        <f t="shared" ca="1" si="1"/>
        <v>#REF!</v>
      </c>
      <c r="F12" s="3085" t="e">
        <f t="shared" ca="1" si="2"/>
        <v>#REF!</v>
      </c>
    </row>
    <row r="13" spans="1:6" ht="14.25">
      <c r="A13" s="260"/>
      <c r="B13" s="3084" t="e">
        <f t="shared" ca="1" si="0"/>
        <v>#REF!</v>
      </c>
      <c r="C13" s="3080" t="s">
        <v>2946</v>
      </c>
      <c r="D13" s="1880"/>
      <c r="E13" s="3085" t="e">
        <f t="shared" ca="1" si="1"/>
        <v>#REF!</v>
      </c>
      <c r="F13" s="3085" t="e">
        <f t="shared" ca="1" si="2"/>
        <v>#REF!</v>
      </c>
    </row>
    <row r="14" spans="1:6" ht="14.25">
      <c r="A14" s="3078"/>
      <c r="B14" s="3084" t="e">
        <f t="shared" ca="1" si="0"/>
        <v>#REF!</v>
      </c>
      <c r="C14" s="3080" t="s">
        <v>2946</v>
      </c>
      <c r="D14" s="1880"/>
      <c r="E14" s="3085" t="e">
        <f t="shared" ca="1" si="1"/>
        <v>#REF!</v>
      </c>
      <c r="F14" s="308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4" t="s">
        <v>2374</v>
      </c>
      <c r="F1" s="2365">
        <f ca="1">J54</f>
        <v>-2</v>
      </c>
      <c r="G1" s="774">
        <f>MATCH(C1,'数据-取费表'!A6:A16,0)+5</f>
        <v>7</v>
      </c>
      <c r="H1" s="1348"/>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49"/>
      <c r="D2" s="2054"/>
      <c r="E2" s="2055"/>
      <c r="F2" s="2055"/>
      <c r="G2" s="1589"/>
      <c r="H2" s="1361"/>
      <c r="I2" s="2056"/>
      <c r="J2" s="2056"/>
      <c r="K2" s="2057"/>
      <c r="L2" s="2056"/>
      <c r="M2" s="2056"/>
    </row>
    <row r="3" spans="1:25" ht="18" customHeight="1">
      <c r="A3" s="1644" t="s">
        <v>1686</v>
      </c>
      <c r="B3" s="1390">
        <f ca="1">ROUND(B2*10000/'数据-汇总表'!E3,0)</f>
        <v>0</v>
      </c>
      <c r="C3" s="1349"/>
      <c r="D3" s="2054"/>
      <c r="E3" s="2055"/>
      <c r="F3" s="2055"/>
      <c r="G3" s="1589"/>
      <c r="H3" s="776" t="s">
        <v>695</v>
      </c>
      <c r="I3" s="2056"/>
      <c r="J3" s="2056"/>
      <c r="K3" s="2057"/>
      <c r="L3" s="2056"/>
      <c r="M3" s="2056"/>
    </row>
    <row r="4" spans="1:25" ht="18" customHeight="1">
      <c r="A4" s="1645" t="s">
        <v>696</v>
      </c>
      <c r="B4" s="1350">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2458</v>
      </c>
      <c r="C7" s="53">
        <f ca="1">C8+C12+C14</f>
        <v>0</v>
      </c>
      <c r="D7" s="2473" t="s">
        <v>2461</v>
      </c>
      <c r="E7" s="2467"/>
      <c r="F7" s="2468"/>
      <c r="G7" s="1591"/>
      <c r="H7" s="781">
        <v>1</v>
      </c>
      <c r="I7" s="782" t="s">
        <v>2458</v>
      </c>
      <c r="J7" s="53">
        <f ca="1">J8+J12+J14</f>
        <v>0</v>
      </c>
      <c r="K7" s="2473" t="s">
        <v>2461</v>
      </c>
      <c r="L7" s="2467"/>
      <c r="M7" s="2468"/>
    </row>
    <row r="8" spans="1:25" ht="18" customHeight="1">
      <c r="A8" s="1829" t="s">
        <v>1824</v>
      </c>
      <c r="B8" s="3509" t="s">
        <v>2463</v>
      </c>
      <c r="C8" s="1824">
        <f ca="1">ROUND(F8*F10*F9*(1-F11)/10000,0)</f>
        <v>0</v>
      </c>
      <c r="D8" s="1821" t="s">
        <v>2534</v>
      </c>
      <c r="E8" s="61" t="s">
        <v>637</v>
      </c>
      <c r="F8" s="785">
        <f ca="1">INDIRECT("'数据-取费表'!u"&amp;$G$1)</f>
        <v>0</v>
      </c>
      <c r="G8" s="1591"/>
      <c r="H8" s="2481" t="s">
        <v>1824</v>
      </c>
      <c r="I8" s="3509" t="s">
        <v>2463</v>
      </c>
      <c r="J8" s="783">
        <f ca="1">ROUND(M8*M10*M9*(1-M11)/10000,0)</f>
        <v>0</v>
      </c>
      <c r="K8" s="341" t="s">
        <v>2534</v>
      </c>
      <c r="L8" s="784" t="s">
        <v>1738</v>
      </c>
      <c r="M8" s="785">
        <f ca="1">INDIRECT("'数据-取费表'!z"&amp;$G$1)</f>
        <v>0</v>
      </c>
    </row>
    <row r="9" spans="1:25" ht="18" customHeight="1">
      <c r="A9" s="2477"/>
      <c r="B9" s="3510"/>
      <c r="C9" s="1825"/>
      <c r="D9" s="1822"/>
      <c r="E9" s="61" t="s">
        <v>638</v>
      </c>
      <c r="F9" s="785">
        <f ca="1">IF(INDIRECT("'数据-取费表'!ah"&amp;$G$1)="",INDIRECT("'数据-取费表'!k"&amp;$G$1),INDIRECT("'数据-取费表'!ah"&amp;$G$1))</f>
        <v>0</v>
      </c>
      <c r="G9" s="1591"/>
      <c r="H9" s="2466"/>
      <c r="I9" s="3510"/>
      <c r="J9" s="788"/>
      <c r="K9" s="789"/>
      <c r="L9" s="784" t="s">
        <v>1739</v>
      </c>
      <c r="M9" s="785">
        <f ca="1">F9</f>
        <v>0</v>
      </c>
    </row>
    <row r="10" spans="1:25" ht="18" customHeight="1">
      <c r="A10" s="2470"/>
      <c r="B10" s="3511"/>
      <c r="C10" s="1825"/>
      <c r="D10" s="1822"/>
      <c r="E10" s="61" t="s">
        <v>639</v>
      </c>
      <c r="F10" s="785">
        <f ca="1">INDIRECT("'数据-取费表'!ai"&amp;$G$1)</f>
        <v>0</v>
      </c>
      <c r="G10" s="1591"/>
      <c r="H10" s="2466"/>
      <c r="I10" s="3511"/>
      <c r="J10" s="788"/>
      <c r="K10" s="789"/>
      <c r="L10" s="784" t="s">
        <v>1740</v>
      </c>
      <c r="M10" s="785">
        <f ca="1">INDIRECT("'数据-取费表'!ai"&amp;$G$1)</f>
        <v>0</v>
      </c>
    </row>
    <row r="11" spans="1:25" ht="18" customHeight="1">
      <c r="A11" s="786"/>
      <c r="B11" s="3512"/>
      <c r="C11" s="1825"/>
      <c r="D11" s="1822"/>
      <c r="E11" s="61" t="s">
        <v>640</v>
      </c>
      <c r="F11" s="794">
        <f ca="1">INDIRECT("'数据-取费表'!w"&amp;$G$1)</f>
        <v>0</v>
      </c>
      <c r="G11" s="1591"/>
      <c r="H11" s="2482"/>
      <c r="I11" s="3511"/>
      <c r="J11" s="788"/>
      <c r="K11" s="789"/>
      <c r="L11" s="795" t="s">
        <v>1741</v>
      </c>
      <c r="M11" s="796">
        <f ca="1">INDIRECT("'数据-取费表'!ab"&amp;$G$1)</f>
        <v>0</v>
      </c>
    </row>
    <row r="12" spans="1:25" ht="18" customHeight="1">
      <c r="A12" s="1829" t="s">
        <v>1825</v>
      </c>
      <c r="B12" s="2471" t="s">
        <v>2459</v>
      </c>
      <c r="C12" s="799">
        <f ca="1">ROUND(IF(F12="押一",C8/12*F13,IF(F12="押二",C8/12*2*F13,IF(F12="押三",C8/12*3*F13,C13*F13))),0)</f>
        <v>0</v>
      </c>
      <c r="D12" s="2478" t="s">
        <v>2975</v>
      </c>
      <c r="E12" s="2475" t="s">
        <v>2464</v>
      </c>
      <c r="F12" s="2598"/>
      <c r="G12" s="1591"/>
      <c r="H12" s="2538" t="s">
        <v>1825</v>
      </c>
      <c r="I12" s="2543" t="s">
        <v>2459</v>
      </c>
      <c r="J12" s="783">
        <f ca="1">ROUND(IF(M12="押一",J8/12*M13,IF(M12="押二",J8/12*2*M13,IF(M12="押三",J8/12*3*M13,J13*M13))),0)</f>
        <v>0</v>
      </c>
      <c r="K12" s="2478" t="s">
        <v>2975</v>
      </c>
      <c r="L12" s="2475" t="s">
        <v>2464</v>
      </c>
      <c r="M12" s="2598"/>
    </row>
    <row r="13" spans="1:25" ht="18" customHeight="1">
      <c r="A13" s="790"/>
      <c r="B13" s="2472" t="s">
        <v>2573</v>
      </c>
      <c r="C13" s="2476"/>
      <c r="D13" s="789"/>
      <c r="E13" s="2475" t="s">
        <v>2456</v>
      </c>
      <c r="F13" s="796">
        <f ca="1">'数据-取费表'!B39</f>
        <v>1.4999999999999999E-2</v>
      </c>
      <c r="G13" s="1591"/>
      <c r="H13" s="2539"/>
      <c r="I13" s="2472" t="s">
        <v>2573</v>
      </c>
      <c r="J13" s="2476"/>
      <c r="K13" s="2540"/>
      <c r="L13" s="2475" t="s">
        <v>2456</v>
      </c>
      <c r="M13" s="2469">
        <f ca="1">'数据-取费表'!B39</f>
        <v>1.4999999999999999E-2</v>
      </c>
    </row>
    <row r="14" spans="1:25" ht="18" customHeight="1" thickBot="1">
      <c r="A14" s="2514" t="s">
        <v>2467</v>
      </c>
      <c r="B14" s="2515" t="s">
        <v>2460</v>
      </c>
      <c r="C14" s="2516"/>
      <c r="D14" s="2517"/>
      <c r="E14" s="2518"/>
      <c r="F14" s="2519"/>
      <c r="G14" s="1591"/>
      <c r="H14" s="2528" t="s">
        <v>2467</v>
      </c>
      <c r="I14" s="2541" t="s">
        <v>2460</v>
      </c>
      <c r="J14" s="2542"/>
      <c r="K14" s="2517"/>
      <c r="L14" s="2518"/>
      <c r="M14" s="2531"/>
    </row>
    <row r="15" spans="1:25" ht="18" customHeight="1" thickTop="1">
      <c r="A15" s="1828" t="s">
        <v>1874</v>
      </c>
      <c r="B15" s="1826" t="s">
        <v>641</v>
      </c>
      <c r="C15" s="792">
        <f ca="1">ROUND(C31*F15,0)</f>
        <v>0</v>
      </c>
      <c r="D15" s="1833" t="s">
        <v>642</v>
      </c>
      <c r="E15" s="795" t="s">
        <v>643</v>
      </c>
      <c r="F15" s="800">
        <f ca="1">INDIRECT("'数据-取费表'!y"&amp;$G$1)</f>
        <v>0</v>
      </c>
      <c r="G15" s="1591"/>
      <c r="H15" s="1828" t="s">
        <v>1826</v>
      </c>
      <c r="I15" s="1826" t="s">
        <v>644</v>
      </c>
      <c r="J15" s="1818">
        <f ca="1">ROUND(J16*J17,0)</f>
        <v>0</v>
      </c>
      <c r="K15" s="1820" t="s">
        <v>642</v>
      </c>
      <c r="L15" s="801"/>
      <c r="M15" s="802"/>
    </row>
    <row r="16" spans="1:25" ht="18" customHeight="1">
      <c r="A16" s="803" t="s">
        <v>1875</v>
      </c>
      <c r="B16" s="784" t="s">
        <v>645</v>
      </c>
      <c r="C16" s="804">
        <f ca="1">INDIRECT("'数据-取费表'!m"&amp;$G$1)+INDIRECT("'数据-取费表'!t"&amp;$G$1)</f>
        <v>0</v>
      </c>
      <c r="D16" s="1978" t="s">
        <v>646</v>
      </c>
      <c r="E16" s="1979"/>
      <c r="F16" s="805"/>
      <c r="G16" s="1591"/>
      <c r="H16" s="803" t="s">
        <v>2069</v>
      </c>
      <c r="I16" s="2230" t="s">
        <v>2824</v>
      </c>
      <c r="J16" s="53">
        <f ca="1">C31</f>
        <v>0</v>
      </c>
      <c r="K16" s="26"/>
      <c r="L16" s="801"/>
      <c r="M16" s="802"/>
    </row>
    <row r="17" spans="1:25" s="2063" customFormat="1" ht="18" customHeight="1">
      <c r="A17" s="803" t="s">
        <v>1849</v>
      </c>
      <c r="B17" s="784" t="s">
        <v>647</v>
      </c>
      <c r="C17" s="53">
        <f ca="1">ROUND(C16*F17,0)</f>
        <v>0</v>
      </c>
      <c r="D17" s="806" t="s">
        <v>648</v>
      </c>
      <c r="E17" s="806" t="s">
        <v>649</v>
      </c>
      <c r="F17" s="807">
        <f>'数据-取费表'!B33</f>
        <v>0.05</v>
      </c>
      <c r="G17" s="1592"/>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1"/>
      <c r="M18" s="56"/>
    </row>
    <row r="19" spans="1:25" s="2063" customFormat="1" ht="18" customHeight="1">
      <c r="A19" s="803" t="s">
        <v>1851</v>
      </c>
      <c r="B19" s="784" t="s">
        <v>653</v>
      </c>
      <c r="C19" s="53">
        <f ca="1">ROUND(F19*(INDIRECT("'数据-取费表'!k"&amp;$G$1)+INDIRECT("'数据-取费表'!S"&amp;$G$1))/10000,0)</f>
        <v>0</v>
      </c>
      <c r="D19" s="784" t="s">
        <v>654</v>
      </c>
      <c r="E19" s="784" t="s">
        <v>655</v>
      </c>
      <c r="F19" s="56">
        <f>'数据-取费表'!B35</f>
        <v>200</v>
      </c>
      <c r="G19" s="1592"/>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662</v>
      </c>
      <c r="C21" s="53">
        <f ca="1">SUM(C16:C20)</f>
        <v>0</v>
      </c>
      <c r="D21" s="261" t="s">
        <v>663</v>
      </c>
      <c r="E21" s="1981"/>
      <c r="F21" s="56"/>
      <c r="G21" s="1591"/>
      <c r="H21" s="1829" t="s">
        <v>1849</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1877</v>
      </c>
      <c r="B22" s="784" t="s">
        <v>666</v>
      </c>
      <c r="C22" s="53">
        <f ca="1">ROUND(C21*F22,0)</f>
        <v>0</v>
      </c>
      <c r="D22" s="812" t="s">
        <v>667</v>
      </c>
      <c r="E22" s="784" t="s">
        <v>649</v>
      </c>
      <c r="F22" s="809">
        <f>'数据-取费表'!B37</f>
        <v>0.03</v>
      </c>
      <c r="G22" s="1592"/>
      <c r="H22" s="1831" t="s">
        <v>1850</v>
      </c>
      <c r="I22" s="1821" t="s">
        <v>668</v>
      </c>
      <c r="J22" s="54">
        <f ca="1">ROUND(M22*M23/10000,0)</f>
        <v>0</v>
      </c>
      <c r="K22" s="814" t="s">
        <v>669</v>
      </c>
      <c r="L22" s="784" t="s">
        <v>670</v>
      </c>
      <c r="M22" s="640">
        <f>'数据-取费表'!B52</f>
        <v>1.5</v>
      </c>
      <c r="N22" s="2062"/>
      <c r="O22" s="2062"/>
      <c r="P22" s="2062"/>
      <c r="Q22" s="2062"/>
      <c r="R22" s="2062"/>
      <c r="S22" s="2062"/>
      <c r="T22" s="2062"/>
      <c r="U22" s="2062"/>
      <c r="V22" s="2062"/>
      <c r="W22" s="2062"/>
      <c r="X22" s="2062"/>
      <c r="Y22" s="2062"/>
    </row>
    <row r="23" spans="1:25" s="2063" customFormat="1" ht="18" customHeight="1">
      <c r="A23" s="803" t="s">
        <v>1878</v>
      </c>
      <c r="B23" s="784" t="s">
        <v>671</v>
      </c>
      <c r="C23" s="53" t="s">
        <v>1</v>
      </c>
      <c r="D23" s="812" t="s">
        <v>672</v>
      </c>
      <c r="E23" s="784" t="s">
        <v>673</v>
      </c>
      <c r="F23" s="809">
        <f>'数据-取费表'!B38</f>
        <v>2.5000000000000001E-2</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675</v>
      </c>
      <c r="C24" s="53"/>
      <c r="D24" s="2549" t="str">
        <f>IF(F25&lt;=1,"单利计息。","复利计息。")&amp;"建造成本、管理费用、销售费用产生的利息。"</f>
        <v>复利计息。建造成本、管理费用、销售费用产生的利息。</v>
      </c>
      <c r="E24" s="1981"/>
      <c r="F24" s="56"/>
      <c r="G24" s="1591"/>
      <c r="H24" s="1830" t="s">
        <v>2070</v>
      </c>
      <c r="I24" s="784" t="s">
        <v>676</v>
      </c>
      <c r="J24" s="53">
        <f ca="1">ROUND(J16*M24,0)</f>
        <v>0</v>
      </c>
      <c r="K24" s="1976" t="s">
        <v>677</v>
      </c>
      <c r="L24" s="784" t="s">
        <v>649</v>
      </c>
      <c r="M24" s="817">
        <f ca="1">INDIRECT("'数据-取费表'!Ak"&amp;$G$1)</f>
        <v>0</v>
      </c>
    </row>
    <row r="25" spans="1:25" s="2063" customFormat="1" ht="18" customHeight="1">
      <c r="A25" s="803" t="s">
        <v>1875</v>
      </c>
      <c r="B25" s="784" t="s">
        <v>2437</v>
      </c>
      <c r="C25" s="53">
        <f ca="1">ROUND(IF('数据-取费表'!B22&lt;=1,(C21+C22)*F26*F25/2,(C21+C22)*(POWER((1+F26),F25/2)-1)),0)</f>
        <v>0</v>
      </c>
      <c r="D25" s="2548" t="str">
        <f>IF(F25&lt;=1,"(建造成本+管理费用)×利率×(建设周期÷2)","(建造成本+管理费用)×((1+利率)^(建设周期÷2)-1)")</f>
        <v>(建造成本+管理费用)×((1+利率)^(建设周期÷2)-1)</v>
      </c>
      <c r="E25" s="784" t="s">
        <v>678</v>
      </c>
      <c r="F25" s="640">
        <f>'数据-取费表'!B20</f>
        <v>2</v>
      </c>
      <c r="G25" s="1592"/>
      <c r="H25" s="803" t="s">
        <v>1878</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681</v>
      </c>
      <c r="C26" s="53">
        <f ca="1">ROUND(IF('数据-取费表'!B22&lt;=1,F23*F26*F25/2,F23*(POWER((1+F26),F25/2)-1)),4)</f>
        <v>1.1999999999999999E-3</v>
      </c>
      <c r="D26" s="2548"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684</v>
      </c>
      <c r="C27" s="53"/>
      <c r="D27" s="261" t="s">
        <v>685</v>
      </c>
      <c r="E27" s="1981"/>
      <c r="F27" s="56"/>
      <c r="G27" s="1591"/>
      <c r="H27" s="797" t="s">
        <v>1828</v>
      </c>
      <c r="I27" s="2984" t="s">
        <v>2821</v>
      </c>
      <c r="J27" s="799">
        <f ca="1">J7-J18</f>
        <v>0</v>
      </c>
      <c r="K27" s="1978" t="s">
        <v>700</v>
      </c>
      <c r="L27" s="1980"/>
      <c r="M27" s="820"/>
    </row>
    <row r="28" spans="1:25" ht="18" customHeight="1">
      <c r="A28" s="803" t="s">
        <v>1875</v>
      </c>
      <c r="B28" s="784" t="s">
        <v>2438</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7" t="s">
        <v>1883</v>
      </c>
      <c r="B31" s="2518" t="s">
        <v>2822</v>
      </c>
      <c r="C31" s="2521">
        <f ca="1">ROUND((C21+C22+C25+C28)/(1-F23-C26-C29-C30),0)</f>
        <v>0</v>
      </c>
      <c r="D31" s="2522"/>
      <c r="E31" s="2523"/>
      <c r="F31" s="2524"/>
      <c r="G31" s="1592"/>
      <c r="H31" s="823" t="s">
        <v>1872</v>
      </c>
      <c r="I31" s="2985"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4"/>
      <c r="F32" s="2468"/>
      <c r="G32" s="2061"/>
      <c r="H32" s="2064"/>
      <c r="I32" s="2065"/>
      <c r="J32" s="2066"/>
      <c r="K32" s="2067"/>
      <c r="L32" s="2068"/>
      <c r="M32" s="2069"/>
    </row>
    <row r="33" spans="1:18" ht="18" customHeight="1">
      <c r="A33" s="803" t="s">
        <v>1876</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1"/>
      <c r="H35" s="2076"/>
      <c r="I35" s="2076"/>
      <c r="J35" s="2076"/>
      <c r="K35" s="2077"/>
      <c r="L35" s="2076"/>
      <c r="M35" s="2076"/>
    </row>
    <row r="36" spans="1:18" ht="18" customHeight="1">
      <c r="A36" s="813" t="s">
        <v>1880</v>
      </c>
      <c r="B36" s="341" t="s">
        <v>668</v>
      </c>
      <c r="C36" s="54">
        <f ca="1">ROUND(F36*F37/10000,1)</f>
        <v>0</v>
      </c>
      <c r="D36" s="814" t="s">
        <v>669</v>
      </c>
      <c r="E36" s="784" t="s">
        <v>670</v>
      </c>
      <c r="F36" s="640">
        <f>'数据-取费表'!B52</f>
        <v>1.5</v>
      </c>
      <c r="G36" s="2061"/>
      <c r="H36" s="2064"/>
      <c r="I36" s="3508"/>
      <c r="J36" s="2078"/>
      <c r="K36" s="2079"/>
      <c r="L36" s="2078"/>
      <c r="M36" s="2078"/>
    </row>
    <row r="37" spans="1:18" ht="18" customHeight="1">
      <c r="A37" s="815"/>
      <c r="B37" s="793"/>
      <c r="C37" s="69"/>
      <c r="D37" s="816"/>
      <c r="E37" s="784" t="s">
        <v>674</v>
      </c>
      <c r="F37" s="785">
        <f ca="1">INDIRECT("'数据-取费表'!r"&amp;$G$1)</f>
        <v>0</v>
      </c>
      <c r="G37" s="2061"/>
      <c r="H37" s="2064"/>
      <c r="I37" s="3508"/>
      <c r="J37" s="2076"/>
      <c r="K37" s="2077"/>
      <c r="L37" s="2076"/>
      <c r="M37" s="2076"/>
    </row>
    <row r="38" spans="1:18" ht="18" customHeight="1">
      <c r="A38" s="803" t="s">
        <v>1877</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1878</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7" t="s">
        <v>1879</v>
      </c>
      <c r="B40" s="2523" t="s">
        <v>666</v>
      </c>
      <c r="C40" s="2521">
        <f ca="1">ROUND(C7*F40,1)</f>
        <v>0</v>
      </c>
      <c r="D40" s="2522" t="s">
        <v>683</v>
      </c>
      <c r="E40" s="2523" t="s">
        <v>649</v>
      </c>
      <c r="F40" s="2519">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3" t="s">
        <v>1876</v>
      </c>
      <c r="B42" s="835" t="s">
        <v>693</v>
      </c>
      <c r="C42" s="829">
        <f ca="1">C7-C32</f>
        <v>0</v>
      </c>
      <c r="D42" s="1978" t="s">
        <v>694</v>
      </c>
      <c r="E42" s="1980"/>
      <c r="F42" s="820"/>
      <c r="G42" s="2061"/>
      <c r="H42" s="2061"/>
      <c r="I42" s="2061"/>
      <c r="J42" s="2061"/>
      <c r="K42" s="2082"/>
      <c r="L42" s="2061"/>
      <c r="M42" s="2061"/>
    </row>
    <row r="43" spans="1:18" ht="18" customHeight="1">
      <c r="A43" s="803" t="s">
        <v>1877</v>
      </c>
      <c r="B43" s="835" t="s">
        <v>711</v>
      </c>
      <c r="C43" s="836">
        <f ca="1">ROUND(C15*F43,0)</f>
        <v>0</v>
      </c>
      <c r="D43" s="1354" t="s">
        <v>712</v>
      </c>
      <c r="E43" s="3096" t="s">
        <v>2963</v>
      </c>
      <c r="F43" s="3097">
        <f ca="1">INDIRECT("'数据-取费表'!j"&amp;$G$1)</f>
        <v>0</v>
      </c>
      <c r="G43" s="2061"/>
      <c r="H43" s="2061"/>
      <c r="I43" s="2061"/>
      <c r="J43" s="2061"/>
      <c r="K43" s="2082"/>
      <c r="L43" s="2061"/>
      <c r="M43" s="2061"/>
    </row>
    <row r="44" spans="1:18" ht="18" customHeight="1">
      <c r="A44" s="803" t="s">
        <v>1878</v>
      </c>
      <c r="B44" s="835" t="s">
        <v>713</v>
      </c>
      <c r="C44" s="1355">
        <f ca="1">C42-C43</f>
        <v>0</v>
      </c>
      <c r="D44" s="463" t="s">
        <v>714</v>
      </c>
      <c r="E44" s="464"/>
      <c r="F44" s="465"/>
      <c r="G44" s="2061"/>
      <c r="H44" s="2061"/>
      <c r="I44" s="2061"/>
      <c r="J44" s="2061"/>
      <c r="K44" s="2082"/>
      <c r="L44" s="2061"/>
      <c r="M44" s="2061"/>
    </row>
    <row r="45" spans="1:18" ht="18" customHeight="1">
      <c r="A45" s="803" t="s">
        <v>1879</v>
      </c>
      <c r="B45" s="1354" t="s">
        <v>715</v>
      </c>
      <c r="C45" s="3011">
        <f ca="1">ROUND(-PV(F45,F46,C44,0),0)</f>
        <v>0</v>
      </c>
      <c r="D45" s="1356" t="s">
        <v>716</v>
      </c>
      <c r="E45" s="806" t="s">
        <v>717</v>
      </c>
      <c r="F45" s="830">
        <f ca="1">INDIRECT("'数据-取费表'!h"&amp;$G$1)</f>
        <v>0</v>
      </c>
      <c r="G45" s="2061"/>
      <c r="H45" s="2061"/>
      <c r="I45" s="2061"/>
      <c r="J45" s="2061"/>
      <c r="K45" s="2082"/>
      <c r="L45" s="2061"/>
      <c r="M45" s="2061"/>
    </row>
    <row r="46" spans="1:18" ht="18" customHeight="1" thickBot="1">
      <c r="A46" s="831"/>
      <c r="B46" s="1357"/>
      <c r="C46" s="1358"/>
      <c r="D46" s="1359"/>
      <c r="E46" s="3098" t="s">
        <v>2966</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5" t="s">
        <v>2343</v>
      </c>
      <c r="J47" s="2356"/>
      <c r="K47" s="2357"/>
      <c r="L47" s="3131" t="str">
        <f ca="1">IF(M48="住宅",0,IF(L49&gt;J52,L61,J61))</f>
        <v>0</v>
      </c>
      <c r="O47" s="2371" t="s">
        <v>2410</v>
      </c>
      <c r="P47" s="1591"/>
      <c r="Q47" s="1603"/>
      <c r="R47" s="1591"/>
    </row>
    <row r="48" spans="1:18" s="2058" customFormat="1" ht="18" customHeight="1" thickBot="1">
      <c r="A48" s="2083"/>
      <c r="C48" s="2086"/>
      <c r="D48" s="2087"/>
      <c r="E48" s="2087"/>
      <c r="F48" s="2088"/>
      <c r="G48" s="2089"/>
      <c r="I48" s="3121" t="s">
        <v>2344</v>
      </c>
      <c r="J48" s="2358"/>
      <c r="K48" s="3128" t="s">
        <v>2349</v>
      </c>
      <c r="L48" s="3132">
        <f ca="1">INDIRECT("'数据-取费表'!d"&amp;$G$1)</f>
        <v>0</v>
      </c>
      <c r="M48" s="3095" t="str">
        <f>IF(ISNUMBER(FIND("住宅",C1)),"住宅","非住宅")</f>
        <v>非住宅</v>
      </c>
      <c r="O48" s="2372" t="s">
        <v>2375</v>
      </c>
      <c r="P48" s="2373" t="s">
        <v>2376</v>
      </c>
      <c r="Q48" s="2374" t="s">
        <v>2377</v>
      </c>
      <c r="R48" s="2373" t="s">
        <v>2378</v>
      </c>
    </row>
    <row r="49" spans="1:18" s="2058" customFormat="1" ht="18" customHeight="1" thickBot="1">
      <c r="A49" s="2083"/>
      <c r="D49" s="2090"/>
      <c r="E49" s="2091"/>
      <c r="F49" s="2088"/>
      <c r="G49" s="2089"/>
      <c r="H49" s="2092"/>
      <c r="I49" s="3100" t="s">
        <v>2345</v>
      </c>
      <c r="J49" s="2359"/>
      <c r="K49" s="3129" t="s">
        <v>2351</v>
      </c>
      <c r="L49" s="1907">
        <f ca="1">INDIRECT("'数据-取费表'!f"&amp;$G$1)</f>
        <v>0</v>
      </c>
      <c r="O49" s="2375" t="s">
        <v>2379</v>
      </c>
      <c r="P49" s="2376" t="s">
        <v>2405</v>
      </c>
      <c r="Q49" s="2377">
        <f ca="1">C41+J31</f>
        <v>0</v>
      </c>
      <c r="R49" s="2376" t="s">
        <v>2380</v>
      </c>
    </row>
    <row r="50" spans="1:18" s="2058" customFormat="1" ht="18" customHeight="1" thickBot="1">
      <c r="A50" s="2083"/>
      <c r="D50" s="2093"/>
      <c r="E50" s="2093"/>
      <c r="F50" s="2087"/>
      <c r="G50" s="2094"/>
      <c r="H50" s="2092"/>
      <c r="I50" s="3100" t="s">
        <v>2346</v>
      </c>
      <c r="J50" s="2360"/>
      <c r="K50" s="3130" t="s">
        <v>2352</v>
      </c>
      <c r="L50" s="2361"/>
      <c r="O50" s="2375" t="s">
        <v>2381</v>
      </c>
      <c r="P50" s="2376" t="s">
        <v>2406</v>
      </c>
      <c r="Q50" s="2377" t="str">
        <f ca="1">J61</f>
        <v>0</v>
      </c>
      <c r="R50" s="2376" t="s">
        <v>2382</v>
      </c>
    </row>
    <row r="51" spans="1:18" s="2058" customFormat="1" ht="18" customHeight="1" thickBot="1">
      <c r="A51" s="2095"/>
      <c r="D51" s="2093"/>
      <c r="E51" s="2093"/>
      <c r="F51" s="2084"/>
      <c r="H51" s="2092"/>
      <c r="I51" s="3100" t="s">
        <v>2347</v>
      </c>
      <c r="J51" s="3125">
        <f>SUMPRODUCT((I64:I66=J48)*(J63:L63=J49)*(J64:L66))</f>
        <v>0</v>
      </c>
      <c r="K51" s="3130" t="s">
        <v>2353</v>
      </c>
      <c r="L51" s="2361"/>
      <c r="O51" s="2378" t="s">
        <v>2383</v>
      </c>
      <c r="P51" s="2376" t="s">
        <v>2407</v>
      </c>
      <c r="Q51" s="2377">
        <f ca="1">C31</f>
        <v>0</v>
      </c>
      <c r="R51" s="2376" t="s">
        <v>2380</v>
      </c>
    </row>
    <row r="52" spans="1:18" s="2058" customFormat="1" ht="18" customHeight="1" thickBot="1">
      <c r="A52" s="2095"/>
      <c r="F52" s="2084"/>
      <c r="I52" s="3122" t="s">
        <v>2348</v>
      </c>
      <c r="J52" s="3126">
        <f>IF(J50="",J51,J50+J51-YEAR('数据-取费表'!B3))</f>
        <v>0</v>
      </c>
      <c r="K52" s="3100" t="s">
        <v>2354</v>
      </c>
      <c r="L52" s="3133">
        <f ca="1">ROUND(-PV(INDIRECT("'数据-取费表'!h"&amp;$G$1),L49,(C40-C14*J36),0),0)</f>
        <v>0</v>
      </c>
      <c r="O52" s="2378" t="s">
        <v>2384</v>
      </c>
      <c r="P52" s="2376" t="s">
        <v>2385</v>
      </c>
      <c r="Q52" s="2379" t="e">
        <f ca="1">J59</f>
        <v>#VALUE!</v>
      </c>
      <c r="R52" s="2380"/>
    </row>
    <row r="53" spans="1:18" s="2058" customFormat="1" ht="18" customHeight="1" thickBot="1">
      <c r="A53" s="2095"/>
      <c r="F53" s="2084"/>
      <c r="I53" s="3123" t="s">
        <v>2421</v>
      </c>
      <c r="J53" s="2362"/>
      <c r="K53" s="3123" t="s">
        <v>2420</v>
      </c>
      <c r="L53" s="2362"/>
      <c r="O53" s="2378" t="s">
        <v>2386</v>
      </c>
      <c r="P53" s="2376" t="s">
        <v>2387</v>
      </c>
      <c r="Q53" s="2379">
        <f>J53</f>
        <v>0</v>
      </c>
      <c r="R53" s="2380"/>
    </row>
    <row r="54" spans="1:18" s="2058" customFormat="1" ht="29.25" thickBot="1">
      <c r="A54" s="2095"/>
      <c r="I54" s="3124" t="s">
        <v>2979</v>
      </c>
      <c r="J54" s="3127">
        <f ca="1">IF(M48="住宅",MAX(J52,L49-'数据-取费表'!B20),MIN(J52,L49-'数据-取费表'!B20))</f>
        <v>-2</v>
      </c>
      <c r="K54" s="3513"/>
      <c r="L54" s="3514"/>
      <c r="O54" s="2378" t="s">
        <v>2388</v>
      </c>
      <c r="P54" s="2376" t="s">
        <v>2389</v>
      </c>
      <c r="Q54" s="2377">
        <f ca="1">J54</f>
        <v>-2</v>
      </c>
      <c r="R54" s="2376" t="s">
        <v>2390</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5" t="s">
        <v>2391</v>
      </c>
      <c r="P55" s="2376" t="s">
        <v>2408</v>
      </c>
      <c r="Q55" s="2377">
        <f ca="1">Q49+Q50</f>
        <v>0</v>
      </c>
      <c r="R55" s="2380" t="s">
        <v>2392</v>
      </c>
    </row>
    <row r="56" spans="1:18" s="2058" customFormat="1" ht="16.5" thickBot="1">
      <c r="A56" s="2095"/>
      <c r="B56" s="2096"/>
      <c r="C56" s="2096"/>
      <c r="I56" s="3136" t="s">
        <v>2355</v>
      </c>
      <c r="J56" s="3075" t="e">
        <f ca="1">ROUND(IF(J48="钢混",J58/J51,1-(1-2%)*(J51-J58)/J51),3)</f>
        <v>#VALUE!</v>
      </c>
      <c r="K56" s="3137" t="s">
        <v>2356</v>
      </c>
      <c r="L56" s="2363"/>
      <c r="O56" s="2381" t="s">
        <v>2411</v>
      </c>
      <c r="P56" s="1591"/>
      <c r="Q56" s="1603"/>
      <c r="R56" s="1591"/>
    </row>
    <row r="57" spans="1:18" s="2058" customFormat="1" ht="43.5" thickBot="1">
      <c r="A57" s="2095"/>
      <c r="B57" s="2096"/>
      <c r="C57" s="2096"/>
      <c r="I57" s="3138" t="s">
        <v>2357</v>
      </c>
      <c r="J57" s="3148" t="s">
        <v>1678</v>
      </c>
      <c r="K57" s="3100" t="s">
        <v>2362</v>
      </c>
      <c r="L57" s="1907">
        <f ca="1">IF(L49&lt;J52,"——",L49-J52)</f>
        <v>0</v>
      </c>
      <c r="O57" s="2372" t="s">
        <v>2375</v>
      </c>
      <c r="P57" s="2373" t="s">
        <v>2376</v>
      </c>
      <c r="Q57" s="2374" t="s">
        <v>2377</v>
      </c>
      <c r="R57" s="2373" t="s">
        <v>2378</v>
      </c>
    </row>
    <row r="58" spans="1:18" s="2058" customFormat="1" ht="29.25" thickBot="1">
      <c r="A58" s="2095"/>
      <c r="B58" s="2096"/>
      <c r="C58" s="2096"/>
      <c r="I58" s="3139" t="s">
        <v>2358</v>
      </c>
      <c r="J58" s="3140" t="str">
        <f ca="1">IF(OR(M48="住宅",J52&lt;L49,J57="是"),"——",J52-L49)</f>
        <v>——</v>
      </c>
      <c r="K58" s="3100" t="s">
        <v>2363</v>
      </c>
      <c r="L58" s="1907">
        <f ca="1">IF(L49&lt;J52,"——",IF(L56="比较法",L50,IF(L56="基准地价",L51,L52)))</f>
        <v>0</v>
      </c>
      <c r="O58" s="2375" t="s">
        <v>2379</v>
      </c>
      <c r="P58" s="2376" t="s">
        <v>2405</v>
      </c>
      <c r="Q58" s="2377">
        <f ca="1">C41+J31</f>
        <v>0</v>
      </c>
      <c r="R58" s="2376" t="s">
        <v>2380</v>
      </c>
    </row>
    <row r="59" spans="1:18" s="2058" customFormat="1" ht="29.25" thickBot="1">
      <c r="A59" s="2095"/>
      <c r="B59" s="2096"/>
      <c r="C59" s="2096"/>
      <c r="I59" s="3139" t="s">
        <v>2359</v>
      </c>
      <c r="J59" s="3076" t="e">
        <f ca="1">IF(J56&lt;0.4,0.4,J56)</f>
        <v>#VALUE!</v>
      </c>
      <c r="K59" s="3100" t="s">
        <v>2364</v>
      </c>
      <c r="L59" s="1907">
        <f ca="1">IF(ISERROR(POWER(1+L53,L48-L49)*(POWER(1+L53,L49)-1)/(POWER(1+L53,L48)-1)),0,POWER(1+L53,L48-L49)*(POWER(1+L53,L49)-1)/(POWER(1+L53,L48)-1))</f>
        <v>0</v>
      </c>
      <c r="O59" s="2375" t="s">
        <v>2381</v>
      </c>
      <c r="P59" s="2376" t="s">
        <v>2412</v>
      </c>
      <c r="Q59" s="2377" t="e">
        <f ca="1">L61</f>
        <v>#DIV/0!</v>
      </c>
      <c r="R59" s="2380" t="s">
        <v>2414</v>
      </c>
    </row>
    <row r="60" spans="1:18" s="2058" customFormat="1" ht="29.25" thickBot="1">
      <c r="A60" s="2095"/>
      <c r="B60" s="2096"/>
      <c r="C60" s="2096"/>
      <c r="I60" s="3139" t="s">
        <v>2360</v>
      </c>
      <c r="J60" s="3140" t="str">
        <f ca="1">IF(OR(M48="住宅",J52&lt;L49,J57="是"),"——",ROUND(C30*J59,0))</f>
        <v>——</v>
      </c>
      <c r="K60" s="3100" t="s">
        <v>2365</v>
      </c>
      <c r="L60" s="1907">
        <f ca="1">IF(ISERROR(POWER(1+L53,L48-J52)*(POWER(1+L53,J52)-1)/(POWER(1+L53,L48)-1)),0,POWER(1+L53,L48-J52)*(POWER(1+L53,J52)-1)/(POWER(1+L53,L48)-1))</f>
        <v>0</v>
      </c>
      <c r="O60" s="2378" t="s">
        <v>2383</v>
      </c>
      <c r="P60" s="2376" t="s">
        <v>2413</v>
      </c>
      <c r="Q60" s="2377">
        <f>IF(L56="比较法",L50,IF(L56="基准地价",L51,0))</f>
        <v>0</v>
      </c>
      <c r="R60" s="2376" t="s">
        <v>2380</v>
      </c>
    </row>
    <row r="61" spans="1:18" s="2058" customFormat="1" ht="15.75" thickBot="1">
      <c r="A61" s="2095"/>
      <c r="B61" s="2096"/>
      <c r="C61" s="2096"/>
      <c r="I61" s="3141" t="s">
        <v>2361</v>
      </c>
      <c r="J61" s="3142" t="str">
        <f ca="1">IF(OR(M48="住宅",J52&lt;L49,J57="是"),"0",ROUND(J60/(1+J53)^J54,0))</f>
        <v>0</v>
      </c>
      <c r="K61" s="3143" t="s">
        <v>2366</v>
      </c>
      <c r="L61" s="3142" t="e">
        <f ca="1">IF(OR(M48="住宅",L49&lt;J52),0,ROUND(L58*(L59/L60-1),0))</f>
        <v>#DIV/0!</v>
      </c>
      <c r="O61" s="2378" t="s">
        <v>2384</v>
      </c>
      <c r="P61" s="2376" t="s">
        <v>2393</v>
      </c>
      <c r="Q61" s="2379">
        <f>L53</f>
        <v>0</v>
      </c>
      <c r="R61" s="2380"/>
    </row>
    <row r="62" spans="1:18" s="2058" customFormat="1" ht="20.25" thickBot="1">
      <c r="A62" s="2095"/>
      <c r="B62" s="2096"/>
      <c r="C62" s="2096"/>
      <c r="K62" s="2085"/>
      <c r="O62" s="2378" t="s">
        <v>2386</v>
      </c>
      <c r="P62" s="2376" t="s">
        <v>2394</v>
      </c>
      <c r="Q62" s="2377">
        <f ca="1">L59</f>
        <v>0</v>
      </c>
      <c r="R62" s="2380" t="s">
        <v>2395</v>
      </c>
    </row>
    <row r="63" spans="1:18" s="2058" customFormat="1" ht="20.25" thickBot="1">
      <c r="A63" s="2095"/>
      <c r="B63" s="2096"/>
      <c r="C63" s="2096"/>
      <c r="I63" s="3144" t="s">
        <v>2367</v>
      </c>
      <c r="J63" s="3145" t="s">
        <v>2368</v>
      </c>
      <c r="K63" s="3145" t="s">
        <v>2369</v>
      </c>
      <c r="L63" s="3145" t="s">
        <v>2350</v>
      </c>
      <c r="M63" s="3146" t="s">
        <v>2943</v>
      </c>
      <c r="O63" s="2378" t="s">
        <v>2388</v>
      </c>
      <c r="P63" s="2376" t="s">
        <v>2396</v>
      </c>
      <c r="Q63" s="2377">
        <f ca="1">L60</f>
        <v>0</v>
      </c>
      <c r="R63" s="2380" t="s">
        <v>2397</v>
      </c>
    </row>
    <row r="64" spans="1:18" s="2058" customFormat="1" ht="15.75" thickBot="1">
      <c r="A64" s="2095"/>
      <c r="B64" s="2096"/>
      <c r="C64" s="2096"/>
      <c r="I64" s="3144" t="s">
        <v>2370</v>
      </c>
      <c r="J64" s="3145">
        <v>70</v>
      </c>
      <c r="K64" s="3145">
        <v>50</v>
      </c>
      <c r="L64" s="3145">
        <v>80</v>
      </c>
      <c r="M64" s="3147">
        <v>0.02</v>
      </c>
      <c r="O64" s="2375" t="s">
        <v>2391</v>
      </c>
      <c r="P64" s="2376" t="s">
        <v>2408</v>
      </c>
      <c r="Q64" s="2377" t="e">
        <f ca="1">Q58+Q59</f>
        <v>#DIV/0!</v>
      </c>
      <c r="R64" s="2380" t="s">
        <v>2392</v>
      </c>
    </row>
    <row r="65" spans="1:18" s="2058" customFormat="1" ht="16.5" thickBot="1">
      <c r="A65" s="2095"/>
      <c r="B65" s="2096"/>
      <c r="C65" s="2096"/>
      <c r="I65" s="3144" t="s">
        <v>2371</v>
      </c>
      <c r="J65" s="3145">
        <v>50</v>
      </c>
      <c r="K65" s="3145">
        <v>35</v>
      </c>
      <c r="L65" s="3145">
        <v>60</v>
      </c>
      <c r="M65" s="846">
        <v>0</v>
      </c>
      <c r="O65" s="2381" t="s">
        <v>2415</v>
      </c>
      <c r="P65" s="1591"/>
      <c r="Q65" s="1603"/>
      <c r="R65" s="1591"/>
    </row>
    <row r="66" spans="1:18" s="2058" customFormat="1" ht="15.75" thickBot="1">
      <c r="A66" s="2095"/>
      <c r="B66" s="2096"/>
      <c r="C66" s="2096"/>
      <c r="I66" s="3144" t="s">
        <v>2372</v>
      </c>
      <c r="J66" s="3145">
        <v>40</v>
      </c>
      <c r="K66" s="3145">
        <v>30</v>
      </c>
      <c r="L66" s="3145">
        <v>50</v>
      </c>
      <c r="M66" s="3147">
        <v>0.02</v>
      </c>
      <c r="O66" s="2372" t="s">
        <v>2375</v>
      </c>
      <c r="P66" s="2373" t="s">
        <v>2376</v>
      </c>
      <c r="Q66" s="2374" t="s">
        <v>2377</v>
      </c>
      <c r="R66" s="2373" t="s">
        <v>2378</v>
      </c>
    </row>
    <row r="67" spans="1:18" s="2058" customFormat="1" ht="15.75" thickBot="1">
      <c r="A67" s="2095"/>
      <c r="B67" s="2096"/>
      <c r="C67" s="2096"/>
      <c r="K67" s="2085"/>
      <c r="O67" s="2375" t="s">
        <v>2379</v>
      </c>
      <c r="P67" s="2376" t="s">
        <v>2405</v>
      </c>
      <c r="Q67" s="2377">
        <f ca="1">C41+J31</f>
        <v>0</v>
      </c>
      <c r="R67" s="2376" t="s">
        <v>2380</v>
      </c>
    </row>
    <row r="68" spans="1:18" s="2058" customFormat="1" ht="20.25" thickBot="1">
      <c r="A68" s="2095"/>
      <c r="B68" s="2096"/>
      <c r="C68" s="2096"/>
      <c r="K68" s="2085"/>
      <c r="O68" s="2375" t="s">
        <v>2381</v>
      </c>
      <c r="P68" s="2376" t="s">
        <v>2412</v>
      </c>
      <c r="Q68" s="2377" t="e">
        <f ca="1">L61</f>
        <v>#DIV/0!</v>
      </c>
      <c r="R68" s="2380" t="s">
        <v>2414</v>
      </c>
    </row>
    <row r="69" spans="1:18" s="2058" customFormat="1" ht="21.75" thickBot="1">
      <c r="A69" s="2095"/>
      <c r="B69" s="2096"/>
      <c r="C69" s="2096"/>
      <c r="K69" s="2085"/>
      <c r="O69" s="2378" t="s">
        <v>2383</v>
      </c>
      <c r="P69" s="2376" t="s">
        <v>2413</v>
      </c>
      <c r="Q69" s="2382">
        <f ca="1">L52</f>
        <v>0</v>
      </c>
      <c r="R69" s="2383" t="s">
        <v>2416</v>
      </c>
    </row>
    <row r="70" spans="1:18" s="2058" customFormat="1" ht="20.25" thickBot="1">
      <c r="A70" s="2095"/>
      <c r="B70" s="2096"/>
      <c r="C70" s="2096"/>
      <c r="K70" s="2085"/>
      <c r="O70" s="2378" t="s">
        <v>2384</v>
      </c>
      <c r="P70" s="2384" t="s">
        <v>2398</v>
      </c>
      <c r="Q70" s="2377">
        <f ca="1">ROUND(Q71-Q72*Q73,0)</f>
        <v>0</v>
      </c>
      <c r="R70" s="2380"/>
    </row>
    <row r="71" spans="1:18" s="2058" customFormat="1" ht="15.75" thickBot="1">
      <c r="A71" s="2095"/>
      <c r="B71" s="2096"/>
      <c r="C71" s="2096"/>
      <c r="K71" s="2085"/>
      <c r="O71" s="2378" t="s">
        <v>2399</v>
      </c>
      <c r="P71" s="2384" t="s">
        <v>2400</v>
      </c>
      <c r="Q71" s="2377">
        <f ca="1">C42</f>
        <v>0</v>
      </c>
      <c r="R71" s="2376" t="s">
        <v>2380</v>
      </c>
    </row>
    <row r="72" spans="1:18" s="2058" customFormat="1" ht="15.75" thickBot="1">
      <c r="A72" s="2095"/>
      <c r="B72" s="2096"/>
      <c r="C72" s="2096"/>
      <c r="K72" s="2085"/>
      <c r="O72" s="2378" t="s">
        <v>2401</v>
      </c>
      <c r="P72" s="2384" t="s">
        <v>2402</v>
      </c>
      <c r="Q72" s="2377">
        <f ca="1">C15</f>
        <v>0</v>
      </c>
      <c r="R72" s="2376" t="s">
        <v>2380</v>
      </c>
    </row>
    <row r="73" spans="1:18" s="2058" customFormat="1" ht="15.75" thickBot="1">
      <c r="A73" s="2095"/>
      <c r="B73" s="2096"/>
      <c r="C73" s="2096"/>
      <c r="K73" s="2085"/>
      <c r="O73" s="2378" t="s">
        <v>2403</v>
      </c>
      <c r="P73" s="2384" t="s">
        <v>2404</v>
      </c>
      <c r="Q73" s="2379">
        <f ca="1">F43</f>
        <v>0</v>
      </c>
      <c r="R73" s="2380"/>
    </row>
    <row r="74" spans="1:18" s="2058" customFormat="1" ht="15.75" thickBot="1">
      <c r="A74" s="2095"/>
      <c r="B74" s="2096"/>
      <c r="C74" s="2096"/>
      <c r="K74" s="2085"/>
      <c r="O74" s="2378" t="s">
        <v>2386</v>
      </c>
      <c r="P74" s="2376" t="s">
        <v>2393</v>
      </c>
      <c r="Q74" s="2379">
        <f>L53</f>
        <v>0</v>
      </c>
      <c r="R74" s="2380"/>
    </row>
    <row r="75" spans="1:18" s="2058" customFormat="1" ht="20.25" thickBot="1">
      <c r="A75" s="2095"/>
      <c r="B75" s="2096"/>
      <c r="C75" s="2096"/>
      <c r="K75" s="2085"/>
      <c r="O75" s="2378" t="s">
        <v>2388</v>
      </c>
      <c r="P75" s="2376" t="s">
        <v>2394</v>
      </c>
      <c r="Q75" s="2377">
        <f ca="1">L59</f>
        <v>0</v>
      </c>
      <c r="R75" s="2380" t="s">
        <v>2395</v>
      </c>
    </row>
    <row r="76" spans="1:18" s="2058" customFormat="1" ht="20.25" thickBot="1">
      <c r="A76" s="2095"/>
      <c r="B76" s="2096"/>
      <c r="C76" s="2096"/>
      <c r="K76" s="2085"/>
      <c r="O76" s="2378" t="s">
        <v>2417</v>
      </c>
      <c r="P76" s="2376" t="s">
        <v>2396</v>
      </c>
      <c r="Q76" s="2377">
        <f ca="1">L60</f>
        <v>0</v>
      </c>
      <c r="R76" s="2380" t="s">
        <v>2397</v>
      </c>
    </row>
    <row r="77" spans="1:18" s="2058" customFormat="1" ht="15.75" thickBot="1">
      <c r="A77" s="2095"/>
      <c r="B77" s="2096"/>
      <c r="C77" s="2096"/>
      <c r="K77" s="2085"/>
      <c r="O77" s="2375" t="s">
        <v>2391</v>
      </c>
      <c r="P77" s="2376" t="s">
        <v>2408</v>
      </c>
      <c r="Q77" s="2377" t="e">
        <f ca="1">Q67+Q68</f>
        <v>#DIV/0!</v>
      </c>
      <c r="R77" s="2380"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522" t="s">
        <v>2576</v>
      </c>
      <c r="C1" s="3522"/>
      <c r="D1" s="3522"/>
      <c r="E1" s="3522"/>
      <c r="F1" s="3522"/>
      <c r="G1" s="3521" t="s">
        <v>2577</v>
      </c>
      <c r="H1" s="3521"/>
      <c r="I1" s="3521"/>
      <c r="J1" s="3521"/>
      <c r="K1" s="3521"/>
      <c r="L1" s="3521"/>
      <c r="N1" s="3521" t="s">
        <v>2578</v>
      </c>
      <c r="O1" s="3521"/>
      <c r="P1" s="3521"/>
      <c r="Q1" s="3521"/>
      <c r="R1" s="2631"/>
      <c r="S1" s="3521" t="s">
        <v>2579</v>
      </c>
      <c r="T1" s="3521"/>
      <c r="U1" s="3521"/>
      <c r="V1" s="3521"/>
      <c r="X1" s="3520" t="s">
        <v>2639</v>
      </c>
      <c r="Y1" s="3521"/>
      <c r="Z1" s="3521"/>
      <c r="AA1" s="3521"/>
      <c r="AB1" s="3521"/>
      <c r="AD1" s="3520" t="s">
        <v>2643</v>
      </c>
      <c r="AE1" s="3521"/>
      <c r="AF1" s="3521"/>
      <c r="AG1" s="3521"/>
      <c r="AH1" s="3521"/>
    </row>
    <row r="2" spans="1:34" s="2732" customFormat="1" ht="14.25" thickBot="1">
      <c r="B2" s="2740" t="s">
        <v>2580</v>
      </c>
      <c r="C2" s="2740" t="s">
        <v>2641</v>
      </c>
      <c r="D2" s="2733" t="s">
        <v>1644</v>
      </c>
      <c r="E2" s="2733" t="s">
        <v>1949</v>
      </c>
      <c r="F2" s="2740" t="s">
        <v>2642</v>
      </c>
      <c r="G2" s="2736"/>
      <c r="H2" s="2735"/>
      <c r="I2" s="2740" t="s">
        <v>2957</v>
      </c>
      <c r="J2" s="2733" t="s">
        <v>2959</v>
      </c>
      <c r="K2" s="2733" t="s">
        <v>2960</v>
      </c>
      <c r="L2" s="2740" t="s">
        <v>2961</v>
      </c>
      <c r="N2" s="2740" t="s">
        <v>2580</v>
      </c>
      <c r="O2" s="2733" t="s">
        <v>2958</v>
      </c>
      <c r="P2" s="2733" t="s">
        <v>1949</v>
      </c>
      <c r="Q2" s="2740" t="s">
        <v>2642</v>
      </c>
      <c r="R2" s="2734"/>
      <c r="S2" s="2740" t="s">
        <v>2580</v>
      </c>
      <c r="T2" s="2733" t="s">
        <v>2958</v>
      </c>
      <c r="U2" s="2733" t="s">
        <v>1949</v>
      </c>
      <c r="V2" s="2740" t="s">
        <v>2642</v>
      </c>
      <c r="X2" s="2740" t="s">
        <v>2580</v>
      </c>
      <c r="Y2" s="2740" t="s">
        <v>2641</v>
      </c>
      <c r="Z2" s="2733" t="s">
        <v>1644</v>
      </c>
      <c r="AA2" s="2733" t="s">
        <v>1949</v>
      </c>
      <c r="AB2" s="2740" t="s">
        <v>2642</v>
      </c>
      <c r="AD2" s="2740" t="s">
        <v>2580</v>
      </c>
      <c r="AE2" s="2740" t="s">
        <v>2641</v>
      </c>
      <c r="AF2" s="2733" t="s">
        <v>1644</v>
      </c>
      <c r="AG2" s="2733" t="s">
        <v>1949</v>
      </c>
      <c r="AH2" s="2740" t="s">
        <v>2642</v>
      </c>
    </row>
    <row r="3" spans="1:34" s="3105" customFormat="1" ht="14.25">
      <c r="A3" s="3117" t="s">
        <v>2970</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5" customFormat="1" ht="14.25">
      <c r="B4" s="2726"/>
      <c r="C4" s="2726"/>
      <c r="D4" s="2727"/>
      <c r="E4" s="2727"/>
      <c r="F4" s="2726"/>
      <c r="G4" s="2731"/>
      <c r="H4" s="2728"/>
      <c r="I4" s="3101"/>
      <c r="J4" s="3101"/>
      <c r="K4" s="3101"/>
      <c r="L4" s="3101"/>
      <c r="N4" s="2731"/>
      <c r="O4" s="2729"/>
      <c r="P4" s="2729"/>
      <c r="Q4" s="2729"/>
      <c r="R4" s="2729"/>
      <c r="S4" s="2731"/>
      <c r="T4" s="2729"/>
      <c r="U4" s="2729"/>
      <c r="V4" s="2729"/>
      <c r="W4" s="3114"/>
      <c r="X4" s="2730"/>
      <c r="Y4" s="2730"/>
      <c r="Z4" s="2730"/>
      <c r="AA4" s="2730"/>
      <c r="AB4" s="2730"/>
      <c r="AD4" s="2650"/>
      <c r="AE4" s="2650"/>
      <c r="AF4" s="2650"/>
      <c r="AG4" s="2650"/>
      <c r="AH4" s="2650"/>
    </row>
    <row r="5" spans="1:34" s="3089" customFormat="1" ht="13.5" thickBot="1">
      <c r="A5" s="3087" t="s">
        <v>2990</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1">
        <v>2019</v>
      </c>
      <c r="H5" s="3088">
        <v>1</v>
      </c>
      <c r="I5" s="3102">
        <v>0</v>
      </c>
      <c r="J5" s="3102">
        <v>0</v>
      </c>
      <c r="K5" s="3102">
        <v>0</v>
      </c>
      <c r="L5" s="3102">
        <v>0</v>
      </c>
      <c r="N5" s="2738">
        <f t="shared" ref="N5" si="6">I5/100</f>
        <v>0</v>
      </c>
      <c r="O5" s="2738">
        <f t="shared" ref="O5" si="7">J5/100</f>
        <v>0</v>
      </c>
      <c r="P5" s="2738">
        <f t="shared" ref="P5" si="8">K5/100</f>
        <v>0</v>
      </c>
      <c r="Q5" s="2738">
        <f t="shared" ref="Q5" si="9">L5/100</f>
        <v>0</v>
      </c>
      <c r="R5" s="3090"/>
      <c r="S5" s="3091"/>
      <c r="T5" s="3090"/>
      <c r="U5" s="3090"/>
      <c r="V5" s="3090"/>
      <c r="W5" s="3115" t="s">
        <v>2971</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7" customFormat="1">
      <c r="A6" s="2632" t="s">
        <v>2991</v>
      </c>
      <c r="B6" s="2645">
        <f>B7*(1+N6)</f>
        <v>464.37293017158942</v>
      </c>
      <c r="C6" s="2645">
        <f t="shared" ref="C6" si="12">C7*(1+O6)</f>
        <v>344.73679941385956</v>
      </c>
      <c r="D6" s="2645">
        <f t="shared" ref="D6" si="13">C6</f>
        <v>344.73679941385956</v>
      </c>
      <c r="E6" s="2645">
        <f t="shared" ref="E6" si="14">E7*(1+P6)</f>
        <v>663.2377795103107</v>
      </c>
      <c r="F6" s="2645">
        <f t="shared" ref="F6" si="15">F7*(1+Q6)</f>
        <v>304.75936311478398</v>
      </c>
      <c r="G6" s="3516">
        <v>2018</v>
      </c>
      <c r="H6" s="2635">
        <v>4</v>
      </c>
      <c r="I6" s="3173">
        <v>0.96</v>
      </c>
      <c r="J6" s="3173">
        <v>1.03</v>
      </c>
      <c r="K6" s="3173">
        <v>0.92</v>
      </c>
      <c r="L6" s="3174">
        <v>1.29</v>
      </c>
      <c r="M6" s="2639"/>
      <c r="N6" s="2640">
        <f t="shared" ref="N6" si="16">I6/100</f>
        <v>9.5999999999999992E-3</v>
      </c>
      <c r="O6" s="2641">
        <f t="shared" ref="O6" si="17">J6/100</f>
        <v>1.03E-2</v>
      </c>
      <c r="P6" s="2641">
        <f t="shared" ref="P6" si="18">K6/100</f>
        <v>9.1999999999999998E-3</v>
      </c>
      <c r="Q6" s="2641">
        <f t="shared" ref="Q6" si="19">L6/100</f>
        <v>1.29E-2</v>
      </c>
      <c r="R6" s="2642"/>
      <c r="S6" s="2643"/>
      <c r="T6" s="2644"/>
      <c r="U6" s="2644"/>
      <c r="V6" s="2644"/>
      <c r="W6" s="2639"/>
      <c r="X6" s="2730">
        <f>ROUND(SUMPRODUCT(PRODUCT(1+N6:N$24)),4)</f>
        <v>1.5099</v>
      </c>
      <c r="Y6" s="2730">
        <f>ROUND(SUMPRODUCT(PRODUCT(1+O6:O$24)),4)</f>
        <v>1.3372999999999999</v>
      </c>
      <c r="Z6" s="2730">
        <f t="shared" ref="Z6" si="20">Y6</f>
        <v>1.3372999999999999</v>
      </c>
      <c r="AA6" s="2730">
        <f>ROUND(SUMPRODUCT(PRODUCT(1+P6:P$24)),4)</f>
        <v>1.5683</v>
      </c>
      <c r="AB6" s="2730">
        <f>ROUND(SUMPRODUCT(PRODUCT(1+Q6:Q$24)),4)</f>
        <v>1.3255999999999999</v>
      </c>
      <c r="AC6" s="2639"/>
      <c r="AD6" s="2650">
        <f>ROUND(AVERAGE(I6:I$25)/100,4)</f>
        <v>2.24E-2</v>
      </c>
      <c r="AE6" s="2650">
        <f>ROUND(AVERAGE(J6:J$25)/100,4)</f>
        <v>1.5800000000000002E-2</v>
      </c>
      <c r="AF6" s="2650">
        <f t="shared" ref="AF6" si="21">AE6</f>
        <v>1.5800000000000002E-2</v>
      </c>
      <c r="AG6" s="2650">
        <f>ROUND(AVERAGE(K6:K$25)/100,4)</f>
        <v>2.4500000000000001E-2</v>
      </c>
      <c r="AH6" s="2650">
        <f>ROUND(AVERAGE(L6:L$25)/100,4)</f>
        <v>1.49E-2</v>
      </c>
    </row>
    <row r="7" spans="1:34" s="2737" customFormat="1" ht="14.45" customHeight="1">
      <c r="A7" s="2632" t="s">
        <v>2980</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516"/>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2981</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516"/>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2977</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517"/>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2968</v>
      </c>
      <c r="B10" s="3119">
        <v>439</v>
      </c>
      <c r="C10" s="3119">
        <v>327</v>
      </c>
      <c r="D10" s="3119">
        <f t="shared" si="43"/>
        <v>327</v>
      </c>
      <c r="E10" s="3119">
        <v>627</v>
      </c>
      <c r="F10" s="3120">
        <v>283</v>
      </c>
      <c r="G10" s="3515">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2972</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516"/>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2581</v>
      </c>
      <c r="B12" s="2645">
        <f t="shared" si="55"/>
        <v>419.31181600000002</v>
      </c>
      <c r="C12" s="2645">
        <f t="shared" si="55"/>
        <v>313.95436800000004</v>
      </c>
      <c r="D12" s="2645">
        <f t="shared" si="43"/>
        <v>313.95436800000004</v>
      </c>
      <c r="E12" s="2645">
        <f t="shared" si="56"/>
        <v>596.63028431999999</v>
      </c>
      <c r="F12" s="2645">
        <f t="shared" si="56"/>
        <v>274.74220703999998</v>
      </c>
      <c r="G12" s="3516"/>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2582</v>
      </c>
      <c r="B13" s="2645">
        <f t="shared" si="55"/>
        <v>405.524</v>
      </c>
      <c r="C13" s="2645">
        <f t="shared" si="55"/>
        <v>307.79840000000002</v>
      </c>
      <c r="D13" s="2645">
        <f t="shared" si="43"/>
        <v>307.79840000000002</v>
      </c>
      <c r="E13" s="2645">
        <f t="shared" si="56"/>
        <v>574.67759999999998</v>
      </c>
      <c r="F13" s="2645">
        <f t="shared" si="56"/>
        <v>270.20280000000002</v>
      </c>
      <c r="G13" s="3517"/>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970</v>
      </c>
      <c r="B14" s="2637">
        <v>392</v>
      </c>
      <c r="C14" s="2637">
        <v>302</v>
      </c>
      <c r="D14" s="2637">
        <f t="shared" si="43"/>
        <v>302</v>
      </c>
      <c r="E14" s="2637">
        <v>553</v>
      </c>
      <c r="F14" s="2638">
        <v>266</v>
      </c>
      <c r="G14" s="3515">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969</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516"/>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959</v>
      </c>
      <c r="B16" s="2645">
        <f t="shared" si="64"/>
        <v>360.06949782209392</v>
      </c>
      <c r="C16" s="2645">
        <f t="shared" si="64"/>
        <v>289.84672674747821</v>
      </c>
      <c r="D16" s="2645">
        <f t="shared" si="65"/>
        <v>289.84672674747821</v>
      </c>
      <c r="E16" s="2645">
        <f t="shared" si="66"/>
        <v>501.06543001181495</v>
      </c>
      <c r="F16" s="2645">
        <f t="shared" si="66"/>
        <v>256.82882500744967</v>
      </c>
      <c r="G16" s="3516"/>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968</v>
      </c>
      <c r="B17" s="2645">
        <f t="shared" si="64"/>
        <v>346.720748986128</v>
      </c>
      <c r="C17" s="2645">
        <f t="shared" si="64"/>
        <v>284.30282172386285</v>
      </c>
      <c r="D17" s="2645">
        <f t="shared" si="65"/>
        <v>284.30282172386285</v>
      </c>
      <c r="E17" s="2645">
        <f t="shared" si="66"/>
        <v>479.58023546306947</v>
      </c>
      <c r="F17" s="2645">
        <f t="shared" si="66"/>
        <v>253.25788877571213</v>
      </c>
      <c r="G17" s="3519"/>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967</v>
      </c>
      <c r="B18" s="2637">
        <v>333</v>
      </c>
      <c r="C18" s="2637">
        <v>277</v>
      </c>
      <c r="D18" s="2637">
        <f t="shared" si="65"/>
        <v>277</v>
      </c>
      <c r="E18" s="2637">
        <v>459</v>
      </c>
      <c r="F18" s="2638">
        <v>249</v>
      </c>
      <c r="G18" s="3518">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966</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516"/>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965</v>
      </c>
      <c r="B20" s="2645">
        <f t="shared" si="68"/>
        <v>322.34053690220776</v>
      </c>
      <c r="C20" s="2645">
        <f t="shared" si="68"/>
        <v>271.46160770422546</v>
      </c>
      <c r="D20" s="2645">
        <f t="shared" si="65"/>
        <v>271.46160770422546</v>
      </c>
      <c r="E20" s="2645">
        <f t="shared" si="69"/>
        <v>442.69434542172456</v>
      </c>
      <c r="F20" s="2645">
        <f t="shared" si="69"/>
        <v>241.34030753190925</v>
      </c>
      <c r="G20" s="3516"/>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964</v>
      </c>
      <c r="B21" s="2645">
        <f t="shared" si="68"/>
        <v>319.87748030386797</v>
      </c>
      <c r="C21" s="2645">
        <f t="shared" si="68"/>
        <v>269.60135833173649</v>
      </c>
      <c r="D21" s="2645">
        <f t="shared" si="65"/>
        <v>269.60135833173649</v>
      </c>
      <c r="E21" s="2645">
        <f t="shared" si="69"/>
        <v>439.18089823583784</v>
      </c>
      <c r="F21" s="2645">
        <f t="shared" si="69"/>
        <v>239.23503918706311</v>
      </c>
      <c r="G21" s="3519"/>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963</v>
      </c>
      <c r="B22" s="2659">
        <v>318</v>
      </c>
      <c r="C22" s="2659">
        <v>268</v>
      </c>
      <c r="D22" s="2659">
        <f t="shared" si="65"/>
        <v>268</v>
      </c>
      <c r="E22" s="2659">
        <v>437</v>
      </c>
      <c r="F22" s="2660">
        <v>237</v>
      </c>
      <c r="G22" s="3518">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962</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516"/>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961</v>
      </c>
      <c r="B24" s="2645">
        <f t="shared" si="70"/>
        <v>314.72141172386546</v>
      </c>
      <c r="C24" s="2645">
        <f t="shared" si="70"/>
        <v>263.03901319069001</v>
      </c>
      <c r="D24" s="2645">
        <f t="shared" si="65"/>
        <v>263.03901319069001</v>
      </c>
      <c r="E24" s="2645">
        <f t="shared" si="71"/>
        <v>433.65745506782821</v>
      </c>
      <c r="F24" s="2645">
        <f t="shared" si="71"/>
        <v>233.23005080045735</v>
      </c>
      <c r="G24" s="3516"/>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960</v>
      </c>
      <c r="B25" s="2664">
        <f t="shared" si="70"/>
        <v>307.34512863658733</v>
      </c>
      <c r="C25" s="2664">
        <f t="shared" si="70"/>
        <v>257.80556031626975</v>
      </c>
      <c r="D25" s="2664">
        <f t="shared" si="65"/>
        <v>257.80556031626975</v>
      </c>
      <c r="E25" s="2664">
        <f t="shared" si="71"/>
        <v>422.70928459677179</v>
      </c>
      <c r="F25" s="2664">
        <f t="shared" si="71"/>
        <v>229.73803270336617</v>
      </c>
      <c r="G25" s="3519"/>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2640</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2583</v>
      </c>
      <c r="B26" s="2637">
        <v>299</v>
      </c>
      <c r="C26" s="2637">
        <v>252</v>
      </c>
      <c r="D26" s="2637">
        <f t="shared" si="65"/>
        <v>252</v>
      </c>
      <c r="E26" s="2637">
        <v>409</v>
      </c>
      <c r="F26" s="2638">
        <v>227</v>
      </c>
      <c r="G26" s="3523">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2584</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524"/>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2585</v>
      </c>
      <c r="B28" s="2645">
        <f t="shared" si="74"/>
        <v>288.2649053828776</v>
      </c>
      <c r="C28" s="2645">
        <f t="shared" si="74"/>
        <v>243.64564425013293</v>
      </c>
      <c r="D28" s="2645">
        <f t="shared" si="65"/>
        <v>243.64564425013293</v>
      </c>
      <c r="E28" s="2645">
        <f t="shared" si="75"/>
        <v>393.31080825986544</v>
      </c>
      <c r="F28" s="2645">
        <f t="shared" si="75"/>
        <v>223.07903790551154</v>
      </c>
      <c r="G28" s="3524"/>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2586</v>
      </c>
      <c r="B29" s="2645">
        <f t="shared" si="74"/>
        <v>282.50186729015837</v>
      </c>
      <c r="C29" s="2645">
        <f t="shared" si="74"/>
        <v>238.09796174155468</v>
      </c>
      <c r="D29" s="2645">
        <f t="shared" si="65"/>
        <v>238.09796174155468</v>
      </c>
      <c r="E29" s="2645">
        <f t="shared" si="75"/>
        <v>385.33438646014054</v>
      </c>
      <c r="F29" s="2645">
        <f t="shared" si="75"/>
        <v>221.55034055567739</v>
      </c>
      <c r="G29" s="3525"/>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2587</v>
      </c>
      <c r="B30" s="2675">
        <v>278</v>
      </c>
      <c r="C30" s="2675">
        <v>234</v>
      </c>
      <c r="D30" s="2675">
        <f t="shared" si="65"/>
        <v>234</v>
      </c>
      <c r="E30" s="2675">
        <v>379</v>
      </c>
      <c r="F30" s="2676">
        <v>220</v>
      </c>
      <c r="G30" s="3518">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2588</v>
      </c>
      <c r="B31" s="2645">
        <f>B30/(1+N30)</f>
        <v>275.49301357645425</v>
      </c>
      <c r="C31" s="2645">
        <f>C30/(1+O30)</f>
        <v>232.41954707985698</v>
      </c>
      <c r="D31" s="2645">
        <f t="shared" si="65"/>
        <v>232.41954707985698</v>
      </c>
      <c r="E31" s="2645">
        <f t="shared" ref="E31:F33" si="76">E30/(1+P30)</f>
        <v>375.32184591008121</v>
      </c>
      <c r="F31" s="2645">
        <f t="shared" si="76"/>
        <v>218.03766105054513</v>
      </c>
      <c r="G31" s="3516"/>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2589</v>
      </c>
      <c r="B32" s="2645">
        <f>B31/(1+N31)</f>
        <v>275.24529281292263</v>
      </c>
      <c r="C32" s="2645">
        <f>C31/(1+O31)</f>
        <v>231.74747938962707</v>
      </c>
      <c r="D32" s="2645">
        <f t="shared" si="65"/>
        <v>231.74747938962707</v>
      </c>
      <c r="E32" s="2645">
        <f t="shared" si="76"/>
        <v>375.35938184826603</v>
      </c>
      <c r="F32" s="2645">
        <f t="shared" si="76"/>
        <v>216.78033510692495</v>
      </c>
      <c r="G32" s="3516"/>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2590</v>
      </c>
      <c r="B33" s="2645">
        <f>B32/(1+N32)</f>
        <v>275.19025476197027</v>
      </c>
      <c r="C33" s="2677">
        <v>232</v>
      </c>
      <c r="D33" s="2677">
        <f t="shared" si="65"/>
        <v>232</v>
      </c>
      <c r="E33" s="2645">
        <f t="shared" si="76"/>
        <v>375.65990977608692</v>
      </c>
      <c r="F33" s="2645">
        <f t="shared" si="76"/>
        <v>214.12518283971252</v>
      </c>
      <c r="G33" s="3519"/>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2591</v>
      </c>
      <c r="B34" s="2637">
        <v>275</v>
      </c>
      <c r="C34" s="2637">
        <v>232</v>
      </c>
      <c r="D34" s="2637">
        <f t="shared" si="65"/>
        <v>232</v>
      </c>
      <c r="E34" s="2637">
        <v>376</v>
      </c>
      <c r="F34" s="2638">
        <v>213</v>
      </c>
      <c r="G34" s="3518">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2592</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516">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2593</v>
      </c>
      <c r="B36" s="2645">
        <f t="shared" si="77"/>
        <v>275.19335084830601</v>
      </c>
      <c r="C36" s="2645">
        <f t="shared" si="77"/>
        <v>230.18088050139744</v>
      </c>
      <c r="D36" s="2645">
        <f t="shared" si="65"/>
        <v>230.18088050139744</v>
      </c>
      <c r="E36" s="2645">
        <f t="shared" si="78"/>
        <v>377.58482925212331</v>
      </c>
      <c r="F36" s="2645">
        <f t="shared" si="78"/>
        <v>210.90687997847917</v>
      </c>
      <c r="G36" s="3516">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2594</v>
      </c>
      <c r="B37" s="2645">
        <f t="shared" si="77"/>
        <v>276.29854502841971</v>
      </c>
      <c r="C37" s="2645">
        <f t="shared" si="77"/>
        <v>229.79023709833027</v>
      </c>
      <c r="D37" s="2645">
        <f t="shared" si="65"/>
        <v>229.79023709833027</v>
      </c>
      <c r="E37" s="2645">
        <f t="shared" si="78"/>
        <v>379.78759731655936</v>
      </c>
      <c r="F37" s="2645">
        <f t="shared" si="78"/>
        <v>211.32953905659235</v>
      </c>
      <c r="G37" s="3519">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2595</v>
      </c>
      <c r="B38" s="2637">
        <v>269</v>
      </c>
      <c r="C38" s="2637">
        <v>221</v>
      </c>
      <c r="D38" s="2637">
        <f t="shared" si="65"/>
        <v>221</v>
      </c>
      <c r="E38" s="2637">
        <v>373</v>
      </c>
      <c r="F38" s="2638">
        <v>196</v>
      </c>
      <c r="G38" s="3518">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2596</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516">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2597</v>
      </c>
      <c r="B40" s="2645">
        <f t="shared" si="79"/>
        <v>242.95398227588385</v>
      </c>
      <c r="C40" s="2645">
        <f t="shared" si="79"/>
        <v>199.59137053614126</v>
      </c>
      <c r="D40" s="2645">
        <f t="shared" si="65"/>
        <v>199.59137053614126</v>
      </c>
      <c r="E40" s="2645">
        <f t="shared" si="80"/>
        <v>335.92189522342125</v>
      </c>
      <c r="F40" s="2645">
        <f t="shared" si="80"/>
        <v>183.10139991109489</v>
      </c>
      <c r="G40" s="3516">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2598</v>
      </c>
      <c r="B41" s="2645">
        <f t="shared" si="79"/>
        <v>232.06990378821649</v>
      </c>
      <c r="C41" s="2645">
        <f t="shared" si="79"/>
        <v>192.74878854286936</v>
      </c>
      <c r="D41" s="2645">
        <f t="shared" si="65"/>
        <v>192.74878854286936</v>
      </c>
      <c r="E41" s="2645">
        <f t="shared" si="80"/>
        <v>319.71247284992984</v>
      </c>
      <c r="F41" s="2645">
        <f t="shared" si="80"/>
        <v>175.67053622862409</v>
      </c>
      <c r="G41" s="3519">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2599</v>
      </c>
      <c r="B42" s="2637">
        <v>220</v>
      </c>
      <c r="C42" s="2637">
        <v>187</v>
      </c>
      <c r="D42" s="2637">
        <f t="shared" si="65"/>
        <v>187</v>
      </c>
      <c r="E42" s="2637">
        <v>301</v>
      </c>
      <c r="F42" s="2638">
        <v>168</v>
      </c>
      <c r="G42" s="3518">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2600</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516">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2601</v>
      </c>
      <c r="B44" s="2645">
        <f t="shared" si="81"/>
        <v>210.630522469011</v>
      </c>
      <c r="C44" s="2645">
        <f t="shared" si="81"/>
        <v>181.69567812247232</v>
      </c>
      <c r="D44" s="2645">
        <f t="shared" si="65"/>
        <v>181.69567812247232</v>
      </c>
      <c r="E44" s="2645">
        <f t="shared" si="82"/>
        <v>286.13517466736738</v>
      </c>
      <c r="F44" s="2645">
        <f t="shared" si="82"/>
        <v>165.47535084591149</v>
      </c>
      <c r="G44" s="3516">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2602</v>
      </c>
      <c r="B45" s="2645">
        <f t="shared" si="81"/>
        <v>208.83454537875372</v>
      </c>
      <c r="C45" s="2645">
        <f t="shared" si="81"/>
        <v>183.77230517090351</v>
      </c>
      <c r="D45" s="2645">
        <f t="shared" si="65"/>
        <v>183.77230517090351</v>
      </c>
      <c r="E45" s="2645">
        <f t="shared" si="82"/>
        <v>281.10342338870947</v>
      </c>
      <c r="F45" s="2645">
        <f t="shared" si="82"/>
        <v>168.97309388942256</v>
      </c>
      <c r="G45" s="3519">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2603</v>
      </c>
      <c r="B46" s="2675">
        <v>214</v>
      </c>
      <c r="C46" s="2675">
        <v>188</v>
      </c>
      <c r="D46" s="2675">
        <f t="shared" si="65"/>
        <v>188</v>
      </c>
      <c r="E46" s="2675">
        <v>289</v>
      </c>
      <c r="F46" s="2676">
        <v>166</v>
      </c>
      <c r="G46" s="3518">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2604</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516">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2605</v>
      </c>
      <c r="B48" s="2645">
        <f t="shared" si="83"/>
        <v>206.31694671589116</v>
      </c>
      <c r="C48" s="2645">
        <f t="shared" si="83"/>
        <v>183.61041121036101</v>
      </c>
      <c r="D48" s="2645">
        <f t="shared" si="65"/>
        <v>183.61041121036101</v>
      </c>
      <c r="E48" s="2645">
        <f t="shared" si="84"/>
        <v>276.66850301795557</v>
      </c>
      <c r="F48" s="2645">
        <f t="shared" si="84"/>
        <v>165.1360938278614</v>
      </c>
      <c r="G48" s="3516">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2606</v>
      </c>
      <c r="B49" s="2678">
        <f t="shared" si="83"/>
        <v>196.62341248059772</v>
      </c>
      <c r="C49" s="2678">
        <f t="shared" si="83"/>
        <v>170.99125648199012</v>
      </c>
      <c r="D49" s="2678">
        <f t="shared" si="65"/>
        <v>170.99125648199012</v>
      </c>
      <c r="E49" s="2678">
        <f t="shared" si="84"/>
        <v>266.07857570490052</v>
      </c>
      <c r="F49" s="2678">
        <f t="shared" si="84"/>
        <v>154.53499328828505</v>
      </c>
      <c r="G49" s="3519">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2607</v>
      </c>
      <c r="B50" s="2637">
        <v>188</v>
      </c>
      <c r="C50" s="2637">
        <v>165</v>
      </c>
      <c r="D50" s="2637">
        <f t="shared" si="65"/>
        <v>165</v>
      </c>
      <c r="E50" s="2637">
        <v>254</v>
      </c>
      <c r="F50" s="2638">
        <v>148</v>
      </c>
      <c r="G50" s="3518">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2608</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516">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2609</v>
      </c>
      <c r="B52" s="2645">
        <f t="shared" si="87"/>
        <v>168.82017748715555</v>
      </c>
      <c r="C52" s="2645">
        <f t="shared" si="87"/>
        <v>148.06267029972753</v>
      </c>
      <c r="D52" s="2645">
        <f t="shared" si="65"/>
        <v>148.06267029972753</v>
      </c>
      <c r="E52" s="2645">
        <f t="shared" si="88"/>
        <v>216.46288379323747</v>
      </c>
      <c r="F52" s="2645">
        <f t="shared" si="88"/>
        <v>134.23529411764704</v>
      </c>
      <c r="G52" s="3516">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2610</v>
      </c>
      <c r="B53" s="2645">
        <f t="shared" si="87"/>
        <v>163.84913591779542</v>
      </c>
      <c r="C53" s="2645">
        <f t="shared" si="87"/>
        <v>145.0283378746594</v>
      </c>
      <c r="D53" s="2645">
        <f t="shared" si="65"/>
        <v>145.0283378746594</v>
      </c>
      <c r="E53" s="2645">
        <f t="shared" si="88"/>
        <v>204.95180722891567</v>
      </c>
      <c r="F53" s="2645">
        <f t="shared" si="88"/>
        <v>125.95920303605313</v>
      </c>
      <c r="G53" s="3519">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2611</v>
      </c>
      <c r="B54" s="2659">
        <v>159</v>
      </c>
      <c r="C54" s="2659">
        <v>141</v>
      </c>
      <c r="D54" s="2659">
        <f t="shared" si="65"/>
        <v>141</v>
      </c>
      <c r="E54" s="2659">
        <v>195</v>
      </c>
      <c r="F54" s="2660">
        <v>122</v>
      </c>
      <c r="G54" s="3518">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2612</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516">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2613</v>
      </c>
      <c r="B56" s="2645">
        <f t="shared" si="91"/>
        <v>146.57412060301507</v>
      </c>
      <c r="C56" s="2645">
        <f t="shared" si="91"/>
        <v>136.46831955922866</v>
      </c>
      <c r="D56" s="2645">
        <f t="shared" si="65"/>
        <v>136.46831955922866</v>
      </c>
      <c r="E56" s="2645">
        <f t="shared" si="92"/>
        <v>166.73864894795128</v>
      </c>
      <c r="F56" s="2645">
        <f t="shared" si="92"/>
        <v>115.05882352941177</v>
      </c>
      <c r="G56" s="3516">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2614</v>
      </c>
      <c r="B57" s="2645">
        <f t="shared" si="91"/>
        <v>144.04145728643215</v>
      </c>
      <c r="C57" s="2645">
        <f t="shared" si="91"/>
        <v>136.12396694214877</v>
      </c>
      <c r="D57" s="2645">
        <f t="shared" si="65"/>
        <v>136.12396694214877</v>
      </c>
      <c r="E57" s="2645">
        <f t="shared" si="92"/>
        <v>158.32225913621264</v>
      </c>
      <c r="F57" s="2645">
        <f t="shared" si="92"/>
        <v>114.04278074866311</v>
      </c>
      <c r="G57" s="3519">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2615</v>
      </c>
      <c r="B58" s="2659">
        <v>138</v>
      </c>
      <c r="C58" s="2659">
        <v>131</v>
      </c>
      <c r="D58" s="2659">
        <f t="shared" si="65"/>
        <v>131</v>
      </c>
      <c r="E58" s="2659">
        <v>155</v>
      </c>
      <c r="F58" s="2660">
        <v>114</v>
      </c>
      <c r="G58" s="3518">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2616</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516">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2617</v>
      </c>
      <c r="B60" s="2645">
        <f t="shared" si="95"/>
        <v>124.29032258064517</v>
      </c>
      <c r="C60" s="2645">
        <f t="shared" si="95"/>
        <v>123.8968609865471</v>
      </c>
      <c r="D60" s="2645">
        <f t="shared" si="65"/>
        <v>123.8968609865471</v>
      </c>
      <c r="E60" s="2645">
        <f t="shared" si="96"/>
        <v>138.00507614213197</v>
      </c>
      <c r="F60" s="2645">
        <f t="shared" si="96"/>
        <v>107.96106557377048</v>
      </c>
      <c r="G60" s="3516">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2618</v>
      </c>
      <c r="B61" s="2645">
        <f t="shared" si="95"/>
        <v>122.57204301075269</v>
      </c>
      <c r="C61" s="2645">
        <f t="shared" si="95"/>
        <v>123.4932735426009</v>
      </c>
      <c r="D61" s="2645">
        <f t="shared" si="65"/>
        <v>123.4932735426009</v>
      </c>
      <c r="E61" s="2645">
        <f t="shared" si="96"/>
        <v>129.82233502538071</v>
      </c>
      <c r="F61" s="2645">
        <f t="shared" si="96"/>
        <v>107.39446721311475</v>
      </c>
      <c r="G61" s="3519">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2619</v>
      </c>
      <c r="B62" s="2675">
        <v>121</v>
      </c>
      <c r="C62" s="2675">
        <v>122</v>
      </c>
      <c r="D62" s="2675">
        <f t="shared" si="65"/>
        <v>122</v>
      </c>
      <c r="E62" s="2675">
        <v>124</v>
      </c>
      <c r="F62" s="2676">
        <v>107</v>
      </c>
      <c r="G62" s="3518">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2620</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516">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2621</v>
      </c>
      <c r="B64" s="2645">
        <f t="shared" si="99"/>
        <v>116.99099099099099</v>
      </c>
      <c r="C64" s="2645">
        <f t="shared" si="99"/>
        <v>118.84848484848486</v>
      </c>
      <c r="D64" s="2645">
        <f t="shared" si="65"/>
        <v>118.84848484848486</v>
      </c>
      <c r="E64" s="2645">
        <f t="shared" si="100"/>
        <v>117.60960960960961</v>
      </c>
      <c r="F64" s="2645">
        <f t="shared" si="100"/>
        <v>104</v>
      </c>
      <c r="G64" s="3516">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2622</v>
      </c>
      <c r="B65" s="2678">
        <f t="shared" si="99"/>
        <v>112.48648648648648</v>
      </c>
      <c r="C65" s="2678">
        <f t="shared" si="99"/>
        <v>115.21212121212122</v>
      </c>
      <c r="D65" s="2678">
        <f t="shared" si="65"/>
        <v>115.21212121212122</v>
      </c>
      <c r="E65" s="2678">
        <f t="shared" si="100"/>
        <v>110.4024024024024</v>
      </c>
      <c r="F65" s="2678">
        <f t="shared" si="100"/>
        <v>104</v>
      </c>
      <c r="G65" s="3519">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2623</v>
      </c>
      <c r="B66" s="2696">
        <v>111</v>
      </c>
      <c r="C66" s="2696">
        <v>114</v>
      </c>
      <c r="D66" s="2696">
        <f t="shared" si="65"/>
        <v>114</v>
      </c>
      <c r="E66" s="2696">
        <v>108</v>
      </c>
      <c r="F66" s="2697">
        <v>104</v>
      </c>
      <c r="G66" s="3518">
        <v>2003</v>
      </c>
      <c r="H66" s="2686">
        <v>4</v>
      </c>
      <c r="I66" s="2698"/>
      <c r="J66" s="2698"/>
      <c r="K66" s="2698"/>
      <c r="L66" s="2698"/>
      <c r="N66" s="2699"/>
      <c r="O66" s="2698"/>
      <c r="P66" s="2698"/>
      <c r="Q66" s="2698"/>
      <c r="S66" s="2699"/>
      <c r="T66" s="2698"/>
      <c r="U66" s="2698"/>
      <c r="V66" s="2698"/>
      <c r="X66" s="2690"/>
      <c r="Y66" s="2690"/>
      <c r="Z66" s="2690"/>
    </row>
    <row r="67" spans="1:26">
      <c r="A67" s="2632" t="s">
        <v>2624</v>
      </c>
      <c r="B67" s="2700">
        <f t="shared" ref="B67:C69" si="101">B68+(B$66-B$70)/4</f>
        <v>109.75</v>
      </c>
      <c r="C67" s="2700">
        <f t="shared" si="101"/>
        <v>112.25</v>
      </c>
      <c r="D67" s="2700">
        <f t="shared" si="65"/>
        <v>112.25</v>
      </c>
      <c r="E67" s="2700">
        <f t="shared" ref="E67:F69" si="102">E68+(E$66-E$70)/4</f>
        <v>107.25</v>
      </c>
      <c r="F67" s="2700">
        <f t="shared" si="102"/>
        <v>103.5</v>
      </c>
      <c r="G67" s="3516">
        <v>2003</v>
      </c>
      <c r="H67" s="2656">
        <v>3</v>
      </c>
      <c r="I67" s="2698"/>
      <c r="J67" s="2698"/>
      <c r="K67" s="2698"/>
      <c r="L67" s="2698"/>
      <c r="X67" s="2690"/>
      <c r="Y67" s="2690"/>
      <c r="Z67" s="2690"/>
    </row>
    <row r="68" spans="1:26">
      <c r="A68" s="2632" t="s">
        <v>2625</v>
      </c>
      <c r="B68" s="2700">
        <f t="shared" si="101"/>
        <v>108.5</v>
      </c>
      <c r="C68" s="2700">
        <f t="shared" si="101"/>
        <v>110.5</v>
      </c>
      <c r="D68" s="2700">
        <f t="shared" si="65"/>
        <v>110.5</v>
      </c>
      <c r="E68" s="2700">
        <f t="shared" si="102"/>
        <v>106.5</v>
      </c>
      <c r="F68" s="2700">
        <f t="shared" si="102"/>
        <v>103</v>
      </c>
      <c r="G68" s="3516">
        <v>2003</v>
      </c>
      <c r="H68" s="2636">
        <v>2</v>
      </c>
      <c r="I68" s="2698"/>
      <c r="J68" s="2698"/>
      <c r="K68" s="2698"/>
      <c r="L68" s="2698"/>
      <c r="X68" s="2690"/>
      <c r="Y68" s="2690"/>
      <c r="Z68" s="2690"/>
    </row>
    <row r="69" spans="1:26" ht="13.5" thickBot="1">
      <c r="A69" s="2632" t="s">
        <v>2626</v>
      </c>
      <c r="B69" s="2700">
        <f t="shared" si="101"/>
        <v>107.25</v>
      </c>
      <c r="C69" s="2700">
        <f t="shared" si="101"/>
        <v>108.75</v>
      </c>
      <c r="D69" s="2700">
        <f t="shared" si="65"/>
        <v>108.75</v>
      </c>
      <c r="E69" s="2700">
        <f t="shared" si="102"/>
        <v>105.75</v>
      </c>
      <c r="F69" s="2700">
        <f t="shared" si="102"/>
        <v>102.5</v>
      </c>
      <c r="G69" s="3519">
        <v>2003</v>
      </c>
      <c r="H69" s="2701">
        <v>1</v>
      </c>
      <c r="I69" s="2698"/>
      <c r="J69" s="2698"/>
      <c r="K69" s="2698"/>
      <c r="L69" s="2698"/>
      <c r="S69" s="2640"/>
      <c r="T69" s="2641"/>
      <c r="U69" s="2641"/>
      <c r="X69" s="2690"/>
      <c r="Y69" s="2690"/>
      <c r="Z69" s="2690"/>
    </row>
    <row r="70" spans="1:26" ht="13.5" thickBot="1">
      <c r="A70" s="2632" t="s">
        <v>2627</v>
      </c>
      <c r="B70" s="2702">
        <v>106</v>
      </c>
      <c r="C70" s="2702">
        <v>107</v>
      </c>
      <c r="D70" s="2702">
        <f t="shared" si="65"/>
        <v>107</v>
      </c>
      <c r="E70" s="2702">
        <v>105</v>
      </c>
      <c r="F70" s="2703">
        <v>102</v>
      </c>
      <c r="G70" s="3518">
        <v>2002</v>
      </c>
      <c r="H70" s="2651">
        <v>4</v>
      </c>
      <c r="I70" s="2698"/>
      <c r="J70" s="2698"/>
      <c r="K70" s="2698"/>
      <c r="L70" s="2698"/>
      <c r="N70" s="2699"/>
      <c r="O70" s="2698"/>
      <c r="P70" s="2698"/>
      <c r="Q70" s="2698"/>
      <c r="S70" s="2699"/>
      <c r="T70" s="2698"/>
      <c r="U70" s="2698"/>
      <c r="V70" s="2698"/>
      <c r="X70" s="2690"/>
      <c r="Y70" s="2690"/>
      <c r="Z70" s="2690"/>
    </row>
    <row r="71" spans="1:26">
      <c r="A71" s="2632" t="s">
        <v>2628</v>
      </c>
      <c r="B71" s="2700">
        <f t="shared" ref="B71:C73" si="103">B72+(B$70-B$74)/4</f>
        <v>105</v>
      </c>
      <c r="C71" s="2700">
        <f t="shared" si="103"/>
        <v>106</v>
      </c>
      <c r="D71" s="2700">
        <f t="shared" si="65"/>
        <v>106</v>
      </c>
      <c r="E71" s="2700">
        <f t="shared" ref="E71:F73" si="104">E72+(E$70-E$74)/4</f>
        <v>104.5</v>
      </c>
      <c r="F71" s="2700">
        <f t="shared" si="104"/>
        <v>101.5</v>
      </c>
      <c r="G71" s="3516">
        <v>2002</v>
      </c>
      <c r="H71" s="2656">
        <v>3</v>
      </c>
      <c r="I71" s="2698"/>
      <c r="J71" s="2698"/>
      <c r="K71" s="2698"/>
      <c r="L71" s="2698"/>
      <c r="X71" s="2690"/>
      <c r="Y71" s="2690"/>
      <c r="Z71" s="2690"/>
    </row>
    <row r="72" spans="1:26">
      <c r="A72" s="2632" t="s">
        <v>2629</v>
      </c>
      <c r="B72" s="2700">
        <f t="shared" si="103"/>
        <v>104</v>
      </c>
      <c r="C72" s="2700">
        <f t="shared" si="103"/>
        <v>105</v>
      </c>
      <c r="D72" s="2700">
        <f t="shared" si="65"/>
        <v>105</v>
      </c>
      <c r="E72" s="2700">
        <f t="shared" si="104"/>
        <v>104</v>
      </c>
      <c r="F72" s="2700">
        <f t="shared" si="104"/>
        <v>101</v>
      </c>
      <c r="G72" s="3516">
        <v>2002</v>
      </c>
      <c r="H72" s="2636">
        <v>2</v>
      </c>
      <c r="I72" s="2698"/>
      <c r="J72" s="2698"/>
      <c r="K72" s="2698"/>
      <c r="L72" s="2698"/>
      <c r="X72" s="2690"/>
      <c r="Y72" s="2690"/>
      <c r="Z72" s="2690"/>
    </row>
    <row r="73" spans="1:26" s="2667" customFormat="1" ht="13.5" thickBot="1">
      <c r="A73" s="2663" t="s">
        <v>2630</v>
      </c>
      <c r="B73" s="2704">
        <f t="shared" si="103"/>
        <v>103</v>
      </c>
      <c r="C73" s="2704">
        <f t="shared" si="103"/>
        <v>104</v>
      </c>
      <c r="D73" s="2704">
        <f t="shared" si="65"/>
        <v>104</v>
      </c>
      <c r="E73" s="2704">
        <f t="shared" si="104"/>
        <v>103.5</v>
      </c>
      <c r="F73" s="2704">
        <f t="shared" si="104"/>
        <v>100.5</v>
      </c>
      <c r="G73" s="3519">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2631</v>
      </c>
      <c r="G76" s="2714"/>
      <c r="N76" s="2714"/>
      <c r="S76" s="2714"/>
    </row>
    <row r="77" spans="1:26" s="2713" customFormat="1">
      <c r="A77" s="2713" t="s">
        <v>2632</v>
      </c>
      <c r="G77" s="2714"/>
      <c r="N77" s="2714"/>
      <c r="S77" s="2714"/>
    </row>
    <row r="78" spans="1:26" s="2713" customFormat="1">
      <c r="A78" s="2713" t="s">
        <v>2633</v>
      </c>
      <c r="G78" s="2714"/>
      <c r="I78" s="2715"/>
      <c r="J78" s="2715"/>
      <c r="K78" s="2715"/>
      <c r="L78" s="2715"/>
      <c r="N78" s="2716"/>
      <c r="O78" s="2715"/>
      <c r="P78" s="2715"/>
      <c r="Q78" s="2715"/>
      <c r="S78" s="2716"/>
      <c r="T78" s="2715"/>
      <c r="U78" s="2715"/>
      <c r="V78" s="2715"/>
    </row>
    <row r="79" spans="1:26" s="2713" customFormat="1">
      <c r="A79" s="2713" t="s">
        <v>2634</v>
      </c>
      <c r="G79" s="2714"/>
      <c r="N79" s="2714"/>
      <c r="S79" s="2714"/>
    </row>
    <row r="86" spans="7:22" ht="13.5" thickBot="1"/>
    <row r="87" spans="7:22">
      <c r="G87" s="2639"/>
      <c r="S87" s="2717" t="s">
        <v>2635</v>
      </c>
      <c r="T87" s="2718" t="s">
        <v>2636</v>
      </c>
      <c r="U87" s="2718" t="s">
        <v>2637</v>
      </c>
      <c r="V87" s="2718" t="s">
        <v>2638</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7" sqref="J57"/>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c r="D1" s="3099" t="s">
        <v>951</v>
      </c>
      <c r="E1" s="2364" t="s">
        <v>2374</v>
      </c>
      <c r="F1" s="2365">
        <f ca="1">J53</f>
        <v>0</v>
      </c>
      <c r="G1" s="774">
        <f>MATCH(C1,'数据-取费表'!A6:A16,0)+5</f>
        <v>7</v>
      </c>
      <c r="H1" s="2049"/>
      <c r="I1" s="2050"/>
      <c r="J1" s="2050"/>
      <c r="K1" s="2051"/>
      <c r="L1" s="2050"/>
      <c r="M1" s="2050"/>
      <c r="N1" s="2052"/>
      <c r="O1" s="2052"/>
      <c r="P1" s="2052"/>
      <c r="Q1" s="2369"/>
      <c r="R1" s="2052"/>
      <c r="S1" s="2052"/>
      <c r="T1" s="2052"/>
      <c r="U1" s="2052"/>
      <c r="V1" s="2052"/>
      <c r="W1" s="2052"/>
      <c r="X1" s="2052"/>
      <c r="Y1" s="2052"/>
      <c r="Z1" s="2052"/>
      <c r="AA1" s="2052"/>
      <c r="AB1" s="2052"/>
      <c r="AC1" s="2052"/>
      <c r="AD1" s="2052"/>
      <c r="AE1" s="2052"/>
      <c r="AF1" s="2052"/>
      <c r="AG1" s="2052"/>
    </row>
    <row r="2" spans="1:33" ht="18" customHeight="1">
      <c r="A2" s="423" t="s">
        <v>1726</v>
      </c>
      <c r="B2" s="775" t="e">
        <f ca="1">C40+J29+L46</f>
        <v>#DIV/0!</v>
      </c>
      <c r="C2" s="2056"/>
      <c r="D2" s="2054"/>
      <c r="E2" s="2055"/>
      <c r="F2" s="2055"/>
      <c r="G2" s="1589"/>
      <c r="H2" s="2056"/>
      <c r="I2" s="2056"/>
      <c r="J2" s="2056"/>
      <c r="K2" s="2057"/>
      <c r="L2" s="2056"/>
      <c r="M2" s="2056"/>
    </row>
    <row r="3" spans="1:33" ht="18" customHeight="1" thickBot="1">
      <c r="A3" s="833" t="s">
        <v>1727</v>
      </c>
      <c r="B3" s="834">
        <f ca="1">IF(ISERROR(B2*10000/F43),0,ROUND(B2*10000/F43,0))</f>
        <v>0</v>
      </c>
      <c r="C3" s="2056"/>
      <c r="D3" s="2054"/>
      <c r="E3" s="2055"/>
      <c r="F3" s="2055"/>
      <c r="G3" s="1589"/>
      <c r="H3" s="776" t="s">
        <v>695</v>
      </c>
      <c r="I3" s="1361"/>
      <c r="J3" s="1361"/>
      <c r="K3" s="1590"/>
      <c r="L3" s="1361"/>
      <c r="M3" s="1361"/>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2458</v>
      </c>
      <c r="C5" s="55">
        <f ca="1">C6+C10+C12</f>
        <v>0</v>
      </c>
      <c r="D5" s="2473" t="s">
        <v>2461</v>
      </c>
      <c r="E5" s="2467"/>
      <c r="F5" s="2468"/>
      <c r="G5" s="1591"/>
      <c r="H5" s="781">
        <v>1</v>
      </c>
      <c r="I5" s="782" t="s">
        <v>2458</v>
      </c>
      <c r="J5" s="55">
        <f ca="1">J6+J10+J12</f>
        <v>0</v>
      </c>
      <c r="K5" s="2473" t="s">
        <v>2461</v>
      </c>
      <c r="L5" s="2467"/>
      <c r="M5" s="2468"/>
    </row>
    <row r="6" spans="1:33" ht="18" customHeight="1">
      <c r="A6" s="1829" t="s">
        <v>1824</v>
      </c>
      <c r="B6" s="3509" t="s">
        <v>2463</v>
      </c>
      <c r="C6" s="783">
        <f ca="1">ROUND(F6*F8*F7*(1-F9)/10000,0)</f>
        <v>0</v>
      </c>
      <c r="D6" s="2474" t="s">
        <v>2462</v>
      </c>
      <c r="E6" s="784" t="s">
        <v>1738</v>
      </c>
      <c r="F6" s="785">
        <f ca="1">INDIRECT("'数据-取费表'!u"&amp;$G$1)</f>
        <v>0</v>
      </c>
      <c r="G6" s="1591"/>
      <c r="H6" s="2481" t="s">
        <v>2468</v>
      </c>
      <c r="I6" s="3509" t="s">
        <v>2463</v>
      </c>
      <c r="J6" s="783">
        <f ca="1">ROUND(M6*M8*M7*(1-M9)/10000,0)</f>
        <v>0</v>
      </c>
      <c r="K6" s="341" t="s">
        <v>1737</v>
      </c>
      <c r="L6" s="784" t="s">
        <v>1738</v>
      </c>
      <c r="M6" s="785">
        <f ca="1">INDIRECT("'数据-取费表'!z"&amp;$G$1)</f>
        <v>0</v>
      </c>
    </row>
    <row r="7" spans="1:33" ht="18" customHeight="1">
      <c r="A7" s="2477"/>
      <c r="B7" s="3510"/>
      <c r="C7" s="788"/>
      <c r="D7" s="789"/>
      <c r="E7" s="784" t="s">
        <v>1739</v>
      </c>
      <c r="F7" s="785">
        <f ca="1">IF(INDIRECT("'数据-取费表'!ah"&amp;$G$1)="",INDIRECT("'数据-取费表'!k"&amp;$G$1),INDIRECT("'数据-取费表'!ah"&amp;$G$1))</f>
        <v>0</v>
      </c>
      <c r="G7" s="1591"/>
      <c r="H7" s="2466"/>
      <c r="I7" s="3510"/>
      <c r="J7" s="788"/>
      <c r="K7" s="789"/>
      <c r="L7" s="784" t="s">
        <v>1739</v>
      </c>
      <c r="M7" s="785">
        <f ca="1">F7</f>
        <v>0</v>
      </c>
    </row>
    <row r="8" spans="1:33" ht="18" customHeight="1">
      <c r="A8" s="2470"/>
      <c r="B8" s="3511"/>
      <c r="C8" s="788"/>
      <c r="D8" s="789"/>
      <c r="E8" s="784" t="s">
        <v>1740</v>
      </c>
      <c r="F8" s="785">
        <f ca="1">INDIRECT("'数据-取费表'!ai"&amp;$G$1)</f>
        <v>0</v>
      </c>
      <c r="G8" s="1591"/>
      <c r="H8" s="2466"/>
      <c r="I8" s="3511"/>
      <c r="J8" s="788"/>
      <c r="K8" s="789"/>
      <c r="L8" s="784" t="s">
        <v>1740</v>
      </c>
      <c r="M8" s="785">
        <f ca="1">INDIRECT("'数据-取费表'!ai"&amp;$G$1)</f>
        <v>0</v>
      </c>
    </row>
    <row r="9" spans="1:33" ht="18" customHeight="1">
      <c r="A9" s="786"/>
      <c r="B9" s="3512"/>
      <c r="C9" s="788"/>
      <c r="D9" s="789"/>
      <c r="E9" s="784" t="s">
        <v>1741</v>
      </c>
      <c r="F9" s="794">
        <f ca="1">INDIRECT("'数据-取费表'!w"&amp;$G$1)</f>
        <v>0</v>
      </c>
      <c r="G9" s="1591"/>
      <c r="H9" s="2482"/>
      <c r="I9" s="3511"/>
      <c r="J9" s="788"/>
      <c r="K9" s="789"/>
      <c r="L9" s="795" t="s">
        <v>1741</v>
      </c>
      <c r="M9" s="796">
        <f ca="1">INDIRECT("'数据-取费表'!ab"&amp;$G$1)</f>
        <v>0</v>
      </c>
    </row>
    <row r="10" spans="1:33" ht="18" customHeight="1">
      <c r="A10" s="1829" t="s">
        <v>2466</v>
      </c>
      <c r="B10" s="2471" t="s">
        <v>2459</v>
      </c>
      <c r="C10" s="799">
        <f ca="1">ROUND(IF(F10="押一",C6/12*F11,IF(F10="押二",C6/12*2*F11,IF(F10="押三",C6/12*3*F11,C11*F11))),0)</f>
        <v>0</v>
      </c>
      <c r="D10" s="2478" t="s">
        <v>2975</v>
      </c>
      <c r="E10" s="2475" t="s">
        <v>2464</v>
      </c>
      <c r="F10" s="2598"/>
      <c r="G10" s="1591"/>
      <c r="H10" s="2538" t="s">
        <v>2469</v>
      </c>
      <c r="I10" s="2543" t="s">
        <v>2459</v>
      </c>
      <c r="J10" s="783">
        <f ca="1">ROUND(IF(M10="押一",J6/12*M11,IF(M10="押二",J6/12*2*M11,IF(M10="押三",J6/12*3*M11,J11*M11))),0)</f>
        <v>0</v>
      </c>
      <c r="K10" s="2478" t="s">
        <v>2975</v>
      </c>
      <c r="L10" s="2475" t="s">
        <v>2464</v>
      </c>
      <c r="M10" s="2598"/>
    </row>
    <row r="11" spans="1:33" ht="18" customHeight="1">
      <c r="A11" s="790"/>
      <c r="B11" s="2472" t="s">
        <v>2573</v>
      </c>
      <c r="C11" s="2476"/>
      <c r="D11" s="789"/>
      <c r="E11" s="2475" t="s">
        <v>2465</v>
      </c>
      <c r="F11" s="796">
        <f ca="1">'数据-取费表'!B39</f>
        <v>1.4999999999999999E-2</v>
      </c>
      <c r="G11" s="1591"/>
      <c r="H11" s="2539"/>
      <c r="I11" s="2472" t="s">
        <v>2573</v>
      </c>
      <c r="J11" s="2476"/>
      <c r="K11" s="2540"/>
      <c r="L11" s="2475" t="s">
        <v>2465</v>
      </c>
      <c r="M11" s="2469">
        <f ca="1">'数据-取费表'!B39</f>
        <v>1.4999999999999999E-2</v>
      </c>
    </row>
    <row r="12" spans="1:33" ht="18" customHeight="1" thickBot="1">
      <c r="A12" s="2514" t="s">
        <v>2467</v>
      </c>
      <c r="B12" s="2515" t="s">
        <v>2460</v>
      </c>
      <c r="C12" s="2516"/>
      <c r="D12" s="2517"/>
      <c r="E12" s="2518"/>
      <c r="F12" s="2519"/>
      <c r="G12" s="1591"/>
      <c r="H12" s="2528" t="s">
        <v>2470</v>
      </c>
      <c r="I12" s="2541" t="s">
        <v>2460</v>
      </c>
      <c r="J12" s="2542"/>
      <c r="K12" s="2517"/>
      <c r="L12" s="2518"/>
      <c r="M12" s="2531"/>
    </row>
    <row r="13" spans="1:33" ht="18" customHeight="1" thickTop="1">
      <c r="A13" s="1828">
        <v>2</v>
      </c>
      <c r="B13" s="1826" t="s">
        <v>1742</v>
      </c>
      <c r="C13" s="792">
        <f ca="1">ROUND(C29*F13,0)</f>
        <v>0</v>
      </c>
      <c r="D13" s="1833" t="s">
        <v>2297</v>
      </c>
      <c r="E13" s="1833" t="s">
        <v>1744</v>
      </c>
      <c r="F13" s="2513">
        <f ca="1">INDIRECT("'数据-取费表'!y"&amp;$G$1)</f>
        <v>0</v>
      </c>
      <c r="G13" s="1591"/>
      <c r="H13" s="1828">
        <v>2</v>
      </c>
      <c r="I13" s="1826" t="s">
        <v>1742</v>
      </c>
      <c r="J13" s="1818">
        <f ca="1">ROUND(J14*J15,0)</f>
        <v>0</v>
      </c>
      <c r="K13" s="1820" t="s">
        <v>1743</v>
      </c>
      <c r="L13" s="2529"/>
      <c r="M13" s="2530"/>
    </row>
    <row r="14" spans="1:33" ht="18" customHeight="1">
      <c r="A14" s="1647" t="s">
        <v>1884</v>
      </c>
      <c r="B14" s="784" t="s">
        <v>645</v>
      </c>
      <c r="C14" s="804">
        <f ca="1">INDIRECT("'数据-取费表'!m"&amp;$G$1)+INDIRECT("'数据-取费表'!t"&amp;$G$1)</f>
        <v>0</v>
      </c>
      <c r="D14" s="1978" t="s">
        <v>1745</v>
      </c>
      <c r="E14" s="1979"/>
      <c r="F14" s="805"/>
      <c r="G14" s="1591"/>
      <c r="H14" s="1648" t="s">
        <v>1830</v>
      </c>
      <c r="I14" s="2230" t="s">
        <v>2825</v>
      </c>
      <c r="J14" s="53">
        <f ca="1">C29</f>
        <v>0</v>
      </c>
      <c r="K14" s="26"/>
      <c r="L14" s="801"/>
      <c r="M14" s="802"/>
    </row>
    <row r="15" spans="1:33" s="2063" customFormat="1" ht="18" customHeight="1" thickBot="1">
      <c r="A15" s="1647" t="s">
        <v>1885</v>
      </c>
      <c r="B15" s="784" t="s">
        <v>647</v>
      </c>
      <c r="C15" s="53">
        <f ca="1">ROUND(C14*F15,0)</f>
        <v>0</v>
      </c>
      <c r="D15" s="806" t="s">
        <v>1746</v>
      </c>
      <c r="E15" s="806" t="s">
        <v>1747</v>
      </c>
      <c r="F15" s="807">
        <f>'数据-取费表'!B33</f>
        <v>0.05</v>
      </c>
      <c r="G15" s="1592"/>
      <c r="H15" s="2528" t="s">
        <v>1889</v>
      </c>
      <c r="I15" s="2523" t="s">
        <v>1744</v>
      </c>
      <c r="J15" s="2532">
        <f ca="1">INDIRECT("'数据-取费表'!ad"&amp;$G$1)</f>
        <v>0</v>
      </c>
      <c r="K15" s="2533"/>
      <c r="L15" s="2534"/>
      <c r="M15" s="2535"/>
      <c r="N15" s="2062"/>
      <c r="O15" s="2062"/>
      <c r="P15" s="2062"/>
      <c r="Q15" s="2370"/>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0</v>
      </c>
      <c r="K16" s="1820" t="s">
        <v>1750</v>
      </c>
      <c r="L16" s="2463"/>
      <c r="M16" s="2468"/>
    </row>
    <row r="17" spans="1:33" s="2063" customFormat="1" ht="18" customHeight="1">
      <c r="A17" s="1647" t="s">
        <v>1887</v>
      </c>
      <c r="B17" s="784" t="s">
        <v>653</v>
      </c>
      <c r="C17" s="53">
        <f ca="1">ROUND(F17*(F43+INDIRECT("'数据-取费表'!S"&amp;$G$1))/10000,0)</f>
        <v>0</v>
      </c>
      <c r="D17" s="784" t="s">
        <v>1751</v>
      </c>
      <c r="E17" s="784" t="s">
        <v>1752</v>
      </c>
      <c r="F17" s="56">
        <f>'数据-取费表'!B35</f>
        <v>200</v>
      </c>
      <c r="G17" s="1592"/>
      <c r="H17" s="1648" t="s">
        <v>1830</v>
      </c>
      <c r="I17" s="784" t="s">
        <v>656</v>
      </c>
      <c r="J17" s="53">
        <f ca="1">ROUND(IF(项目基本情况!B11="自然人",J5*M17,J18+J19+J20),0)</f>
        <v>0</v>
      </c>
      <c r="K17" s="2462" t="s">
        <v>1753</v>
      </c>
      <c r="L17" s="2461" t="s">
        <v>1754</v>
      </c>
      <c r="M17" s="810" t="str">
        <f ca="1">IF(项目基本情况!B11="企业","",IF(INDIRECT("'数据-取费表'!c"&amp;$G$1)="住宅",5%,IF(M6*M7*M8/12/(1+'数据-取费表'!C42)&gt;20000,12%,7%)))</f>
        <v/>
      </c>
      <c r="N17" s="2062"/>
      <c r="O17" s="2062"/>
      <c r="P17" s="2062"/>
      <c r="Q17" s="2370"/>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659</v>
      </c>
      <c r="C18" s="53">
        <f ca="1">ROUND(C14*F18,0)</f>
        <v>0</v>
      </c>
      <c r="D18" s="784" t="s">
        <v>1746</v>
      </c>
      <c r="E18" s="784" t="s">
        <v>1747</v>
      </c>
      <c r="F18" s="809">
        <f>'数据-取费表'!B36</f>
        <v>1.4999999999999999E-2</v>
      </c>
      <c r="G18" s="1592"/>
      <c r="H18" s="1647" t="s">
        <v>1884</v>
      </c>
      <c r="I18" s="784" t="s">
        <v>1755</v>
      </c>
      <c r="J18" s="53">
        <f ca="1">ROUND(J5*M18/1.05,1)</f>
        <v>0</v>
      </c>
      <c r="K18" s="2461" t="s">
        <v>1756</v>
      </c>
      <c r="L18" s="784" t="s">
        <v>1747</v>
      </c>
      <c r="M18" s="809">
        <f>'数据-取费表'!B41</f>
        <v>5.6000000000000001E-2</v>
      </c>
      <c r="N18" s="2062"/>
      <c r="O18" s="2062"/>
      <c r="P18" s="2062"/>
      <c r="Q18" s="2370"/>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662</v>
      </c>
      <c r="C19" s="53">
        <f ca="1">SUM(C14:C18)</f>
        <v>0</v>
      </c>
      <c r="D19" s="261" t="s">
        <v>1757</v>
      </c>
      <c r="E19" s="1981"/>
      <c r="F19" s="56"/>
      <c r="G19" s="1591"/>
      <c r="H19" s="1647" t="s">
        <v>1885</v>
      </c>
      <c r="I19" s="784" t="s">
        <v>1758</v>
      </c>
      <c r="J19" s="53">
        <f ca="1">IF(K19="按租金收入计税",ROUND(J5*M19,1),ROUND(C29*F33*0.7,1))</f>
        <v>0</v>
      </c>
      <c r="K19" s="811" t="s">
        <v>665</v>
      </c>
      <c r="L19" s="784" t="s">
        <v>1747</v>
      </c>
      <c r="M19" s="809">
        <f>IF(K19="按租金收入计税",'数据-取费表'!B51,'数据-取费表'!B50)</f>
        <v>1.2E-2</v>
      </c>
    </row>
    <row r="20" spans="1:33" s="2063" customFormat="1" ht="18" customHeight="1">
      <c r="A20" s="1648" t="s">
        <v>1889</v>
      </c>
      <c r="B20" s="784" t="s">
        <v>666</v>
      </c>
      <c r="C20" s="53">
        <f ca="1">ROUND(C19*F20,0)</f>
        <v>0</v>
      </c>
      <c r="D20" s="812" t="s">
        <v>1759</v>
      </c>
      <c r="E20" s="784" t="s">
        <v>1747</v>
      </c>
      <c r="F20" s="809">
        <f>'数据-取费表'!B37</f>
        <v>0.03</v>
      </c>
      <c r="G20" s="1592"/>
      <c r="H20" s="1650" t="s">
        <v>1880</v>
      </c>
      <c r="I20" s="341" t="s">
        <v>1760</v>
      </c>
      <c r="J20" s="54">
        <f ca="1">ROUND(M20*M21/10000,0)</f>
        <v>0</v>
      </c>
      <c r="K20" s="814" t="s">
        <v>1761</v>
      </c>
      <c r="L20" s="784" t="s">
        <v>1762</v>
      </c>
      <c r="M20" s="640">
        <f>'数据-取费表'!B52</f>
        <v>1.5</v>
      </c>
      <c r="N20" s="2062"/>
      <c r="O20" s="2062"/>
      <c r="P20" s="2062"/>
      <c r="Q20" s="2370"/>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2.5000000000000001E-2</v>
      </c>
      <c r="G21" s="1592"/>
      <c r="H21" s="2483"/>
      <c r="I21" s="793"/>
      <c r="J21" s="69"/>
      <c r="K21" s="816"/>
      <c r="L21" s="784" t="s">
        <v>1766</v>
      </c>
      <c r="M21" s="785">
        <f ca="1">INDIRECT("'数据-取费表'!r"&amp;$G$1)</f>
        <v>0</v>
      </c>
      <c r="N21" s="2062"/>
      <c r="O21" s="2062"/>
      <c r="P21" s="2062"/>
      <c r="Q21" s="2370"/>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49"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0</v>
      </c>
      <c r="K22" s="2461" t="s">
        <v>1769</v>
      </c>
      <c r="L22" s="784" t="s">
        <v>1747</v>
      </c>
      <c r="M22" s="817">
        <f ca="1">INDIRECT("'数据-取费表'!Ak"&amp;$G$1)</f>
        <v>0</v>
      </c>
    </row>
    <row r="23" spans="1:33" s="2063" customFormat="1" ht="18" customHeight="1">
      <c r="A23" s="1647" t="s">
        <v>1831</v>
      </c>
      <c r="B23" s="784" t="s">
        <v>2535</v>
      </c>
      <c r="C23" s="53">
        <f ca="1">ROUND(IF('数据-取费表'!B22&lt;=1,(C19+C20)*F24*F23/2,(C19+C20)*(POWER((1+F24),F23/2)-1)),0)</f>
        <v>0</v>
      </c>
      <c r="D23" s="2548" t="str">
        <f>IF(F23&lt;=1,"(建造成本+管理费用)×利率×(建设周期÷2)","(建造成本+管理费用)×((1+利率)^(建设周期÷2)-1)")</f>
        <v>(建造成本+管理费用)×((1+利率)^(建设周期÷2)-1)</v>
      </c>
      <c r="E23" s="784" t="s">
        <v>1770</v>
      </c>
      <c r="F23" s="640">
        <f>'数据-取费表'!B20</f>
        <v>2</v>
      </c>
      <c r="G23" s="1592"/>
      <c r="H23" s="1648" t="s">
        <v>1890</v>
      </c>
      <c r="I23" s="784" t="s">
        <v>679</v>
      </c>
      <c r="J23" s="53">
        <f ca="1">ROUND(J13*M23,0)</f>
        <v>0</v>
      </c>
      <c r="K23" s="2461" t="s">
        <v>1771</v>
      </c>
      <c r="L23" s="784" t="s">
        <v>1747</v>
      </c>
      <c r="M23" s="818">
        <f ca="1">INDIRECT("'数据-取费表'!Al"&amp;$G$1)</f>
        <v>0</v>
      </c>
      <c r="N23" s="2062"/>
      <c r="O23" s="2062"/>
      <c r="P23" s="2062"/>
      <c r="Q23" s="2370"/>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1.1999999999999999E-3</v>
      </c>
      <c r="D24" s="2548" t="str">
        <f>IF(F23&lt;=1,"销售费用×利率×(建设周期÷2)","销售费用×((1+利率)^(建设周期÷2)-1)")</f>
        <v>销售费用×((1+利率)^(建设周期÷2)-1)</v>
      </c>
      <c r="E24" s="784" t="s">
        <v>1773</v>
      </c>
      <c r="F24" s="819">
        <f ca="1">'数据-取费表'!B40</f>
        <v>4.7500000000000001E-2</v>
      </c>
      <c r="G24" s="1592"/>
      <c r="H24" s="2528" t="s">
        <v>1891</v>
      </c>
      <c r="I24" s="2523" t="s">
        <v>666</v>
      </c>
      <c r="J24" s="2521">
        <f ca="1">ROUND(J5*M24,0)</f>
        <v>0</v>
      </c>
      <c r="K24" s="2522" t="s">
        <v>1774</v>
      </c>
      <c r="L24" s="2523" t="s">
        <v>1747</v>
      </c>
      <c r="M24" s="2519">
        <f ca="1">INDIRECT("'数据-取费表'!Am"&amp;$G$1)</f>
        <v>0</v>
      </c>
      <c r="N24" s="2062"/>
      <c r="O24" s="2062"/>
      <c r="P24" s="2062"/>
      <c r="Q24" s="2370"/>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684</v>
      </c>
      <c r="C25" s="53"/>
      <c r="D25" s="261" t="s">
        <v>1775</v>
      </c>
      <c r="E25" s="1981"/>
      <c r="F25" s="56"/>
      <c r="G25" s="1591"/>
      <c r="H25" s="1828" t="s">
        <v>1776</v>
      </c>
      <c r="I25" s="2983" t="s">
        <v>2821</v>
      </c>
      <c r="J25" s="792">
        <f ca="1">J5-J16</f>
        <v>0</v>
      </c>
      <c r="K25" s="2525" t="s">
        <v>1777</v>
      </c>
      <c r="L25" s="2526"/>
      <c r="M25" s="2527"/>
    </row>
    <row r="26" spans="1:33" ht="18" customHeight="1">
      <c r="A26" s="1647" t="s">
        <v>1831</v>
      </c>
      <c r="B26" s="784" t="s">
        <v>2438</v>
      </c>
      <c r="C26" s="53">
        <f ca="1">ROUND((C19+C20)*F26,0)</f>
        <v>0</v>
      </c>
      <c r="D26" s="812" t="s">
        <v>1778</v>
      </c>
      <c r="E26" s="795" t="s">
        <v>1779</v>
      </c>
      <c r="F26" s="794">
        <f ca="1">INDIRECT("'数据-取费表'!q"&amp;$G$1)</f>
        <v>0</v>
      </c>
      <c r="G26" s="1591"/>
      <c r="H26" s="2479" t="s">
        <v>1780</v>
      </c>
      <c r="I26" s="2231" t="s">
        <v>2826</v>
      </c>
      <c r="J26" s="783">
        <f ca="1">IF(J5&lt;&gt;0,ROUND(J25*(1-((1+M28)/(1+M26))^M27)/(M26-M28),0),0)</f>
        <v>0</v>
      </c>
      <c r="K26" s="814" t="s">
        <v>1781</v>
      </c>
      <c r="L26" s="784" t="s">
        <v>2419</v>
      </c>
      <c r="M26" s="794">
        <f ca="1">INDIRECT("'数据-取费表'!I"&amp;$G$1)</f>
        <v>0</v>
      </c>
    </row>
    <row r="27" spans="1:33" ht="18" customHeight="1">
      <c r="A27" s="1647" t="s">
        <v>1832</v>
      </c>
      <c r="B27" s="784" t="s">
        <v>686</v>
      </c>
      <c r="C27" s="53">
        <f ca="1">ROUND(F21*F26,4)</f>
        <v>0</v>
      </c>
      <c r="D27" s="812" t="s">
        <v>1782</v>
      </c>
      <c r="E27" s="806"/>
      <c r="F27" s="807"/>
      <c r="G27" s="1591"/>
      <c r="H27" s="2480"/>
      <c r="I27" s="787"/>
      <c r="J27" s="788"/>
      <c r="K27" s="821" t="s">
        <v>1783</v>
      </c>
      <c r="L27" s="784" t="s">
        <v>1784</v>
      </c>
      <c r="M27" s="822">
        <f ca="1">INDIRECT("'数据-取费表'!ag"&amp;$G$1)</f>
        <v>0</v>
      </c>
    </row>
    <row r="28" spans="1:33" s="2063" customFormat="1" ht="18" customHeight="1">
      <c r="A28" s="1649" t="s">
        <v>1841</v>
      </c>
      <c r="B28" s="784" t="s">
        <v>687</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0"/>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0" t="s">
        <v>1892</v>
      </c>
      <c r="B29" s="2518" t="s">
        <v>2300</v>
      </c>
      <c r="C29" s="2521">
        <f ca="1">ROUND((C19+C20+C23+C26)/(1-F21-C24-C27-C28),0)</f>
        <v>0</v>
      </c>
      <c r="D29" s="2522"/>
      <c r="E29" s="2523"/>
      <c r="F29" s="2524"/>
      <c r="G29" s="1592"/>
      <c r="H29" s="823" t="s">
        <v>1787</v>
      </c>
      <c r="I29" s="824" t="s">
        <v>1788</v>
      </c>
      <c r="J29" s="825">
        <f ca="1">ROUND(J26/(1+F40)^F41,0)</f>
        <v>0</v>
      </c>
      <c r="K29" s="826" t="s">
        <v>1789</v>
      </c>
      <c r="L29" s="827"/>
      <c r="M29" s="828">
        <f ca="1">INDIRECT("'数据-取费表'!k"&amp;$G$1)</f>
        <v>0</v>
      </c>
      <c r="N29" s="2062"/>
      <c r="O29" s="2062"/>
      <c r="P29" s="2062"/>
      <c r="Q29" s="2370"/>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0</v>
      </c>
      <c r="D30" s="1820" t="s">
        <v>1791</v>
      </c>
      <c r="E30" s="2463"/>
      <c r="F30" s="2468"/>
      <c r="G30" s="2061"/>
      <c r="H30" s="2064"/>
      <c r="I30" s="2065"/>
      <c r="J30" s="2066"/>
      <c r="K30" s="2067"/>
      <c r="L30" s="2068"/>
      <c r="M30" s="2069"/>
    </row>
    <row r="31" spans="1:33" ht="18" customHeight="1">
      <c r="A31" s="1648" t="s">
        <v>1830</v>
      </c>
      <c r="B31" s="784" t="s">
        <v>656</v>
      </c>
      <c r="C31" s="53">
        <f ca="1">ROUND(IF(项目基本情况!B11="自然人",C5*F31,C32+C33+C34),1)</f>
        <v>0</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53">
        <f ca="1">ROUND(C5*F32/1.05,1)</f>
        <v>0</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1"/>
      <c r="H33" s="2076"/>
      <c r="I33" s="2076"/>
      <c r="J33" s="2076"/>
      <c r="K33" s="2077"/>
      <c r="L33" s="2076"/>
      <c r="M33" s="2076"/>
    </row>
    <row r="34" spans="1:18" ht="18" customHeight="1">
      <c r="A34" s="1650" t="s">
        <v>1833</v>
      </c>
      <c r="B34" s="341" t="s">
        <v>1798</v>
      </c>
      <c r="C34" s="54">
        <f ca="1">ROUND(F34*F35/10000,1)</f>
        <v>0</v>
      </c>
      <c r="D34" s="814" t="s">
        <v>1799</v>
      </c>
      <c r="E34" s="784" t="s">
        <v>1800</v>
      </c>
      <c r="F34" s="640">
        <f>'数据-取费表'!B52</f>
        <v>1.5</v>
      </c>
      <c r="G34" s="2061"/>
      <c r="H34" s="2064"/>
      <c r="I34" s="835" t="s">
        <v>1813</v>
      </c>
      <c r="J34" s="836"/>
      <c r="K34" s="2079"/>
      <c r="L34" s="2078"/>
      <c r="M34" s="2078"/>
    </row>
    <row r="35" spans="1:18" ht="18" customHeight="1">
      <c r="A35" s="815"/>
      <c r="B35" s="793"/>
      <c r="C35" s="69"/>
      <c r="D35" s="816"/>
      <c r="E35" s="784" t="s">
        <v>1801</v>
      </c>
      <c r="F35" s="785">
        <f ca="1">INDIRECT("'数据-取费表'!r"&amp;$G$1)</f>
        <v>0</v>
      </c>
      <c r="G35" s="2061"/>
      <c r="H35" s="2064"/>
      <c r="I35" s="837" t="s">
        <v>1814</v>
      </c>
      <c r="J35" s="838">
        <f ca="1">ROUND(C13*J36,0)</f>
        <v>0</v>
      </c>
      <c r="K35" s="2077"/>
      <c r="L35" s="2076"/>
      <c r="M35" s="2076"/>
    </row>
    <row r="36" spans="1:18" ht="18" customHeight="1">
      <c r="A36" s="1648" t="s">
        <v>1889</v>
      </c>
      <c r="B36" s="784" t="s">
        <v>1802</v>
      </c>
      <c r="C36" s="53">
        <f ca="1">ROUND(C29*F36,1)</f>
        <v>0</v>
      </c>
      <c r="D36" s="1976" t="s">
        <v>1803</v>
      </c>
      <c r="E36" s="784" t="s">
        <v>1796</v>
      </c>
      <c r="F36" s="817">
        <f ca="1">INDIRECT("'数据-取费表'!Ak"&amp;$G$1)</f>
        <v>0</v>
      </c>
      <c r="G36" s="2061"/>
      <c r="H36" s="2076"/>
      <c r="I36" s="839" t="s">
        <v>1815</v>
      </c>
      <c r="J36" s="840">
        <f ca="1">INDIRECT("'数据-取费表'!j"&amp;$G$1)</f>
        <v>0</v>
      </c>
      <c r="K36" s="2081"/>
      <c r="L36" s="2076"/>
      <c r="M36" s="2076"/>
    </row>
    <row r="37" spans="1:18" ht="18" customHeight="1">
      <c r="A37" s="1648" t="s">
        <v>1890</v>
      </c>
      <c r="B37" s="784" t="s">
        <v>679</v>
      </c>
      <c r="C37" s="53">
        <f ca="1">ROUND(C13*F37,1)</f>
        <v>0</v>
      </c>
      <c r="D37" s="1976" t="s">
        <v>1804</v>
      </c>
      <c r="E37" s="784" t="s">
        <v>1796</v>
      </c>
      <c r="F37" s="818">
        <f ca="1">INDIRECT("'数据-取费表'!Al"&amp;$G$1)</f>
        <v>0</v>
      </c>
      <c r="G37" s="2061"/>
      <c r="H37" s="2076"/>
      <c r="I37" s="841" t="s">
        <v>1816</v>
      </c>
      <c r="J37" s="842"/>
      <c r="K37" s="2081"/>
      <c r="L37" s="2076"/>
      <c r="M37" s="2076"/>
    </row>
    <row r="38" spans="1:18" ht="18" customHeight="1" thickBot="1">
      <c r="A38" s="2528" t="s">
        <v>1891</v>
      </c>
      <c r="B38" s="2523" t="s">
        <v>666</v>
      </c>
      <c r="C38" s="2521">
        <f ca="1">ROUND(C5*F38,1)</f>
        <v>0</v>
      </c>
      <c r="D38" s="2522" t="s">
        <v>1805</v>
      </c>
      <c r="E38" s="2523" t="s">
        <v>1796</v>
      </c>
      <c r="F38" s="2519">
        <f ca="1">INDIRECT("'数据-取费表'!Am"&amp;$G$1)</f>
        <v>0</v>
      </c>
      <c r="G38" s="2061"/>
      <c r="H38" s="2076"/>
      <c r="I38" s="843" t="s">
        <v>1817</v>
      </c>
      <c r="J38" s="844"/>
      <c r="K38" s="2082"/>
      <c r="L38" s="2076"/>
      <c r="M38" s="2076"/>
    </row>
    <row r="39" spans="1:18" ht="24.6" customHeight="1" thickTop="1">
      <c r="A39" s="1828" t="s">
        <v>1894</v>
      </c>
      <c r="B39" s="2983" t="s">
        <v>2821</v>
      </c>
      <c r="C39" s="792">
        <f ca="1">C5-C30</f>
        <v>0</v>
      </c>
      <c r="D39" s="2525" t="s">
        <v>1806</v>
      </c>
      <c r="E39" s="2526"/>
      <c r="F39" s="2527"/>
      <c r="G39" s="2061"/>
      <c r="H39" s="2076"/>
      <c r="I39" s="837" t="s">
        <v>1818</v>
      </c>
      <c r="J39" s="845" t="e">
        <f ca="1">ROUND(J35/C39,3)</f>
        <v>#DIV/0!</v>
      </c>
      <c r="K39" s="2082"/>
      <c r="L39" s="2076"/>
      <c r="M39" s="2076"/>
    </row>
    <row r="40" spans="1:18" ht="18" customHeight="1">
      <c r="A40" s="781" t="s">
        <v>1895</v>
      </c>
      <c r="B40" s="2231" t="s">
        <v>2301</v>
      </c>
      <c r="C40" s="783" t="e">
        <f ca="1">ROUND(C39*(1-((1+F42)/(1+F40))^F41)/(F40-F42),0)</f>
        <v>#DIV/0!</v>
      </c>
      <c r="D40" s="814" t="s">
        <v>1807</v>
      </c>
      <c r="E40" s="784" t="s">
        <v>2419</v>
      </c>
      <c r="F40" s="794">
        <f ca="1">INDIRECT("'数据-取费表'!I"&amp;$G$1)</f>
        <v>0</v>
      </c>
      <c r="G40" s="2061"/>
      <c r="H40" s="2061"/>
      <c r="I40" s="837" t="s">
        <v>1819</v>
      </c>
      <c r="J40" s="845" t="e">
        <f ca="1">1-J39</f>
        <v>#DIV/0!</v>
      </c>
      <c r="K40" s="2082"/>
      <c r="L40" s="2061"/>
      <c r="M40" s="2061"/>
    </row>
    <row r="41" spans="1:18" ht="18" customHeight="1">
      <c r="A41" s="786"/>
      <c r="B41" s="787"/>
      <c r="C41" s="788"/>
      <c r="D41" s="821" t="s">
        <v>1808</v>
      </c>
      <c r="E41" s="784" t="s">
        <v>2965</v>
      </c>
      <c r="F41" s="822">
        <f ca="1">IF(INDIRECT("'数据-取费表'!af"&amp;$G$1)=0,INDIRECT("'数据-取费表'!ae"&amp;$G$1),INDIRECT("'数据-取费表'!af"&amp;$G$1))</f>
        <v>0</v>
      </c>
      <c r="G41" s="2061"/>
      <c r="H41" s="1987"/>
      <c r="I41" s="843" t="s">
        <v>1820</v>
      </c>
      <c r="J41" s="846"/>
      <c r="K41" s="2081"/>
      <c r="L41" s="1987"/>
      <c r="M41" s="1987"/>
    </row>
    <row r="42" spans="1:18" ht="18" customHeight="1">
      <c r="A42" s="790"/>
      <c r="B42" s="791"/>
      <c r="C42" s="792"/>
      <c r="D42" s="816"/>
      <c r="E42" s="784" t="s">
        <v>1809</v>
      </c>
      <c r="F42" s="794">
        <f ca="1">INDIRECT("'数据-取费表'!v"&amp;$G$1)</f>
        <v>0</v>
      </c>
      <c r="G42" s="2061"/>
      <c r="H42" s="1987"/>
      <c r="I42" s="847" t="s">
        <v>1821</v>
      </c>
      <c r="J42" s="845" t="e">
        <f ca="1">ROUND(C13/C40,3)</f>
        <v>#DIV/0!</v>
      </c>
      <c r="K42" s="2081"/>
      <c r="L42" s="1987"/>
      <c r="M42" s="1987"/>
    </row>
    <row r="43" spans="1:18" ht="18" customHeight="1" thickBot="1">
      <c r="A43" s="823" t="s">
        <v>1787</v>
      </c>
      <c r="B43" s="824" t="s">
        <v>1810</v>
      </c>
      <c r="C43" s="825" t="e">
        <f ca="1">ROUND(C40*10000/F43,0)</f>
        <v>#DIV/0!</v>
      </c>
      <c r="D43" s="826" t="s">
        <v>1811</v>
      </c>
      <c r="E43" s="827" t="s">
        <v>1812</v>
      </c>
      <c r="F43" s="828">
        <f ca="1">INDIRECT("'数据-取费表'!k"&amp;$G$1)</f>
        <v>0</v>
      </c>
      <c r="G43" s="2061"/>
      <c r="H43" s="1987"/>
      <c r="I43" s="847" t="s">
        <v>1822</v>
      </c>
      <c r="J43" s="848"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1" t="e">
        <f ca="1">C67-C40</f>
        <v>#DIV/0!</v>
      </c>
      <c r="D46" s="2084"/>
      <c r="E46" s="2084"/>
      <c r="F46" s="2084"/>
      <c r="I46" s="2355" t="s">
        <v>2343</v>
      </c>
      <c r="J46" s="2356"/>
      <c r="K46" s="2357"/>
      <c r="L46" s="3131" t="e">
        <f ca="1">IF(OR(M47="住宅",D1="土地（套用方法）"),0,IF(L48&gt;J51,L60,J60))</f>
        <v>#DIV/0!</v>
      </c>
      <c r="O46" s="2371" t="s">
        <v>2410</v>
      </c>
      <c r="P46" s="1591"/>
      <c r="Q46" s="1603"/>
      <c r="R46" s="1591"/>
    </row>
    <row r="47" spans="1:18" s="2058" customFormat="1" ht="18" customHeight="1" thickBot="1">
      <c r="A47" s="2349">
        <v>1</v>
      </c>
      <c r="B47" s="2350" t="s">
        <v>635</v>
      </c>
      <c r="C47" s="2551">
        <f ca="1">C48+C52+C54</f>
        <v>0</v>
      </c>
      <c r="D47" s="2084"/>
      <c r="E47" s="2084"/>
      <c r="F47" s="2084"/>
      <c r="I47" s="3121" t="s">
        <v>2344</v>
      </c>
      <c r="J47" s="2358"/>
      <c r="K47" s="3128" t="s">
        <v>2349</v>
      </c>
      <c r="L47" s="3132">
        <f ca="1">INDIRECT("'数据-取费表'!d"&amp;$G$1)</f>
        <v>0</v>
      </c>
      <c r="M47" s="1603" t="str">
        <f>IF(ISNUMBER(FIND("住宅",C1)),"住宅","非住宅")</f>
        <v>非住宅</v>
      </c>
      <c r="O47" s="2372" t="s">
        <v>2375</v>
      </c>
      <c r="P47" s="2373" t="s">
        <v>2376</v>
      </c>
      <c r="Q47" s="2374" t="s">
        <v>2377</v>
      </c>
      <c r="R47" s="2373" t="s">
        <v>2378</v>
      </c>
    </row>
    <row r="48" spans="1:18" s="2058" customFormat="1" ht="18" customHeight="1" thickBot="1">
      <c r="A48" s="2619" t="s">
        <v>2537</v>
      </c>
      <c r="B48" s="2620" t="s">
        <v>2538</v>
      </c>
      <c r="C48" s="2351">
        <f ca="1">ROUND(F48*F50*F49*(1-F51)/10000,0)</f>
        <v>0</v>
      </c>
      <c r="D48" s="2352" t="s">
        <v>636</v>
      </c>
      <c r="E48" s="2353" t="s">
        <v>2296</v>
      </c>
      <c r="F48" s="2354"/>
      <c r="G48" s="2089"/>
      <c r="I48" s="3100" t="s">
        <v>2345</v>
      </c>
      <c r="J48" s="2359"/>
      <c r="K48" s="3129" t="s">
        <v>2351</v>
      </c>
      <c r="L48" s="1907">
        <f ca="1">INDIRECT("'数据-取费表'!f"&amp;$G$1)</f>
        <v>0</v>
      </c>
      <c r="O48" s="2375" t="s">
        <v>2379</v>
      </c>
      <c r="P48" s="2376" t="s">
        <v>2405</v>
      </c>
      <c r="Q48" s="2377" t="e">
        <f ca="1">C40+J29</f>
        <v>#DIV/0!</v>
      </c>
      <c r="R48" s="2376" t="s">
        <v>2380</v>
      </c>
    </row>
    <row r="49" spans="1:18" s="2058" customFormat="1" ht="18" customHeight="1" thickBot="1">
      <c r="A49" s="786"/>
      <c r="B49" s="787"/>
      <c r="C49" s="788"/>
      <c r="D49" s="789"/>
      <c r="E49" s="784" t="s">
        <v>1739</v>
      </c>
      <c r="F49" s="785">
        <f ca="1">F7</f>
        <v>0</v>
      </c>
      <c r="G49" s="2089"/>
      <c r="H49" s="2092"/>
      <c r="I49" s="3100" t="s">
        <v>2346</v>
      </c>
      <c r="J49" s="2360"/>
      <c r="K49" s="3130" t="s">
        <v>2352</v>
      </c>
      <c r="L49" s="2361"/>
      <c r="O49" s="2375" t="s">
        <v>2381</v>
      </c>
      <c r="P49" s="2376" t="s">
        <v>2406</v>
      </c>
      <c r="Q49" s="2377" t="e">
        <f ca="1">J60</f>
        <v>#DIV/0!</v>
      </c>
      <c r="R49" s="2376" t="s">
        <v>2382</v>
      </c>
    </row>
    <row r="50" spans="1:18" s="2058" customFormat="1" ht="18" customHeight="1" thickBot="1">
      <c r="A50" s="786"/>
      <c r="B50" s="787"/>
      <c r="C50" s="788"/>
      <c r="D50" s="789"/>
      <c r="E50" s="784" t="s">
        <v>1740</v>
      </c>
      <c r="F50" s="785">
        <f ca="1">F8</f>
        <v>0</v>
      </c>
      <c r="G50" s="2094"/>
      <c r="H50" s="2092"/>
      <c r="I50" s="3100" t="s">
        <v>2347</v>
      </c>
      <c r="J50" s="3125">
        <f>SUMPRODUCT((I63:I65=J47)*(J62:L62=J48)*(J63:L65))</f>
        <v>0</v>
      </c>
      <c r="K50" s="3130" t="s">
        <v>2353</v>
      </c>
      <c r="L50" s="2361"/>
      <c r="O50" s="2378" t="s">
        <v>2383</v>
      </c>
      <c r="P50" s="2376" t="s">
        <v>2407</v>
      </c>
      <c r="Q50" s="2377">
        <f ca="1">C29</f>
        <v>0</v>
      </c>
      <c r="R50" s="2376" t="s">
        <v>2380</v>
      </c>
    </row>
    <row r="51" spans="1:18" s="2058" customFormat="1" ht="18" customHeight="1" thickBot="1">
      <c r="A51" s="786"/>
      <c r="B51" s="787"/>
      <c r="C51" s="788"/>
      <c r="D51" s="789"/>
      <c r="E51" s="784" t="s">
        <v>640</v>
      </c>
      <c r="F51" s="2348"/>
      <c r="H51" s="2092"/>
      <c r="I51" s="3122" t="s">
        <v>2348</v>
      </c>
      <c r="J51" s="3126">
        <f>IF(J49="",J50,J49+J50-YEAR('数据-取费表'!B2))</f>
        <v>0</v>
      </c>
      <c r="K51" s="3100" t="s">
        <v>2354</v>
      </c>
      <c r="L51" s="3133">
        <f ca="1">ROUND(-PV(INDIRECT("'数据-取费表'!h"&amp;$G$1),L48,(C39-C13*J36),0),0)</f>
        <v>0</v>
      </c>
      <c r="O51" s="2378" t="s">
        <v>2384</v>
      </c>
      <c r="P51" s="2376" t="s">
        <v>2385</v>
      </c>
      <c r="Q51" s="2379" t="e">
        <f ca="1">J58</f>
        <v>#DIV/0!</v>
      </c>
      <c r="R51" s="2380"/>
    </row>
    <row r="52" spans="1:18" s="2058" customFormat="1" ht="18" customHeight="1" thickBot="1">
      <c r="A52" s="781" t="s">
        <v>2536</v>
      </c>
      <c r="B52" s="2471" t="s">
        <v>2459</v>
      </c>
      <c r="C52" s="799">
        <f ca="1">ROUND(IF(F52="押一",C48/12*F11,IF(F52="押二",C48/12*2*F11,IF(F52="押三",C48/12*3*F11,C53*F11))),0)</f>
        <v>0</v>
      </c>
      <c r="D52" s="2478" t="s">
        <v>2976</v>
      </c>
      <c r="E52" s="2475" t="s">
        <v>2464</v>
      </c>
      <c r="F52" s="2598"/>
      <c r="I52" s="3123" t="s">
        <v>2421</v>
      </c>
      <c r="J52" s="2362"/>
      <c r="K52" s="3123" t="s">
        <v>2420</v>
      </c>
      <c r="L52" s="2362"/>
      <c r="O52" s="2378" t="s">
        <v>2386</v>
      </c>
      <c r="P52" s="2376" t="s">
        <v>2387</v>
      </c>
      <c r="Q52" s="2379">
        <f>J52</f>
        <v>0</v>
      </c>
      <c r="R52" s="2380"/>
    </row>
    <row r="53" spans="1:18" s="2058" customFormat="1" ht="39.75" customHeight="1" thickBot="1">
      <c r="A53" s="786"/>
      <c r="B53" s="2472" t="s">
        <v>2573</v>
      </c>
      <c r="C53" s="2476"/>
      <c r="D53" s="2478"/>
      <c r="E53" s="2475"/>
      <c r="F53" s="800"/>
      <c r="I53" s="3124" t="s">
        <v>2979</v>
      </c>
      <c r="J53" s="3127">
        <f ca="1">IF(M47="住宅",IF(D1="——",MAX(J51,L48),MAX(J51,L48-'数据-取费表'!B20)),IF(D1="——",MIN(J51,L48),MIN(J51,L48-'数据-取费表'!B20)))</f>
        <v>0</v>
      </c>
      <c r="K53" s="3526" t="s">
        <v>2967</v>
      </c>
      <c r="L53" s="3527"/>
      <c r="O53" s="2378" t="s">
        <v>2388</v>
      </c>
      <c r="P53" s="2376" t="s">
        <v>2389</v>
      </c>
      <c r="Q53" s="2377">
        <f ca="1">J53</f>
        <v>0</v>
      </c>
      <c r="R53" s="2376" t="s">
        <v>2390</v>
      </c>
    </row>
    <row r="54" spans="1:18" s="2058" customFormat="1" ht="18" customHeight="1" thickBot="1">
      <c r="A54" s="2514" t="s">
        <v>2467</v>
      </c>
      <c r="B54" s="2515" t="s">
        <v>2460</v>
      </c>
      <c r="C54" s="2516"/>
      <c r="D54" s="2478"/>
      <c r="E54" s="2475"/>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75" t="s">
        <v>2391</v>
      </c>
      <c r="P54" s="2376" t="s">
        <v>2408</v>
      </c>
      <c r="Q54" s="2377" t="e">
        <f ca="1">Q48+Q49</f>
        <v>#DIV/0!</v>
      </c>
      <c r="R54" s="2380" t="s">
        <v>2392</v>
      </c>
    </row>
    <row r="55" spans="1:18" s="2058" customFormat="1" ht="18" customHeight="1" thickTop="1" thickBot="1">
      <c r="A55" s="797">
        <v>2</v>
      </c>
      <c r="B55" s="798" t="s">
        <v>644</v>
      </c>
      <c r="C55" s="799">
        <f ca="1">C13</f>
        <v>0</v>
      </c>
      <c r="D55" s="795"/>
      <c r="E55" s="795"/>
      <c r="F55" s="800"/>
      <c r="I55" s="3136" t="s">
        <v>2355</v>
      </c>
      <c r="J55" s="3075" t="e">
        <f ca="1">ROUND(IF(J47="钢混",J57/J50,1-(1-2%)*(J50-J57)/J50),3)</f>
        <v>#DIV/0!</v>
      </c>
      <c r="K55" s="3137" t="s">
        <v>2356</v>
      </c>
      <c r="L55" s="2363"/>
      <c r="O55" s="2381" t="s">
        <v>2411</v>
      </c>
      <c r="P55" s="1591"/>
      <c r="Q55" s="1603"/>
      <c r="R55" s="1591"/>
    </row>
    <row r="56" spans="1:18" s="2058" customFormat="1" ht="42.75" customHeight="1" thickBot="1">
      <c r="A56" s="1649"/>
      <c r="B56" s="2230" t="s">
        <v>2302</v>
      </c>
      <c r="C56" s="53">
        <f ca="1">C29</f>
        <v>0</v>
      </c>
      <c r="D56" s="2616"/>
      <c r="E56" s="784"/>
      <c r="F56" s="809"/>
      <c r="I56" s="3138" t="s">
        <v>2357</v>
      </c>
      <c r="J56" s="3148"/>
      <c r="K56" s="3100" t="s">
        <v>2362</v>
      </c>
      <c r="L56" s="1907">
        <f ca="1">IF(L48&lt;J51,"——",L48-J51)</f>
        <v>0</v>
      </c>
      <c r="O56" s="2372" t="s">
        <v>2375</v>
      </c>
      <c r="P56" s="2373" t="s">
        <v>2376</v>
      </c>
      <c r="Q56" s="2374" t="s">
        <v>2377</v>
      </c>
      <c r="R56" s="2373" t="s">
        <v>2378</v>
      </c>
    </row>
    <row r="57" spans="1:18" s="2058" customFormat="1" ht="28.5" customHeight="1" thickBot="1">
      <c r="A57" s="797" t="s">
        <v>1748</v>
      </c>
      <c r="B57" s="798" t="s">
        <v>651</v>
      </c>
      <c r="C57" s="799">
        <f ca="1">ROUND(C58+C63+C64+C65,0)</f>
        <v>0</v>
      </c>
      <c r="D57" s="26" t="s">
        <v>1750</v>
      </c>
      <c r="E57" s="2617"/>
      <c r="F57" s="56"/>
      <c r="I57" s="3139" t="s">
        <v>2358</v>
      </c>
      <c r="J57" s="3140">
        <f ca="1">IF(OR(M47="住宅",J51&lt;L48,J56="是"),"——",J51-L48)</f>
        <v>0</v>
      </c>
      <c r="K57" s="3100" t="s">
        <v>2363</v>
      </c>
      <c r="L57" s="1907">
        <f ca="1">IF(L48&lt;J51,"——",IF(L55="比较法",L49,IF(L55="基准地价",L50,L51)))</f>
        <v>0</v>
      </c>
      <c r="O57" s="2375" t="s">
        <v>2379</v>
      </c>
      <c r="P57" s="2376" t="s">
        <v>2409</v>
      </c>
      <c r="Q57" s="2377" t="e">
        <f ca="1">C40+J29</f>
        <v>#DIV/0!</v>
      </c>
      <c r="R57" s="2376" t="s">
        <v>2380</v>
      </c>
    </row>
    <row r="58" spans="1:18" s="2058" customFormat="1" ht="28.5" customHeight="1" thickBot="1">
      <c r="A58" s="1648" t="s">
        <v>1824</v>
      </c>
      <c r="B58" s="784" t="s">
        <v>656</v>
      </c>
      <c r="C58" s="53">
        <f ca="1">ROUND(IF(项目基本情况!B11="自然人",C47*F58,C59+C60+C61),1)</f>
        <v>0</v>
      </c>
      <c r="D58" s="2615" t="s">
        <v>657</v>
      </c>
      <c r="E58" s="2616" t="s">
        <v>690</v>
      </c>
      <c r="F58" s="810" t="str">
        <f ca="1">IF(项目基本情况!B11="企业","",IF(INDIRECT("'数据-取费表'!c"&amp;$G$1)="住宅",5%,IF(F48*F49*F50/12/(1+'数据-取费表'!C42)&gt;20000,12%,7%)))</f>
        <v/>
      </c>
      <c r="I58" s="3139" t="s">
        <v>2359</v>
      </c>
      <c r="J58" s="3076" t="e">
        <f ca="1">IF(J55&lt;0.4,0.4,J55)</f>
        <v>#DIV/0!</v>
      </c>
      <c r="K58" s="3100" t="s">
        <v>2364</v>
      </c>
      <c r="L58" s="1907" t="e">
        <f ca="1">ROUND(POWER(1+L52,L47-L48)*(POWER(1+L52,L48)-1)/(POWER(1+L52,L47)-1),4)</f>
        <v>#DIV/0!</v>
      </c>
      <c r="O58" s="2375" t="s">
        <v>2381</v>
      </c>
      <c r="P58" s="2376" t="s">
        <v>2412</v>
      </c>
      <c r="Q58" s="2377" t="e">
        <f ca="1">L60</f>
        <v>#DIV/0!</v>
      </c>
      <c r="R58" s="2380" t="s">
        <v>2414</v>
      </c>
    </row>
    <row r="59" spans="1:18" s="2058" customFormat="1" ht="28.5" customHeight="1" thickBot="1">
      <c r="A59" s="1647" t="s">
        <v>1831</v>
      </c>
      <c r="B59" s="784" t="s">
        <v>660</v>
      </c>
      <c r="C59" s="53">
        <f ca="1">ROUND(C47*F59/1.05,1)</f>
        <v>0</v>
      </c>
      <c r="D59" s="2616" t="s">
        <v>1756</v>
      </c>
      <c r="E59" s="784" t="s">
        <v>1747</v>
      </c>
      <c r="F59" s="809">
        <f t="shared" ref="F59:F65" si="0">F32</f>
        <v>5.6000000000000001E-2</v>
      </c>
      <c r="I59" s="3139" t="s">
        <v>2360</v>
      </c>
      <c r="J59" s="3140" t="e">
        <f ca="1">IF(OR(M47="住宅",J51&lt;L48,J56="是"),"——",ROUND(C29*J58,0))</f>
        <v>#DIV/0!</v>
      </c>
      <c r="K59" s="3100"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8" t="s">
        <v>2383</v>
      </c>
      <c r="P59" s="2376" t="s">
        <v>2413</v>
      </c>
      <c r="Q59" s="2377">
        <f>IF(L55="比较法",L49,IF(L55="基准地价",L50,0))</f>
        <v>0</v>
      </c>
      <c r="R59" s="2376" t="s">
        <v>2380</v>
      </c>
    </row>
    <row r="60" spans="1:18" s="2058" customFormat="1" ht="18" customHeight="1" thickBot="1">
      <c r="A60" s="1647" t="s">
        <v>1832</v>
      </c>
      <c r="B60" s="784" t="s">
        <v>1758</v>
      </c>
      <c r="C60" s="53">
        <f ca="1">IF(D60="按租金收入计税",ROUND(C47*F60,1),IF(D60="按房产原值计税",ROUND(C56*F60*0.7,1),INDIRECT("'数据-取费表'!Aj"&amp;$G$1)))</f>
        <v>0</v>
      </c>
      <c r="D60" s="2616" t="str">
        <f>D33</f>
        <v>按房产原值计税</v>
      </c>
      <c r="E60" s="784" t="s">
        <v>1747</v>
      </c>
      <c r="F60" s="809">
        <f t="shared" si="0"/>
        <v>1.2E-2</v>
      </c>
      <c r="I60" s="3141" t="s">
        <v>2361</v>
      </c>
      <c r="J60" s="3142" t="e">
        <f ca="1">IF(OR(M47="住宅",J51&lt;L48,J56="是"),"0",ROUND(J59/(1+J52)^J53,0))</f>
        <v>#DIV/0!</v>
      </c>
      <c r="K60" s="3143" t="s">
        <v>2366</v>
      </c>
      <c r="L60" s="3142" t="e">
        <f ca="1">IF(OR(M47="住宅",L48&lt;J51),0,ROUND(L57*(L58/L59-1),0))</f>
        <v>#DIV/0!</v>
      </c>
      <c r="O60" s="2378" t="s">
        <v>2384</v>
      </c>
      <c r="P60" s="2376" t="s">
        <v>2393</v>
      </c>
      <c r="Q60" s="2379">
        <f>L52</f>
        <v>0</v>
      </c>
      <c r="R60" s="2380"/>
    </row>
    <row r="61" spans="1:18" s="2058" customFormat="1" ht="18" customHeight="1" thickBot="1">
      <c r="A61" s="1650" t="s">
        <v>1833</v>
      </c>
      <c r="B61" s="341" t="s">
        <v>668</v>
      </c>
      <c r="C61" s="54">
        <f ca="1">ROUND(F61*F62/10000,1)</f>
        <v>0</v>
      </c>
      <c r="D61" s="814" t="s">
        <v>669</v>
      </c>
      <c r="E61" s="784" t="s">
        <v>670</v>
      </c>
      <c r="F61" s="640">
        <f t="shared" si="0"/>
        <v>1.5</v>
      </c>
      <c r="K61" s="2085"/>
      <c r="O61" s="2378" t="s">
        <v>2386</v>
      </c>
      <c r="P61" s="2376" t="s">
        <v>2394</v>
      </c>
      <c r="Q61" s="2377" t="e">
        <f ca="1">L58</f>
        <v>#DIV/0!</v>
      </c>
      <c r="R61" s="2380" t="s">
        <v>2395</v>
      </c>
    </row>
    <row r="62" spans="1:18" s="2058" customFormat="1" ht="15.75" thickBot="1">
      <c r="A62" s="815"/>
      <c r="B62" s="793"/>
      <c r="C62" s="69"/>
      <c r="D62" s="816"/>
      <c r="E62" s="784" t="s">
        <v>674</v>
      </c>
      <c r="F62" s="785">
        <f t="shared" ca="1" si="0"/>
        <v>0</v>
      </c>
      <c r="I62" s="3144" t="s">
        <v>2367</v>
      </c>
      <c r="J62" s="3145" t="s">
        <v>2368</v>
      </c>
      <c r="K62" s="3145" t="s">
        <v>2369</v>
      </c>
      <c r="L62" s="3145" t="s">
        <v>2350</v>
      </c>
      <c r="M62" s="3146" t="s">
        <v>2943</v>
      </c>
      <c r="O62" s="2378" t="s">
        <v>2388</v>
      </c>
      <c r="P62" s="2376" t="str">
        <f>K59</f>
        <v>建筑物剩余耐用年限下的土地年期修正系数Kn</v>
      </c>
      <c r="Q62" s="2377" t="e">
        <f ca="1">L59</f>
        <v>#DIV/0!</v>
      </c>
      <c r="R62" s="2380" t="s">
        <v>2397</v>
      </c>
    </row>
    <row r="63" spans="1:18" s="2058" customFormat="1" ht="15.75" thickBot="1">
      <c r="A63" s="1648" t="s">
        <v>1889</v>
      </c>
      <c r="B63" s="784" t="s">
        <v>676</v>
      </c>
      <c r="C63" s="53">
        <f ca="1">ROUND(C56*F63,1)</f>
        <v>0</v>
      </c>
      <c r="D63" s="2616" t="s">
        <v>1803</v>
      </c>
      <c r="E63" s="784" t="s">
        <v>1747</v>
      </c>
      <c r="F63" s="817">
        <f t="shared" ca="1" si="0"/>
        <v>0</v>
      </c>
      <c r="I63" s="3144" t="s">
        <v>2370</v>
      </c>
      <c r="J63" s="3145">
        <v>70</v>
      </c>
      <c r="K63" s="3145">
        <v>50</v>
      </c>
      <c r="L63" s="3145">
        <v>80</v>
      </c>
      <c r="M63" s="3147">
        <v>0.02</v>
      </c>
      <c r="O63" s="2375" t="s">
        <v>2391</v>
      </c>
      <c r="P63" s="2376" t="s">
        <v>2408</v>
      </c>
      <c r="Q63" s="2377" t="e">
        <f ca="1">Q57+Q58</f>
        <v>#DIV/0!</v>
      </c>
      <c r="R63" s="2380" t="s">
        <v>2392</v>
      </c>
    </row>
    <row r="64" spans="1:18" s="2058" customFormat="1" ht="16.5" thickBot="1">
      <c r="A64" s="1648" t="s">
        <v>1890</v>
      </c>
      <c r="B64" s="784" t="s">
        <v>679</v>
      </c>
      <c r="C64" s="53">
        <f ca="1">ROUND(C55*F64,1)</f>
        <v>0</v>
      </c>
      <c r="D64" s="2616" t="s">
        <v>680</v>
      </c>
      <c r="E64" s="784" t="s">
        <v>1747</v>
      </c>
      <c r="F64" s="818">
        <f t="shared" ca="1" si="0"/>
        <v>0</v>
      </c>
      <c r="I64" s="3144" t="s">
        <v>2371</v>
      </c>
      <c r="J64" s="3145">
        <v>50</v>
      </c>
      <c r="K64" s="3145">
        <v>35</v>
      </c>
      <c r="L64" s="3145">
        <v>60</v>
      </c>
      <c r="M64" s="846">
        <v>0</v>
      </c>
      <c r="O64" s="2381" t="s">
        <v>2415</v>
      </c>
      <c r="P64" s="1591"/>
      <c r="Q64" s="1603"/>
      <c r="R64" s="1591"/>
    </row>
    <row r="65" spans="1:18" s="2058" customFormat="1" ht="15.75" thickBot="1">
      <c r="A65" s="1648" t="s">
        <v>1891</v>
      </c>
      <c r="B65" s="784" t="s">
        <v>666</v>
      </c>
      <c r="C65" s="53">
        <f ca="1">ROUND(C47*F65,1)</f>
        <v>0</v>
      </c>
      <c r="D65" s="2616" t="s">
        <v>683</v>
      </c>
      <c r="E65" s="784" t="s">
        <v>1747</v>
      </c>
      <c r="F65" s="794">
        <f t="shared" ca="1" si="0"/>
        <v>0</v>
      </c>
      <c r="I65" s="3144" t="s">
        <v>2372</v>
      </c>
      <c r="J65" s="3145">
        <v>40</v>
      </c>
      <c r="K65" s="3145">
        <v>30</v>
      </c>
      <c r="L65" s="3145">
        <v>50</v>
      </c>
      <c r="M65" s="3147">
        <v>0.02</v>
      </c>
      <c r="O65" s="2372" t="s">
        <v>2375</v>
      </c>
      <c r="P65" s="2373" t="s">
        <v>2376</v>
      </c>
      <c r="Q65" s="2374" t="s">
        <v>2377</v>
      </c>
      <c r="R65" s="2373" t="s">
        <v>2378</v>
      </c>
    </row>
    <row r="66" spans="1:18" s="2058" customFormat="1" ht="24.75" thickBot="1">
      <c r="A66" s="797" t="s">
        <v>1776</v>
      </c>
      <c r="B66" s="2984" t="s">
        <v>2821</v>
      </c>
      <c r="C66" s="799">
        <f ca="1">C47-C57</f>
        <v>0</v>
      </c>
      <c r="D66" s="2615" t="s">
        <v>700</v>
      </c>
      <c r="E66" s="2614"/>
      <c r="F66" s="820"/>
      <c r="K66" s="2085"/>
      <c r="O66" s="2375" t="s">
        <v>2379</v>
      </c>
      <c r="P66" s="2376" t="s">
        <v>2409</v>
      </c>
      <c r="Q66" s="2377" t="e">
        <f ca="1">C40+J29</f>
        <v>#DIV/0!</v>
      </c>
      <c r="R66" s="2376" t="s">
        <v>2380</v>
      </c>
    </row>
    <row r="67" spans="1:18" s="2058" customFormat="1" ht="20.25" thickBot="1">
      <c r="A67" s="781" t="s">
        <v>1780</v>
      </c>
      <c r="B67" s="2231" t="s">
        <v>2301</v>
      </c>
      <c r="C67" s="783" t="e">
        <f ca="1">ROUND(C66*(1-((1+F69)/(1+F67))^F68)/(F67-F69),0)</f>
        <v>#DIV/0!</v>
      </c>
      <c r="D67" s="814" t="s">
        <v>704</v>
      </c>
      <c r="E67" s="784" t="s">
        <v>705</v>
      </c>
      <c r="F67" s="794">
        <f ca="1">F40</f>
        <v>0</v>
      </c>
      <c r="K67" s="2085"/>
      <c r="O67" s="2375" t="s">
        <v>2381</v>
      </c>
      <c r="P67" s="2376" t="s">
        <v>2412</v>
      </c>
      <c r="Q67" s="2377" t="e">
        <f ca="1">L60</f>
        <v>#DIV/0!</v>
      </c>
      <c r="R67" s="2380" t="s">
        <v>2414</v>
      </c>
    </row>
    <row r="68" spans="1:18" ht="21.75" thickBot="1">
      <c r="A68" s="786"/>
      <c r="B68" s="787"/>
      <c r="C68" s="788"/>
      <c r="D68" s="821" t="s">
        <v>1808</v>
      </c>
      <c r="E68" s="784" t="s">
        <v>1784</v>
      </c>
      <c r="F68" s="822">
        <f ca="1">F41</f>
        <v>0</v>
      </c>
      <c r="O68" s="2378" t="s">
        <v>2383</v>
      </c>
      <c r="P68" s="2376" t="s">
        <v>2413</v>
      </c>
      <c r="Q68" s="2382">
        <f ca="1">L51</f>
        <v>0</v>
      </c>
      <c r="R68" s="2383" t="s">
        <v>2416</v>
      </c>
    </row>
    <row r="69" spans="1:18" ht="20.25" thickBot="1">
      <c r="A69" s="790"/>
      <c r="B69" s="791"/>
      <c r="C69" s="792"/>
      <c r="D69" s="816"/>
      <c r="E69" s="784" t="s">
        <v>710</v>
      </c>
      <c r="F69" s="2348"/>
      <c r="O69" s="2378" t="s">
        <v>2384</v>
      </c>
      <c r="P69" s="2384" t="s">
        <v>2398</v>
      </c>
      <c r="Q69" s="2377">
        <f ca="1">ROUND(Q70-Q71*Q72,0)</f>
        <v>0</v>
      </c>
      <c r="R69" s="2380"/>
    </row>
    <row r="70" spans="1:18" ht="15.75" thickBot="1">
      <c r="A70" s="823" t="s">
        <v>1787</v>
      </c>
      <c r="B70" s="824" t="s">
        <v>1810</v>
      </c>
      <c r="C70" s="825" t="e">
        <f ca="1">ROUND(C67*10000/F70,0)</f>
        <v>#DIV/0!</v>
      </c>
      <c r="D70" s="826" t="s">
        <v>1811</v>
      </c>
      <c r="E70" s="827" t="s">
        <v>1812</v>
      </c>
      <c r="F70" s="828">
        <f ca="1">F43</f>
        <v>0</v>
      </c>
      <c r="O70" s="2378" t="s">
        <v>2399</v>
      </c>
      <c r="P70" s="2384" t="s">
        <v>2400</v>
      </c>
      <c r="Q70" s="2377">
        <f ca="1">C39</f>
        <v>0</v>
      </c>
      <c r="R70" s="2376" t="s">
        <v>2380</v>
      </c>
    </row>
    <row r="71" spans="1:18" ht="15.75" thickBot="1">
      <c r="O71" s="2378" t="s">
        <v>2401</v>
      </c>
      <c r="P71" s="2384" t="s">
        <v>2402</v>
      </c>
      <c r="Q71" s="2377">
        <f ca="1">C13</f>
        <v>0</v>
      </c>
      <c r="R71" s="2376" t="s">
        <v>2380</v>
      </c>
    </row>
    <row r="72" spans="1:18" ht="15.75" thickBot="1">
      <c r="O72" s="2378" t="s">
        <v>2403</v>
      </c>
      <c r="P72" s="2384" t="s">
        <v>2404</v>
      </c>
      <c r="Q72" s="2379">
        <f ca="1">J36</f>
        <v>0</v>
      </c>
      <c r="R72" s="2380"/>
    </row>
    <row r="73" spans="1:18" ht="15.75" thickBot="1">
      <c r="O73" s="2378" t="s">
        <v>2386</v>
      </c>
      <c r="P73" s="2376" t="s">
        <v>2393</v>
      </c>
      <c r="Q73" s="2379">
        <f>L52</f>
        <v>0</v>
      </c>
      <c r="R73" s="2380"/>
    </row>
    <row r="74" spans="1:18" ht="20.25" thickBot="1">
      <c r="O74" s="2378" t="s">
        <v>2388</v>
      </c>
      <c r="P74" s="2376" t="s">
        <v>2394</v>
      </c>
      <c r="Q74" s="2377" t="e">
        <f ca="1">L58</f>
        <v>#DIV/0!</v>
      </c>
      <c r="R74" s="2380" t="s">
        <v>2395</v>
      </c>
    </row>
    <row r="75" spans="1:18" ht="15.75" thickBot="1">
      <c r="O75" s="2378" t="s">
        <v>2417</v>
      </c>
      <c r="P75" s="2376" t="str">
        <f>K59</f>
        <v>建筑物剩余耐用年限下的土地年期修正系数Kn</v>
      </c>
      <c r="Q75" s="2377" t="e">
        <f ca="1">L59</f>
        <v>#DIV/0!</v>
      </c>
      <c r="R75" s="2380" t="s">
        <v>2397</v>
      </c>
    </row>
    <row r="76" spans="1:18" ht="15.75" thickBot="1">
      <c r="O76" s="2375" t="s">
        <v>2391</v>
      </c>
      <c r="P76" s="2376" t="s">
        <v>2408</v>
      </c>
      <c r="Q76" s="2377" t="e">
        <f ca="1">Q66+Q67</f>
        <v>#DIV/0!</v>
      </c>
      <c r="R76" s="2380"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528" t="s">
        <v>2471</v>
      </c>
      <c r="B1" s="3529"/>
      <c r="C1" s="3530"/>
      <c r="D1" s="3531">
        <f>SUM(I10,I15,I20,I21,I23)</f>
        <v>0</v>
      </c>
      <c r="E1" s="3531"/>
      <c r="F1" s="3531"/>
      <c r="G1" s="3531"/>
      <c r="H1" s="3531"/>
      <c r="I1" s="3532"/>
    </row>
    <row r="2" spans="1:9">
      <c r="A2" s="3533" t="s">
        <v>2472</v>
      </c>
      <c r="B2" s="3534" t="s">
        <v>2473</v>
      </c>
      <c r="C2" s="3534"/>
      <c r="D2" s="2484" t="s">
        <v>2474</v>
      </c>
      <c r="E2" s="2484" t="s">
        <v>2475</v>
      </c>
      <c r="F2" s="2484" t="s">
        <v>2476</v>
      </c>
      <c r="G2" s="2484" t="s">
        <v>2477</v>
      </c>
      <c r="H2" s="2484" t="s">
        <v>2478</v>
      </c>
      <c r="I2" s="2485" t="s">
        <v>2479</v>
      </c>
    </row>
    <row r="3" spans="1:9">
      <c r="A3" s="3533"/>
      <c r="B3" s="3534" t="s">
        <v>2480</v>
      </c>
      <c r="C3" s="3534"/>
      <c r="D3" s="2486"/>
      <c r="E3" s="2484"/>
      <c r="F3" s="2487"/>
      <c r="G3" s="2487"/>
      <c r="H3" s="2488"/>
      <c r="I3" s="2489">
        <f>ROUND(D3*E3*F3*G3*H3/10000,0)</f>
        <v>0</v>
      </c>
    </row>
    <row r="4" spans="1:9">
      <c r="A4" s="3533"/>
      <c r="B4" s="3534" t="s">
        <v>2481</v>
      </c>
      <c r="C4" s="3534"/>
      <c r="D4" s="2486"/>
      <c r="E4" s="2484"/>
      <c r="F4" s="2487"/>
      <c r="G4" s="2487"/>
      <c r="H4" s="2488"/>
      <c r="I4" s="2489">
        <f t="shared" ref="I4:I9" si="0">ROUND(D4*E4*F4*G4*H4/10000,0)</f>
        <v>0</v>
      </c>
    </row>
    <row r="5" spans="1:9">
      <c r="A5" s="3533"/>
      <c r="B5" s="3534" t="s">
        <v>2482</v>
      </c>
      <c r="C5" s="3534"/>
      <c r="D5" s="2486"/>
      <c r="E5" s="2484"/>
      <c r="F5" s="2487"/>
      <c r="G5" s="2487"/>
      <c r="H5" s="2488"/>
      <c r="I5" s="2489">
        <f t="shared" si="0"/>
        <v>0</v>
      </c>
    </row>
    <row r="6" spans="1:9">
      <c r="A6" s="3533"/>
      <c r="B6" s="3534" t="s">
        <v>2483</v>
      </c>
      <c r="C6" s="3534"/>
      <c r="D6" s="2486"/>
      <c r="E6" s="2484"/>
      <c r="F6" s="2487"/>
      <c r="G6" s="2487"/>
      <c r="H6" s="2488"/>
      <c r="I6" s="2489">
        <f t="shared" si="0"/>
        <v>0</v>
      </c>
    </row>
    <row r="7" spans="1:9">
      <c r="A7" s="3533"/>
      <c r="B7" s="3534" t="s">
        <v>2484</v>
      </c>
      <c r="C7" s="3534"/>
      <c r="D7" s="2486"/>
      <c r="E7" s="2484"/>
      <c r="F7" s="2487"/>
      <c r="G7" s="2487"/>
      <c r="H7" s="2488"/>
      <c r="I7" s="2489">
        <f t="shared" si="0"/>
        <v>0</v>
      </c>
    </row>
    <row r="8" spans="1:9">
      <c r="A8" s="3533"/>
      <c r="B8" s="3534" t="s">
        <v>2485</v>
      </c>
      <c r="C8" s="3534"/>
      <c r="D8" s="2486"/>
      <c r="E8" s="2484"/>
      <c r="F8" s="2487"/>
      <c r="G8" s="2487"/>
      <c r="H8" s="2488"/>
      <c r="I8" s="2489">
        <f t="shared" si="0"/>
        <v>0</v>
      </c>
    </row>
    <row r="9" spans="1:9">
      <c r="A9" s="3533"/>
      <c r="B9" s="3534" t="s">
        <v>2486</v>
      </c>
      <c r="C9" s="3534"/>
      <c r="D9" s="2486"/>
      <c r="E9" s="2484"/>
      <c r="F9" s="2487"/>
      <c r="G9" s="2487"/>
      <c r="H9" s="2488"/>
      <c r="I9" s="2489">
        <f t="shared" si="0"/>
        <v>0</v>
      </c>
    </row>
    <row r="10" spans="1:9">
      <c r="A10" s="3533"/>
      <c r="B10" s="3535" t="s">
        <v>2487</v>
      </c>
      <c r="C10" s="3535"/>
      <c r="D10" s="2490">
        <v>527</v>
      </c>
      <c r="E10" s="2490" t="e">
        <f>ROUND(D1*10000/D10/H9,0)</f>
        <v>#DIV/0!</v>
      </c>
      <c r="F10" s="2491"/>
      <c r="G10" s="2491"/>
      <c r="H10" s="2492"/>
      <c r="I10" s="2493">
        <f>SUM(I3:I9)</f>
        <v>0</v>
      </c>
    </row>
    <row r="11" spans="1:9" ht="14.25">
      <c r="A11" s="3533" t="s">
        <v>2488</v>
      </c>
      <c r="B11" s="3534" t="s">
        <v>2489</v>
      </c>
      <c r="C11" s="3534"/>
      <c r="D11" s="2486" t="s">
        <v>2490</v>
      </c>
      <c r="E11" s="2486" t="s">
        <v>2491</v>
      </c>
      <c r="F11" s="2487" t="s">
        <v>2492</v>
      </c>
      <c r="G11" s="2487" t="s">
        <v>2493</v>
      </c>
      <c r="H11" s="2494" t="s">
        <v>2494</v>
      </c>
      <c r="I11" s="2485" t="s">
        <v>2495</v>
      </c>
    </row>
    <row r="12" spans="1:9">
      <c r="A12" s="3533"/>
      <c r="B12" s="3534" t="s">
        <v>2496</v>
      </c>
      <c r="C12" s="3534"/>
      <c r="D12" s="2486"/>
      <c r="E12" s="2486"/>
      <c r="F12" s="2487"/>
      <c r="G12" s="2488"/>
      <c r="H12" s="2495"/>
      <c r="I12" s="2485">
        <f>ROUND(D12*E12*F12*G12/10000,0)</f>
        <v>0</v>
      </c>
    </row>
    <row r="13" spans="1:9">
      <c r="A13" s="3533"/>
      <c r="B13" s="3534" t="s">
        <v>2497</v>
      </c>
      <c r="C13" s="3534"/>
      <c r="D13" s="2486"/>
      <c r="E13" s="2486"/>
      <c r="F13" s="2487"/>
      <c r="G13" s="2488"/>
      <c r="H13" s="2495"/>
      <c r="I13" s="2485">
        <f>ROUND(D13*E13*F13*G13/10000,0)</f>
        <v>0</v>
      </c>
    </row>
    <row r="14" spans="1:9">
      <c r="A14" s="3533"/>
      <c r="B14" s="3534" t="s">
        <v>2498</v>
      </c>
      <c r="C14" s="3534"/>
      <c r="D14" s="2486"/>
      <c r="E14" s="2486"/>
      <c r="F14" s="2487"/>
      <c r="G14" s="2488"/>
      <c r="H14" s="2495"/>
      <c r="I14" s="2485">
        <f>ROUND(D14*E14*F14*G14/10000,0)</f>
        <v>0</v>
      </c>
    </row>
    <row r="15" spans="1:9">
      <c r="A15" s="3533"/>
      <c r="B15" s="3535" t="s">
        <v>2487</v>
      </c>
      <c r="C15" s="3535"/>
      <c r="D15" s="2490"/>
      <c r="E15" s="2490">
        <f>SUM(E12:E14)</f>
        <v>0</v>
      </c>
      <c r="F15" s="2491"/>
      <c r="G15" s="2488"/>
      <c r="H15" s="2495"/>
      <c r="I15" s="2496">
        <f>SUM(I12:I14)</f>
        <v>0</v>
      </c>
    </row>
    <row r="16" spans="1:9" ht="24">
      <c r="A16" s="3533" t="s">
        <v>2499</v>
      </c>
      <c r="B16" s="3534" t="s">
        <v>2500</v>
      </c>
      <c r="C16" s="3534"/>
      <c r="D16" s="2486" t="s">
        <v>2501</v>
      </c>
      <c r="E16" s="2497" t="s">
        <v>2502</v>
      </c>
      <c r="F16" s="2487" t="s">
        <v>2503</v>
      </c>
      <c r="G16" s="2488" t="s">
        <v>2493</v>
      </c>
      <c r="H16" s="2494" t="s">
        <v>2494</v>
      </c>
      <c r="I16" s="2485" t="s">
        <v>2495</v>
      </c>
    </row>
    <row r="17" spans="1:9" ht="14.25">
      <c r="A17" s="3533"/>
      <c r="B17" s="3534" t="s">
        <v>2504</v>
      </c>
      <c r="C17" s="3534"/>
      <c r="D17" s="2486"/>
      <c r="E17" s="2486"/>
      <c r="F17" s="2487"/>
      <c r="G17" s="2488"/>
      <c r="H17" s="2498"/>
      <c r="I17" s="2499">
        <f>ROUND(D17*E17*F17*G17/10000,0)</f>
        <v>0</v>
      </c>
    </row>
    <row r="18" spans="1:9" ht="14.25">
      <c r="A18" s="3533"/>
      <c r="B18" s="3534" t="s">
        <v>2505</v>
      </c>
      <c r="C18" s="3534"/>
      <c r="D18" s="2486"/>
      <c r="E18" s="2486"/>
      <c r="F18" s="2487"/>
      <c r="G18" s="2488"/>
      <c r="H18" s="2498"/>
      <c r="I18" s="2499">
        <f>ROUND(D18*E18*F18*G18/10000,0)</f>
        <v>0</v>
      </c>
    </row>
    <row r="19" spans="1:9" ht="14.25">
      <c r="A19" s="3533"/>
      <c r="B19" s="3534" t="s">
        <v>2506</v>
      </c>
      <c r="C19" s="3534"/>
      <c r="D19" s="2486"/>
      <c r="E19" s="2486"/>
      <c r="F19" s="2487"/>
      <c r="G19" s="2488"/>
      <c r="H19" s="2498"/>
      <c r="I19" s="2499">
        <f>ROUND(D19*E19*F19*G19/10000,0)</f>
        <v>0</v>
      </c>
    </row>
    <row r="20" spans="1:9">
      <c r="A20" s="3533"/>
      <c r="B20" s="3535" t="s">
        <v>2487</v>
      </c>
      <c r="C20" s="3535"/>
      <c r="D20" s="2490">
        <f>SUM(D17:D19)</f>
        <v>0</v>
      </c>
      <c r="E20" s="2490"/>
      <c r="F20" s="2491"/>
      <c r="G20" s="2488"/>
      <c r="H20" s="2495"/>
      <c r="I20" s="2496">
        <f>SUM(I17:I19)</f>
        <v>0</v>
      </c>
    </row>
    <row r="21" spans="1:9">
      <c r="A21" s="3533" t="s">
        <v>2507</v>
      </c>
      <c r="B21" s="3537"/>
      <c r="C21" s="3537"/>
      <c r="D21" s="3537"/>
      <c r="E21" s="3537"/>
      <c r="F21" s="3537"/>
      <c r="G21" s="3537"/>
      <c r="H21" s="2500">
        <v>0.1</v>
      </c>
      <c r="I21" s="2493">
        <f>ROUND(I10*H21,0)</f>
        <v>0</v>
      </c>
    </row>
    <row r="22" spans="1:9" ht="14.25">
      <c r="A22" s="3538" t="s">
        <v>2508</v>
      </c>
      <c r="B22" s="3539"/>
      <c r="C22" s="3540"/>
      <c r="D22" s="2501" t="s">
        <v>2509</v>
      </c>
      <c r="E22" s="2501" t="s">
        <v>2510</v>
      </c>
      <c r="F22" s="2502" t="s">
        <v>2511</v>
      </c>
      <c r="G22" s="2502" t="s">
        <v>2512</v>
      </c>
      <c r="H22" s="2494" t="s">
        <v>2513</v>
      </c>
      <c r="I22" s="2485" t="s">
        <v>2514</v>
      </c>
    </row>
    <row r="23" spans="1:9" ht="14.25" thickBot="1">
      <c r="A23" s="3541"/>
      <c r="B23" s="3542"/>
      <c r="C23" s="3543"/>
      <c r="D23" s="2503"/>
      <c r="E23" s="2503"/>
      <c r="F23" s="2503"/>
      <c r="G23" s="2504"/>
      <c r="H23" s="2505"/>
      <c r="I23" s="2506">
        <f>ROUND(E23*D23*F23*(1-G23)/10000,0)</f>
        <v>0</v>
      </c>
    </row>
    <row r="26" spans="1:9">
      <c r="A26" s="2507" t="s">
        <v>2515</v>
      </c>
      <c r="B26" s="2507"/>
      <c r="C26" s="2507"/>
      <c r="D26" s="2507"/>
      <c r="E26" s="3544">
        <f>C27-C30-C31-C32</f>
        <v>0</v>
      </c>
      <c r="F26" s="3544"/>
      <c r="G26" s="3544"/>
      <c r="H26" s="3017" t="s">
        <v>2842</v>
      </c>
    </row>
    <row r="27" spans="1:9">
      <c r="A27" s="2508">
        <v>1</v>
      </c>
      <c r="B27" s="2509" t="s">
        <v>2516</v>
      </c>
      <c r="C27" s="2509"/>
      <c r="D27" s="2509"/>
      <c r="E27" s="3545"/>
      <c r="F27" s="3545"/>
      <c r="G27" s="3545"/>
    </row>
    <row r="28" spans="1:9">
      <c r="A28" s="2510" t="s">
        <v>2517</v>
      </c>
      <c r="B28" s="2509" t="s">
        <v>2518</v>
      </c>
      <c r="C28" s="2509"/>
      <c r="D28" s="2509"/>
      <c r="E28" s="3545"/>
      <c r="F28" s="3545"/>
      <c r="G28" s="3545"/>
    </row>
    <row r="29" spans="1:9">
      <c r="A29" s="2510" t="s">
        <v>2519</v>
      </c>
      <c r="B29" s="2509" t="s">
        <v>2460</v>
      </c>
      <c r="C29" s="2509"/>
      <c r="D29" s="2509"/>
      <c r="E29" s="2509" t="s">
        <v>2520</v>
      </c>
      <c r="F29" s="2509"/>
      <c r="G29" s="2509"/>
    </row>
    <row r="30" spans="1:9">
      <c r="A30" s="2508">
        <v>2</v>
      </c>
      <c r="B30" s="2509" t="s">
        <v>2521</v>
      </c>
      <c r="C30" s="2509">
        <f>C27*D30</f>
        <v>0</v>
      </c>
      <c r="D30" s="2511">
        <v>0.2</v>
      </c>
      <c r="E30" s="2509" t="s">
        <v>2522</v>
      </c>
      <c r="F30" s="2509"/>
      <c r="G30" s="2509"/>
    </row>
    <row r="31" spans="1:9">
      <c r="A31" s="2508">
        <v>3</v>
      </c>
      <c r="B31" s="2509" t="s">
        <v>2523</v>
      </c>
      <c r="C31" s="2509">
        <f>C25*D31</f>
        <v>0</v>
      </c>
      <c r="D31" s="2511">
        <v>0.15</v>
      </c>
      <c r="E31" s="2509" t="s">
        <v>2524</v>
      </c>
      <c r="F31" s="2509"/>
      <c r="G31" s="2509"/>
    </row>
    <row r="32" spans="1:9">
      <c r="A32" s="2508">
        <v>4</v>
      </c>
      <c r="B32" s="2509" t="s">
        <v>2525</v>
      </c>
      <c r="C32" s="2509">
        <f>C27*D32</f>
        <v>0</v>
      </c>
      <c r="D32" s="2511">
        <v>0.05</v>
      </c>
      <c r="E32" s="3536"/>
      <c r="F32" s="3536"/>
      <c r="G32" s="3536"/>
    </row>
    <row r="33" spans="1:7" hidden="1">
      <c r="A33" s="3546" t="s">
        <v>2526</v>
      </c>
      <c r="B33" s="3547"/>
      <c r="C33" s="3547"/>
      <c r="D33" s="3548"/>
      <c r="E33" s="3544"/>
      <c r="F33" s="3544"/>
      <c r="G33" s="3544"/>
    </row>
    <row r="34" spans="1:7" hidden="1">
      <c r="A34" s="2512">
        <v>1</v>
      </c>
      <c r="B34" s="2509" t="s">
        <v>2527</v>
      </c>
      <c r="C34" s="2509"/>
      <c r="D34" s="2509"/>
      <c r="E34" s="3545"/>
      <c r="F34" s="3545"/>
      <c r="G34" s="3545"/>
    </row>
    <row r="35" spans="1:7" hidden="1">
      <c r="A35" s="2512">
        <v>2</v>
      </c>
      <c r="B35" s="2509" t="s">
        <v>2528</v>
      </c>
      <c r="C35" s="2509"/>
      <c r="D35" s="2509"/>
      <c r="E35" s="3545"/>
      <c r="F35" s="3545"/>
      <c r="G35" s="3545"/>
    </row>
    <row r="36" spans="1:7" hidden="1">
      <c r="A36" s="2512">
        <v>3</v>
      </c>
      <c r="B36" s="2509" t="s">
        <v>2529</v>
      </c>
      <c r="C36" s="2509"/>
      <c r="D36" s="2509"/>
      <c r="E36" s="3545"/>
      <c r="F36" s="3545"/>
      <c r="G36" s="3545"/>
    </row>
    <row r="37" spans="1:7" hidden="1">
      <c r="A37" s="2512">
        <v>4</v>
      </c>
      <c r="B37" s="2509" t="s">
        <v>2530</v>
      </c>
      <c r="C37" s="2509"/>
      <c r="D37" s="2509"/>
      <c r="E37" s="3545"/>
      <c r="F37" s="3545"/>
      <c r="G37" s="3545"/>
    </row>
    <row r="38" spans="1:7" hidden="1">
      <c r="A38" s="3546" t="s">
        <v>2531</v>
      </c>
      <c r="B38" s="3547"/>
      <c r="C38" s="3547"/>
      <c r="D38" s="3548"/>
      <c r="E38" s="3544"/>
      <c r="F38" s="3544"/>
      <c r="G38" s="35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6">
        <v>1</v>
      </c>
      <c r="B7" s="748" t="s">
        <v>609</v>
      </c>
      <c r="C7" s="749">
        <f>C8+C9</f>
        <v>0</v>
      </c>
      <c r="D7" s="749"/>
      <c r="E7" s="750"/>
      <c r="F7" s="750"/>
      <c r="G7" s="2456"/>
    </row>
    <row r="8" spans="1:25" s="2182" customFormat="1" ht="13.5" customHeight="1">
      <c r="A8" s="2446" t="s">
        <v>2440</v>
      </c>
      <c r="B8" s="2449" t="s">
        <v>2442</v>
      </c>
      <c r="C8" s="2450"/>
      <c r="D8" s="749"/>
      <c r="E8" s="750"/>
      <c r="F8" s="750"/>
      <c r="G8" s="751"/>
    </row>
    <row r="9" spans="1:25" s="2182" customFormat="1" ht="13.5" customHeight="1">
      <c r="A9" s="2446" t="s">
        <v>2441</v>
      </c>
      <c r="B9" s="2449" t="s">
        <v>2443</v>
      </c>
      <c r="C9" s="2450"/>
      <c r="D9" s="749"/>
      <c r="E9" s="750"/>
      <c r="F9" s="750"/>
      <c r="G9" s="751"/>
    </row>
    <row r="10" spans="1:25" s="2182" customFormat="1" ht="36">
      <c r="A10" s="2446">
        <v>2</v>
      </c>
      <c r="B10" s="748" t="s">
        <v>613</v>
      </c>
      <c r="C10" s="749">
        <f>C11+C14+C15</f>
        <v>0</v>
      </c>
      <c r="D10" s="760">
        <f>'数据-汇总表'!E3</f>
        <v>43120</v>
      </c>
      <c r="E10" s="749">
        <f>'数据-取费表'!B31</f>
        <v>200</v>
      </c>
      <c r="F10" s="761"/>
      <c r="G10" s="759" t="s">
        <v>614</v>
      </c>
    </row>
    <row r="11" spans="1:25" s="2182" customFormat="1" ht="13.5" customHeight="1">
      <c r="A11" s="2446" t="s">
        <v>2440</v>
      </c>
      <c r="B11" s="752" t="s">
        <v>610</v>
      </c>
      <c r="C11" s="753">
        <f>'数据-取费表'!B29</f>
        <v>0</v>
      </c>
      <c r="D11" s="754"/>
      <c r="E11" s="753"/>
      <c r="F11" s="755"/>
      <c r="G11" s="2455" t="s">
        <v>2451</v>
      </c>
    </row>
    <row r="12" spans="1:25" s="2182" customFormat="1" ht="13.5" customHeight="1">
      <c r="A12" s="2453" t="s">
        <v>2448</v>
      </c>
      <c r="B12" s="756" t="s">
        <v>611</v>
      </c>
      <c r="C12" s="757">
        <f>ROUND(D12*E12/10000,0)</f>
        <v>733</v>
      </c>
      <c r="D12" s="758">
        <f>'数据-汇总表'!E5</f>
        <v>43120</v>
      </c>
      <c r="E12" s="757">
        <f>'数据-取费表'!B27</f>
        <v>170</v>
      </c>
      <c r="F12" s="755"/>
      <c r="G12" s="759"/>
    </row>
    <row r="13" spans="1:25" s="2182" customFormat="1" ht="13.5" customHeight="1">
      <c r="A13" s="2453" t="s">
        <v>2447</v>
      </c>
      <c r="B13" s="756" t="s">
        <v>612</v>
      </c>
      <c r="C13" s="757">
        <f>ROUND(D13*E13/10000,0)</f>
        <v>0</v>
      </c>
      <c r="D13" s="758">
        <f>'数据-汇总表'!E6</f>
        <v>0</v>
      </c>
      <c r="E13" s="757">
        <f>'数据-取费表'!B28</f>
        <v>200</v>
      </c>
      <c r="F13" s="755"/>
      <c r="G13" s="759"/>
    </row>
    <row r="14" spans="1:25" s="2182" customFormat="1" ht="13.5" customHeight="1">
      <c r="A14" s="2446" t="s">
        <v>2441</v>
      </c>
      <c r="B14" s="2452" t="s">
        <v>2444</v>
      </c>
      <c r="C14" s="2450"/>
      <c r="D14" s="758"/>
      <c r="E14" s="757"/>
      <c r="F14" s="2451"/>
      <c r="G14" s="2454" t="s">
        <v>2449</v>
      </c>
    </row>
    <row r="15" spans="1:25" s="2182" customFormat="1" ht="13.5" customHeight="1">
      <c r="A15" s="2446" t="s">
        <v>2446</v>
      </c>
      <c r="B15" s="2452" t="s">
        <v>2445</v>
      </c>
      <c r="C15" s="2450"/>
      <c r="D15" s="758"/>
      <c r="E15" s="757"/>
      <c r="F15" s="2451"/>
      <c r="G15" s="2454" t="s">
        <v>2450</v>
      </c>
    </row>
    <row r="16" spans="1:25" s="2183" customFormat="1" ht="48">
      <c r="A16" s="2446">
        <v>3</v>
      </c>
      <c r="B16" s="748" t="s">
        <v>615</v>
      </c>
      <c r="C16" s="2450"/>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7">
        <v>4</v>
      </c>
      <c r="B17" s="748" t="s">
        <v>616</v>
      </c>
      <c r="C17" s="2550">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8"/>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7">
        <v>5</v>
      </c>
      <c r="B18" s="748" t="s">
        <v>617</v>
      </c>
      <c r="C18" s="749">
        <f>ROUND((C7+C10+C16)*F18,0)</f>
        <v>0</v>
      </c>
      <c r="D18" s="762"/>
      <c r="E18" s="763"/>
      <c r="F18" s="761">
        <f>'数据-取费表'!Q16</f>
        <v>0.25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6">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6">
        <v>7</v>
      </c>
      <c r="B20" s="748" t="s">
        <v>621</v>
      </c>
      <c r="C20" s="749">
        <f ca="1">ROUND(C19*F20,0)</f>
        <v>0</v>
      </c>
      <c r="D20" s="760"/>
      <c r="E20" s="749"/>
      <c r="F20" s="1347"/>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6">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6">
        <v>9</v>
      </c>
      <c r="B22" s="748" t="s">
        <v>625</v>
      </c>
      <c r="C22" s="749">
        <f ca="1">ROUND(C21*F22,0)</f>
        <v>0</v>
      </c>
      <c r="D22" s="760"/>
      <c r="E22" s="749"/>
      <c r="F22" s="766">
        <f>'数据-取费表'!AP16</f>
        <v>0.89900000000000002</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8">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C68" sqref="C68:M68"/>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2600" t="s">
        <v>719</v>
      </c>
      <c r="C1" s="2601" t="s">
        <v>720</v>
      </c>
      <c r="D1" s="2602" t="s">
        <v>3053</v>
      </c>
      <c r="E1" s="2603"/>
      <c r="F1" s="2783" t="s">
        <v>3087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467</v>
      </c>
      <c r="B2" s="2599">
        <f>ROUND(B3*D3/10000,0)</f>
        <v>290900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0" customFormat="1" ht="28.5" customHeight="1" thickBot="1">
      <c r="A3" s="509" t="s">
        <v>519</v>
      </c>
      <c r="B3" s="851">
        <f>C49</f>
        <v>67463</v>
      </c>
      <c r="C3" s="852" t="s">
        <v>722</v>
      </c>
      <c r="D3" s="851">
        <f>SUMIF('数据-汇总表'!$C19:$C33,D1,'数据-汇总表'!$E19:$E33)</f>
        <v>43120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41" t="s">
        <v>522</v>
      </c>
      <c r="D4" s="3442"/>
      <c r="E4" s="3476" t="s">
        <v>523</v>
      </c>
      <c r="F4" s="3477"/>
      <c r="G4" s="3441" t="s">
        <v>524</v>
      </c>
      <c r="H4" s="3442"/>
      <c r="I4" s="3441" t="s">
        <v>525</v>
      </c>
      <c r="J4" s="3442"/>
      <c r="K4" s="853" t="s">
        <v>526</v>
      </c>
      <c r="L4" s="2132"/>
      <c r="M4" s="2133"/>
      <c r="N4" s="2133"/>
      <c r="O4" s="2133"/>
      <c r="P4" s="3443" t="s">
        <v>527</v>
      </c>
      <c r="Q4" s="3444"/>
      <c r="R4" s="3449" t="s">
        <v>523</v>
      </c>
      <c r="S4" s="3450"/>
      <c r="T4" s="3449" t="s">
        <v>524</v>
      </c>
      <c r="U4" s="3450"/>
      <c r="V4" s="3436" t="s">
        <v>525</v>
      </c>
      <c r="W4" s="3436"/>
      <c r="X4" s="1566"/>
      <c r="Y4" s="3449" t="s">
        <v>527</v>
      </c>
      <c r="Z4" s="3450"/>
      <c r="AA4" s="3438" t="s">
        <v>523</v>
      </c>
      <c r="AB4" s="3438" t="s">
        <v>524</v>
      </c>
      <c r="AC4" s="3438" t="s">
        <v>525</v>
      </c>
    </row>
    <row r="5" spans="1:29" ht="15">
      <c r="A5" s="515"/>
      <c r="B5" s="516"/>
      <c r="C5" s="3457" t="s">
        <v>2928</v>
      </c>
      <c r="D5" s="3458"/>
      <c r="E5" s="3555" t="s">
        <v>3381</v>
      </c>
      <c r="F5" s="3479"/>
      <c r="G5" s="3553" t="s">
        <v>3382</v>
      </c>
      <c r="H5" s="3458"/>
      <c r="I5" s="3553" t="s">
        <v>3383</v>
      </c>
      <c r="J5" s="3458"/>
      <c r="K5" s="854"/>
      <c r="L5" s="2132"/>
      <c r="M5" s="2133"/>
      <c r="N5" s="2133"/>
      <c r="O5" s="2133"/>
      <c r="P5" s="3445"/>
      <c r="Q5" s="3446"/>
      <c r="R5" s="3451"/>
      <c r="S5" s="3452"/>
      <c r="T5" s="3451"/>
      <c r="U5" s="3452"/>
      <c r="V5" s="3436"/>
      <c r="W5" s="3436"/>
      <c r="X5" s="1566"/>
      <c r="Y5" s="3451"/>
      <c r="Z5" s="3452"/>
      <c r="AA5" s="3439"/>
      <c r="AB5" s="3439"/>
      <c r="AC5" s="3439"/>
    </row>
    <row r="6" spans="1:29" ht="34.5" customHeight="1" thickBot="1">
      <c r="A6" s="517"/>
      <c r="B6" s="518"/>
      <c r="C6" s="3455" t="s">
        <v>2932</v>
      </c>
      <c r="D6" s="3456"/>
      <c r="E6" s="3554" t="s">
        <v>3039</v>
      </c>
      <c r="F6" s="3475"/>
      <c r="G6" s="3552" t="s">
        <v>3041</v>
      </c>
      <c r="H6" s="3456"/>
      <c r="I6" s="3552" t="s">
        <v>3042</v>
      </c>
      <c r="J6" s="3456"/>
      <c r="K6" s="854" t="s">
        <v>528</v>
      </c>
      <c r="L6" s="2132"/>
      <c r="M6" s="2133"/>
      <c r="N6" s="2133"/>
      <c r="O6" s="2133"/>
      <c r="P6" s="3447"/>
      <c r="Q6" s="3448"/>
      <c r="R6" s="3451"/>
      <c r="S6" s="3452"/>
      <c r="T6" s="3453"/>
      <c r="U6" s="3454"/>
      <c r="V6" s="3436"/>
      <c r="W6" s="3436"/>
      <c r="X6" s="1566"/>
      <c r="Y6" s="3453"/>
      <c r="Z6" s="3454"/>
      <c r="AA6" s="3440"/>
      <c r="AB6" s="3440"/>
      <c r="AC6" s="3440"/>
    </row>
    <row r="7" spans="1:29" s="1218" customFormat="1" ht="15.75" thickBot="1">
      <c r="A7" s="2888"/>
      <c r="B7" s="2895" t="s">
        <v>529</v>
      </c>
      <c r="C7" s="519">
        <f>'数据-取费表'!B2</f>
        <v>43510</v>
      </c>
      <c r="D7" s="520">
        <v>100</v>
      </c>
      <c r="E7" s="521">
        <v>43497</v>
      </c>
      <c r="F7" s="522">
        <f>SUMIF(58:58,YEAR(E7)&amp;"-"&amp;MONTH(E7),59:59)</f>
        <v>100</v>
      </c>
      <c r="G7" s="523">
        <v>43497</v>
      </c>
      <c r="H7" s="520">
        <f>SUMIF(58:58,YEAR(G7)&amp;"-"&amp;MONTH(G7),59:59)</f>
        <v>100</v>
      </c>
      <c r="I7" s="523">
        <v>43497</v>
      </c>
      <c r="J7" s="520">
        <f>SUMIF(58:58,YEAR(I7)&amp;"-"&amp;MONTH(I7),59:59)</f>
        <v>100</v>
      </c>
      <c r="K7" s="855"/>
      <c r="L7" s="2134"/>
      <c r="M7" s="2135"/>
      <c r="N7" s="2135"/>
      <c r="O7" s="2135"/>
      <c r="P7" s="3467" t="s">
        <v>530</v>
      </c>
      <c r="Q7" s="3469"/>
      <c r="R7" s="1567" t="s">
        <v>13</v>
      </c>
      <c r="S7" s="1568">
        <f t="shared" ref="S7:S15" si="0">F7</f>
        <v>100</v>
      </c>
      <c r="T7" s="1567" t="s">
        <v>13</v>
      </c>
      <c r="U7" s="1568">
        <f t="shared" ref="U7:U15" si="1">H7</f>
        <v>100</v>
      </c>
      <c r="V7" s="1567" t="s">
        <v>13</v>
      </c>
      <c r="W7" s="1568">
        <f t="shared" ref="W7:W15" si="2">J7</f>
        <v>100</v>
      </c>
      <c r="X7" s="1569"/>
      <c r="Y7" s="3467" t="s">
        <v>530</v>
      </c>
      <c r="Z7" s="3468"/>
      <c r="AA7" s="1570">
        <f>D7/F7</f>
        <v>1</v>
      </c>
      <c r="AB7" s="1570">
        <f>D7/H7</f>
        <v>1</v>
      </c>
      <c r="AC7" s="1570">
        <f>D7/J7</f>
        <v>1</v>
      </c>
    </row>
    <row r="8" spans="1:29" s="1218" customFormat="1" ht="15.75" thickBot="1">
      <c r="A8" s="2889"/>
      <c r="B8" s="2896" t="s">
        <v>531</v>
      </c>
      <c r="C8" s="525" t="s">
        <v>576</v>
      </c>
      <c r="D8" s="520">
        <v>100</v>
      </c>
      <c r="E8" s="856" t="s">
        <v>3260</v>
      </c>
      <c r="F8" s="522">
        <f>SUMIF(61:61,E8,62:62)-SUMIF(61:61,C8,62:62)+100</f>
        <v>100</v>
      </c>
      <c r="G8" s="856" t="s">
        <v>3260</v>
      </c>
      <c r="H8" s="520">
        <f>SUMIF(61:61,G8,62:62)-SUMIF(61:61,C8,62:62)+100</f>
        <v>100</v>
      </c>
      <c r="I8" s="856" t="s">
        <v>3260</v>
      </c>
      <c r="J8" s="520">
        <f>SUMIF(61:61,I8,62:62)-SUMIF(61:61,C8,62:62)+100</f>
        <v>100</v>
      </c>
      <c r="K8" s="855"/>
      <c r="L8" s="2134"/>
      <c r="M8" s="2135"/>
      <c r="N8" s="2135"/>
      <c r="O8" s="2135"/>
      <c r="P8" s="3467" t="s">
        <v>533</v>
      </c>
      <c r="Q8" s="3468"/>
      <c r="R8" s="1567" t="s">
        <v>13</v>
      </c>
      <c r="S8" s="1568">
        <f t="shared" si="0"/>
        <v>100</v>
      </c>
      <c r="T8" s="1567" t="s">
        <v>13</v>
      </c>
      <c r="U8" s="1568">
        <f t="shared" si="1"/>
        <v>100</v>
      </c>
      <c r="V8" s="1567" t="s">
        <v>13</v>
      </c>
      <c r="W8" s="1568">
        <f t="shared" si="2"/>
        <v>100</v>
      </c>
      <c r="X8" s="1569"/>
      <c r="Y8" s="3467" t="s">
        <v>533</v>
      </c>
      <c r="Z8" s="3468"/>
      <c r="AA8" s="1570">
        <f t="shared" ref="AA8:AA46" si="3">D8/F8</f>
        <v>1</v>
      </c>
      <c r="AB8" s="1570">
        <f t="shared" ref="AB8:AB46" si="4">D8/H8</f>
        <v>1</v>
      </c>
      <c r="AC8" s="1570">
        <f t="shared" ref="AC8:AC46" si="5">D8/J8</f>
        <v>1</v>
      </c>
    </row>
    <row r="9" spans="1:29" s="1218" customFormat="1" ht="15">
      <c r="A9" s="2890"/>
      <c r="B9" s="2897" t="s">
        <v>2755</v>
      </c>
      <c r="C9" s="3194" t="s">
        <v>3385</v>
      </c>
      <c r="D9" s="254">
        <v>100</v>
      </c>
      <c r="E9" s="858" t="s">
        <v>922</v>
      </c>
      <c r="F9" s="859">
        <f>SUMIF(63:63,E9,64:64)-SUMIF(63:63,C9,64:64)+100</f>
        <v>100</v>
      </c>
      <c r="G9" s="858" t="s">
        <v>922</v>
      </c>
      <c r="H9" s="254">
        <f>SUMIF(63:63,G9,64:64)-SUMIF(63:63,C9,64:64)+100</f>
        <v>100</v>
      </c>
      <c r="I9" s="858" t="s">
        <v>922</v>
      </c>
      <c r="J9" s="254">
        <f>SUMIF(63:63,I9,64:64)-SUMIF(63:63,C9,64:64)+100</f>
        <v>100</v>
      </c>
      <c r="K9" s="855"/>
      <c r="L9" s="2134"/>
      <c r="M9" s="2135"/>
      <c r="N9" s="2135"/>
      <c r="O9" s="2136"/>
      <c r="P9" s="3435" t="s">
        <v>535</v>
      </c>
      <c r="Q9" s="1149" t="str">
        <f t="shared" ref="Q9:Q15" si="6">B9</f>
        <v>用途</v>
      </c>
      <c r="R9" s="1567" t="s">
        <v>8</v>
      </c>
      <c r="S9" s="1568">
        <f t="shared" si="0"/>
        <v>100</v>
      </c>
      <c r="T9" s="1567" t="s">
        <v>8</v>
      </c>
      <c r="U9" s="1568">
        <f t="shared" si="1"/>
        <v>100</v>
      </c>
      <c r="V9" s="1567" t="s">
        <v>8</v>
      </c>
      <c r="W9" s="1568">
        <f t="shared" si="2"/>
        <v>100</v>
      </c>
      <c r="X9" s="1569"/>
      <c r="Y9" s="3375" t="s">
        <v>536</v>
      </c>
      <c r="Z9" s="1148" t="str">
        <f t="shared" ref="Z9:Z15" si="7">Q9</f>
        <v>用途</v>
      </c>
      <c r="AA9" s="1570">
        <f t="shared" si="3"/>
        <v>1</v>
      </c>
      <c r="AB9" s="1570">
        <f t="shared" si="4"/>
        <v>1</v>
      </c>
      <c r="AC9" s="1570">
        <f t="shared" si="5"/>
        <v>1</v>
      </c>
    </row>
    <row r="10" spans="1:29" s="1336" customFormat="1" ht="27">
      <c r="A10" s="2891"/>
      <c r="B10" s="2896" t="s">
        <v>2756</v>
      </c>
      <c r="C10" s="861" t="s">
        <v>3384</v>
      </c>
      <c r="D10" s="255">
        <v>100</v>
      </c>
      <c r="E10" s="862" t="s">
        <v>3386</v>
      </c>
      <c r="F10" s="863">
        <f>SUMIF(65:65,E10,66:66)-SUMIF(65:65,C10,66:66)+100</f>
        <v>102</v>
      </c>
      <c r="G10" s="862" t="s">
        <v>3386</v>
      </c>
      <c r="H10" s="255">
        <f>SUMIF(65:65,G10,66:66)-SUMIF(65:65,C10,66:66)+100</f>
        <v>102</v>
      </c>
      <c r="I10" s="862" t="s">
        <v>3386</v>
      </c>
      <c r="J10" s="255">
        <f>SUMIF(65:65,I10,66:66)-SUMIF(65:65,C10,66:66)+100</f>
        <v>102</v>
      </c>
      <c r="K10" s="864">
        <v>1</v>
      </c>
      <c r="L10" s="2137"/>
      <c r="M10" s="2177"/>
      <c r="N10" s="2177"/>
      <c r="O10" s="2138"/>
      <c r="P10" s="3435"/>
      <c r="Q10" s="1149" t="str">
        <f t="shared" si="6"/>
        <v>土地使用年限（年）</v>
      </c>
      <c r="R10" s="1567" t="s">
        <v>8</v>
      </c>
      <c r="S10" s="1568">
        <f t="shared" si="0"/>
        <v>102</v>
      </c>
      <c r="T10" s="1567" t="s">
        <v>8</v>
      </c>
      <c r="U10" s="1568">
        <f t="shared" si="1"/>
        <v>102</v>
      </c>
      <c r="V10" s="1567" t="s">
        <v>8</v>
      </c>
      <c r="W10" s="1568">
        <f t="shared" si="2"/>
        <v>102</v>
      </c>
      <c r="X10" s="1569"/>
      <c r="Y10" s="3375"/>
      <c r="Z10" s="1148" t="str">
        <f t="shared" si="7"/>
        <v>土地使用年限（年）</v>
      </c>
      <c r="AA10" s="1570">
        <f t="shared" si="3"/>
        <v>0.98039215686274506</v>
      </c>
      <c r="AB10" s="1570">
        <f t="shared" si="4"/>
        <v>0.98039215686274506</v>
      </c>
      <c r="AC10" s="1570">
        <f t="shared" si="5"/>
        <v>0.98039215686274506</v>
      </c>
    </row>
    <row r="11" spans="1:29" ht="15">
      <c r="A11" s="2892"/>
      <c r="B11" s="2896" t="s">
        <v>2757</v>
      </c>
      <c r="C11" s="533">
        <f>'数据-汇总表'!I4</f>
        <v>2.8</v>
      </c>
      <c r="D11" s="255">
        <v>100</v>
      </c>
      <c r="E11" s="534">
        <v>2.8</v>
      </c>
      <c r="F11" s="863">
        <f>LOOKUP(E11,68:68,69:69)-LOOKUP(C11,68:68,69:69)+100</f>
        <v>100</v>
      </c>
      <c r="G11" s="533">
        <v>4.2</v>
      </c>
      <c r="H11" s="255">
        <f>LOOKUP(G11,68:68,69:69)-LOOKUP(C11,68:68,69:69)+100</f>
        <v>97</v>
      </c>
      <c r="I11" s="533">
        <v>2.87</v>
      </c>
      <c r="J11" s="255">
        <f>LOOKUP(I11,68:68,69:69)-LOOKUP(C11,68:68,69:69)+100</f>
        <v>100</v>
      </c>
      <c r="K11" s="864">
        <v>3</v>
      </c>
      <c r="L11" s="2139"/>
      <c r="M11" s="2133"/>
      <c r="N11" s="2133"/>
      <c r="O11" s="2140"/>
      <c r="P11" s="3435"/>
      <c r="Q11" s="1149" t="str">
        <f t="shared" si="6"/>
        <v>容积率</v>
      </c>
      <c r="R11" s="1567" t="s">
        <v>11</v>
      </c>
      <c r="S11" s="1568">
        <f t="shared" si="0"/>
        <v>100</v>
      </c>
      <c r="T11" s="1567" t="s">
        <v>11</v>
      </c>
      <c r="U11" s="1568">
        <f t="shared" si="1"/>
        <v>97</v>
      </c>
      <c r="V11" s="1567" t="s">
        <v>11</v>
      </c>
      <c r="W11" s="1568">
        <f t="shared" si="2"/>
        <v>100</v>
      </c>
      <c r="X11" s="1569"/>
      <c r="Y11" s="3375"/>
      <c r="Z11" s="1148" t="str">
        <f t="shared" si="7"/>
        <v>容积率</v>
      </c>
      <c r="AA11" s="1570">
        <f t="shared" si="3"/>
        <v>1</v>
      </c>
      <c r="AB11" s="1570">
        <f t="shared" si="4"/>
        <v>1.0309278350515463</v>
      </c>
      <c r="AC11" s="1570">
        <f t="shared" si="5"/>
        <v>1</v>
      </c>
    </row>
    <row r="12" spans="1:29" s="1218" customFormat="1" ht="15">
      <c r="A12" s="2893"/>
      <c r="B12" s="2899">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35"/>
      <c r="Q12" s="1149">
        <f t="shared" si="6"/>
        <v>111</v>
      </c>
      <c r="R12" s="1567" t="s">
        <v>11</v>
      </c>
      <c r="S12" s="1568">
        <f t="shared" si="0"/>
        <v>100</v>
      </c>
      <c r="T12" s="1567" t="s">
        <v>11</v>
      </c>
      <c r="U12" s="1568">
        <f t="shared" si="1"/>
        <v>100</v>
      </c>
      <c r="V12" s="1567" t="s">
        <v>11</v>
      </c>
      <c r="W12" s="1568">
        <f t="shared" si="2"/>
        <v>100</v>
      </c>
      <c r="X12" s="1569"/>
      <c r="Y12" s="3375"/>
      <c r="Z12" s="1148">
        <f t="shared" si="7"/>
        <v>111</v>
      </c>
      <c r="AA12" s="1570">
        <f>D12/F12</f>
        <v>1</v>
      </c>
      <c r="AB12" s="1570">
        <f>D12/H12</f>
        <v>1</v>
      </c>
      <c r="AC12" s="1570">
        <f>D12/J12</f>
        <v>1</v>
      </c>
    </row>
    <row r="13" spans="1:29" ht="15">
      <c r="A13" s="2893"/>
      <c r="B13" s="2899">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35"/>
      <c r="Q13" s="1149">
        <f t="shared" si="6"/>
        <v>111</v>
      </c>
      <c r="R13" s="1567" t="s">
        <v>11</v>
      </c>
      <c r="S13" s="1568">
        <f t="shared" si="0"/>
        <v>100</v>
      </c>
      <c r="T13" s="1567" t="s">
        <v>11</v>
      </c>
      <c r="U13" s="1568">
        <f t="shared" si="1"/>
        <v>100</v>
      </c>
      <c r="V13" s="1567" t="s">
        <v>11</v>
      </c>
      <c r="W13" s="1568">
        <f t="shared" si="2"/>
        <v>100</v>
      </c>
      <c r="X13" s="1569"/>
      <c r="Y13" s="3375"/>
      <c r="Z13" s="1148">
        <f t="shared" si="7"/>
        <v>111</v>
      </c>
      <c r="AA13" s="1570">
        <f t="shared" si="3"/>
        <v>1</v>
      </c>
      <c r="AB13" s="1570">
        <f t="shared" si="4"/>
        <v>1</v>
      </c>
      <c r="AC13" s="1570">
        <f t="shared" si="5"/>
        <v>1</v>
      </c>
    </row>
    <row r="14" spans="1:29" ht="15.75" thickBot="1">
      <c r="A14" s="2894"/>
      <c r="B14" s="2900">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35"/>
      <c r="Q14" s="1149">
        <f t="shared" si="6"/>
        <v>111</v>
      </c>
      <c r="R14" s="1567" t="s">
        <v>11</v>
      </c>
      <c r="S14" s="1568">
        <f t="shared" si="0"/>
        <v>100</v>
      </c>
      <c r="T14" s="1567" t="s">
        <v>11</v>
      </c>
      <c r="U14" s="1568">
        <f t="shared" si="1"/>
        <v>100</v>
      </c>
      <c r="V14" s="1567" t="s">
        <v>11</v>
      </c>
      <c r="W14" s="1568">
        <f t="shared" si="2"/>
        <v>100</v>
      </c>
      <c r="X14" s="1569"/>
      <c r="Y14" s="3375"/>
      <c r="Z14" s="1148">
        <f t="shared" si="7"/>
        <v>111</v>
      </c>
      <c r="AA14" s="1570">
        <f t="shared" si="3"/>
        <v>1</v>
      </c>
      <c r="AB14" s="1570">
        <f t="shared" si="4"/>
        <v>1</v>
      </c>
      <c r="AC14" s="1570">
        <f t="shared" si="5"/>
        <v>1</v>
      </c>
    </row>
    <row r="15" spans="1:29" ht="99.75">
      <c r="A15" s="288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70" t="s">
        <v>540</v>
      </c>
      <c r="Q15" s="1571" t="str">
        <f t="shared" si="6"/>
        <v>居住社区成熟度</v>
      </c>
      <c r="R15" s="1572" t="s">
        <v>11</v>
      </c>
      <c r="S15" s="1573">
        <f t="shared" si="0"/>
        <v>100</v>
      </c>
      <c r="T15" s="1572" t="s">
        <v>11</v>
      </c>
      <c r="U15" s="1573">
        <f t="shared" si="1"/>
        <v>100</v>
      </c>
      <c r="V15" s="1572" t="s">
        <v>11</v>
      </c>
      <c r="W15" s="1573">
        <f t="shared" si="2"/>
        <v>100</v>
      </c>
      <c r="X15" s="1566"/>
      <c r="Y15" s="3470" t="s">
        <v>540</v>
      </c>
      <c r="Z15" s="1574" t="str">
        <f t="shared" si="7"/>
        <v>居住社区成熟度</v>
      </c>
      <c r="AA15" s="1575">
        <f t="shared" si="3"/>
        <v>1</v>
      </c>
      <c r="AB15" s="1575">
        <f t="shared" si="4"/>
        <v>1</v>
      </c>
      <c r="AC15" s="1575">
        <f t="shared" si="5"/>
        <v>1</v>
      </c>
    </row>
    <row r="16" spans="1:29" ht="15">
      <c r="A16" s="532"/>
      <c r="B16" s="869"/>
      <c r="C16" s="576" t="s">
        <v>3040</v>
      </c>
      <c r="D16" s="555"/>
      <c r="E16" s="556" t="s">
        <v>3040</v>
      </c>
      <c r="F16" s="557"/>
      <c r="G16" s="558" t="s">
        <v>3040</v>
      </c>
      <c r="H16" s="559"/>
      <c r="I16" s="556" t="s">
        <v>3040</v>
      </c>
      <c r="J16" s="555"/>
      <c r="K16" s="870"/>
      <c r="L16" s="2141"/>
      <c r="M16" s="2133"/>
      <c r="N16" s="2133"/>
      <c r="O16" s="2140"/>
      <c r="P16" s="3471"/>
      <c r="Q16" s="1571"/>
      <c r="R16" s="1572"/>
      <c r="S16" s="1573"/>
      <c r="T16" s="1572"/>
      <c r="U16" s="1573"/>
      <c r="V16" s="1572"/>
      <c r="W16" s="1573"/>
      <c r="X16" s="1566"/>
      <c r="Y16" s="3471"/>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1"/>
      <c r="M17" s="2133"/>
      <c r="N17" s="2133"/>
      <c r="O17" s="2140"/>
      <c r="P17" s="3471"/>
      <c r="Q17" s="1571" t="str">
        <f>B17</f>
        <v>交通便捷度</v>
      </c>
      <c r="R17" s="1572" t="s">
        <v>11</v>
      </c>
      <c r="S17" s="1573">
        <f>F17</f>
        <v>100</v>
      </c>
      <c r="T17" s="1572" t="s">
        <v>11</v>
      </c>
      <c r="U17" s="1573">
        <f>H17</f>
        <v>100</v>
      </c>
      <c r="V17" s="1572" t="s">
        <v>11</v>
      </c>
      <c r="W17" s="1573">
        <f>J17</f>
        <v>100</v>
      </c>
      <c r="X17" s="1566"/>
      <c r="Y17" s="3471"/>
      <c r="Z17" s="1574" t="str">
        <f>Q17</f>
        <v>交通便捷度</v>
      </c>
      <c r="AA17" s="1575">
        <f t="shared" si="3"/>
        <v>1</v>
      </c>
      <c r="AB17" s="1575">
        <f t="shared" si="4"/>
        <v>1</v>
      </c>
      <c r="AC17" s="1575">
        <f t="shared" si="5"/>
        <v>1</v>
      </c>
    </row>
    <row r="18" spans="1:29" ht="15">
      <c r="A18" s="532"/>
      <c r="B18" s="595"/>
      <c r="C18" s="873" t="s">
        <v>3040</v>
      </c>
      <c r="D18" s="559"/>
      <c r="E18" s="568" t="s">
        <v>3040</v>
      </c>
      <c r="F18" s="563"/>
      <c r="G18" s="569" t="s">
        <v>3040</v>
      </c>
      <c r="H18" s="555"/>
      <c r="I18" s="568" t="s">
        <v>3040</v>
      </c>
      <c r="J18" s="555"/>
      <c r="K18" s="870"/>
      <c r="L18" s="2141"/>
      <c r="M18" s="2133"/>
      <c r="N18" s="2133"/>
      <c r="O18" s="2140"/>
      <c r="P18" s="3471"/>
      <c r="Q18" s="1571"/>
      <c r="R18" s="1572"/>
      <c r="S18" s="1573"/>
      <c r="T18" s="1572"/>
      <c r="U18" s="1573"/>
      <c r="V18" s="1572"/>
      <c r="W18" s="1573"/>
      <c r="X18" s="1566"/>
      <c r="Y18" s="3471"/>
      <c r="Z18" s="1574"/>
      <c r="AA18" s="1575">
        <v>1</v>
      </c>
      <c r="AB18" s="1575">
        <v>1</v>
      </c>
      <c r="AC18" s="1575">
        <v>1</v>
      </c>
    </row>
    <row r="19" spans="1:29" ht="42.75">
      <c r="A19" s="532"/>
      <c r="B19" s="2577" t="s">
        <v>2546</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3</v>
      </c>
      <c r="L19" s="2141"/>
      <c r="M19" s="2133"/>
      <c r="N19" s="2133"/>
      <c r="O19" s="2140"/>
      <c r="P19" s="3471"/>
      <c r="Q19" s="1571" t="str">
        <f>B19</f>
        <v>公共配套设施</v>
      </c>
      <c r="R19" s="1572" t="s">
        <v>11</v>
      </c>
      <c r="S19" s="1573">
        <f>F19</f>
        <v>100</v>
      </c>
      <c r="T19" s="1572" t="s">
        <v>11</v>
      </c>
      <c r="U19" s="1573">
        <f>H19</f>
        <v>100</v>
      </c>
      <c r="V19" s="1572" t="s">
        <v>11</v>
      </c>
      <c r="W19" s="1573">
        <f>J19</f>
        <v>100</v>
      </c>
      <c r="X19" s="1566"/>
      <c r="Y19" s="3471"/>
      <c r="Z19" s="1574" t="str">
        <f>Q19</f>
        <v>公共配套设施</v>
      </c>
      <c r="AA19" s="1575">
        <f t="shared" si="3"/>
        <v>1</v>
      </c>
      <c r="AB19" s="1575">
        <f t="shared" si="4"/>
        <v>1</v>
      </c>
      <c r="AC19" s="1575">
        <f t="shared" si="5"/>
        <v>1</v>
      </c>
    </row>
    <row r="20" spans="1:29" ht="15">
      <c r="A20" s="532"/>
      <c r="B20" s="595"/>
      <c r="C20" s="576" t="s">
        <v>3040</v>
      </c>
      <c r="D20" s="555"/>
      <c r="E20" s="556" t="s">
        <v>3040</v>
      </c>
      <c r="F20" s="557"/>
      <c r="G20" s="556" t="s">
        <v>3040</v>
      </c>
      <c r="H20" s="555"/>
      <c r="I20" s="556" t="s">
        <v>3040</v>
      </c>
      <c r="J20" s="555"/>
      <c r="K20" s="870"/>
      <c r="L20" s="2141"/>
      <c r="M20" s="2133"/>
      <c r="N20" s="2133"/>
      <c r="O20" s="2140"/>
      <c r="P20" s="3471"/>
      <c r="Q20" s="1571"/>
      <c r="R20" s="1572"/>
      <c r="S20" s="1573"/>
      <c r="T20" s="1572"/>
      <c r="U20" s="1573"/>
      <c r="V20" s="1572"/>
      <c r="W20" s="1573"/>
      <c r="X20" s="1566"/>
      <c r="Y20" s="3471"/>
      <c r="Z20" s="1574"/>
      <c r="AA20" s="1575">
        <v>1</v>
      </c>
      <c r="AB20" s="1575">
        <v>1</v>
      </c>
      <c r="AC20" s="1575">
        <v>1</v>
      </c>
    </row>
    <row r="21" spans="1:29" ht="28.5">
      <c r="A21" s="532"/>
      <c r="B21" s="2570" t="s">
        <v>2558</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1"/>
      <c r="M21" s="2133"/>
      <c r="N21" s="2133"/>
      <c r="O21" s="2140"/>
      <c r="P21" s="3471"/>
      <c r="Q21" s="2556" t="str">
        <f>B21</f>
        <v>基础设施水平</v>
      </c>
      <c r="R21" s="1572" t="s">
        <v>11</v>
      </c>
      <c r="S21" s="1573">
        <f>F21</f>
        <v>100</v>
      </c>
      <c r="T21" s="1572" t="s">
        <v>11</v>
      </c>
      <c r="U21" s="1573">
        <f>H21</f>
        <v>100</v>
      </c>
      <c r="V21" s="1572" t="s">
        <v>11</v>
      </c>
      <c r="W21" s="1573">
        <f>J21</f>
        <v>100</v>
      </c>
      <c r="X21" s="2558"/>
      <c r="Y21" s="3471"/>
      <c r="Z21" s="2557" t="str">
        <f>Q21</f>
        <v>基础设施水平</v>
      </c>
      <c r="AA21" s="1575">
        <f t="shared" ref="AA21" si="8">D21/F21</f>
        <v>1</v>
      </c>
      <c r="AB21" s="1575">
        <f t="shared" ref="AB21" si="9">D21/H21</f>
        <v>1</v>
      </c>
      <c r="AC21" s="1575">
        <f t="shared" ref="AC21" si="10">D21/J21</f>
        <v>1</v>
      </c>
    </row>
    <row r="22" spans="1:29" ht="15">
      <c r="A22" s="532"/>
      <c r="B22" s="922"/>
      <c r="C22" s="873" t="s">
        <v>3252</v>
      </c>
      <c r="D22" s="555"/>
      <c r="E22" s="576" t="s">
        <v>3252</v>
      </c>
      <c r="F22" s="557"/>
      <c r="G22" s="576" t="s">
        <v>3252</v>
      </c>
      <c r="H22" s="555"/>
      <c r="I22" s="576" t="s">
        <v>3252</v>
      </c>
      <c r="J22" s="555"/>
      <c r="K22" s="2576"/>
      <c r="L22" s="2141"/>
      <c r="M22" s="2133"/>
      <c r="N22" s="2133"/>
      <c r="O22" s="2140"/>
      <c r="P22" s="3471"/>
      <c r="Q22" s="2556"/>
      <c r="R22" s="1572"/>
      <c r="S22" s="1573"/>
      <c r="T22" s="1572"/>
      <c r="U22" s="1573"/>
      <c r="V22" s="1572"/>
      <c r="W22" s="1573"/>
      <c r="X22" s="2558"/>
      <c r="Y22" s="3471"/>
      <c r="Z22" s="2557"/>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103</v>
      </c>
      <c r="G23" s="564"/>
      <c r="H23" s="559">
        <f>SUMIF(84:84,G24,85:85)-SUMIF(84:84,C24,85:85)+100</f>
        <v>100</v>
      </c>
      <c r="I23" s="562"/>
      <c r="J23" s="559">
        <f>SUMIF(84:84,I24,85:85)-SUMIF(84:84,C24,85:85)+100</f>
        <v>103</v>
      </c>
      <c r="K23" s="868">
        <v>3</v>
      </c>
      <c r="L23" s="2141"/>
      <c r="M23" s="2133"/>
      <c r="N23" s="2133"/>
      <c r="O23" s="2140"/>
      <c r="P23" s="3471"/>
      <c r="Q23" s="1571" t="str">
        <f>B23</f>
        <v>自然及人文环境</v>
      </c>
      <c r="R23" s="1572" t="s">
        <v>11</v>
      </c>
      <c r="S23" s="1573">
        <f>F23</f>
        <v>103</v>
      </c>
      <c r="T23" s="1572" t="s">
        <v>11</v>
      </c>
      <c r="U23" s="1573">
        <f>H23</f>
        <v>100</v>
      </c>
      <c r="V23" s="1572" t="s">
        <v>11</v>
      </c>
      <c r="W23" s="1573">
        <f>J23</f>
        <v>103</v>
      </c>
      <c r="X23" s="1566"/>
      <c r="Y23" s="3471"/>
      <c r="Z23" s="1574" t="str">
        <f>Q23</f>
        <v>自然及人文环境</v>
      </c>
      <c r="AA23" s="1575">
        <f t="shared" si="3"/>
        <v>0.970873786407767</v>
      </c>
      <c r="AB23" s="1575">
        <f t="shared" si="4"/>
        <v>1</v>
      </c>
      <c r="AC23" s="1575">
        <f t="shared" si="5"/>
        <v>0.970873786407767</v>
      </c>
    </row>
    <row r="24" spans="1:29" ht="15">
      <c r="A24" s="532"/>
      <c r="B24" s="595"/>
      <c r="C24" s="576" t="s">
        <v>3106</v>
      </c>
      <c r="D24" s="555"/>
      <c r="E24" s="556" t="s">
        <v>3040</v>
      </c>
      <c r="F24" s="557"/>
      <c r="G24" s="558" t="s">
        <v>3106</v>
      </c>
      <c r="H24" s="555"/>
      <c r="I24" s="556" t="s">
        <v>3040</v>
      </c>
      <c r="J24" s="555"/>
      <c r="K24" s="870"/>
      <c r="L24" s="2141"/>
      <c r="M24" s="2133"/>
      <c r="N24" s="2133"/>
      <c r="O24" s="2140"/>
      <c r="P24" s="3471"/>
      <c r="Q24" s="1571"/>
      <c r="R24" s="1572"/>
      <c r="S24" s="1573"/>
      <c r="T24" s="1572"/>
      <c r="U24" s="1573"/>
      <c r="V24" s="1572"/>
      <c r="W24" s="1573"/>
      <c r="X24" s="1566"/>
      <c r="Y24" s="3471"/>
      <c r="Z24" s="1574"/>
      <c r="AA24" s="1575">
        <v>1</v>
      </c>
      <c r="AB24" s="1575">
        <v>1</v>
      </c>
      <c r="AC24" s="1575">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71"/>
      <c r="Q25" s="1571" t="str">
        <f t="shared" ref="Q25:Q46" si="11">B25</f>
        <v>楼层-1</v>
      </c>
      <c r="R25" s="1572" t="s">
        <v>11</v>
      </c>
      <c r="S25" s="1573">
        <f>F25</f>
        <v>100</v>
      </c>
      <c r="T25" s="1572" t="s">
        <v>11</v>
      </c>
      <c r="U25" s="1573">
        <f>H25</f>
        <v>100</v>
      </c>
      <c r="V25" s="1572" t="s">
        <v>11</v>
      </c>
      <c r="W25" s="1573">
        <f>J25</f>
        <v>100</v>
      </c>
      <c r="X25" s="1566"/>
      <c r="Y25" s="3471"/>
      <c r="Z25" s="1574" t="str">
        <f>Q25</f>
        <v>楼层-1</v>
      </c>
      <c r="AA25" s="1575">
        <f t="shared" si="3"/>
        <v>1</v>
      </c>
      <c r="AB25" s="1575">
        <f t="shared" si="4"/>
        <v>1</v>
      </c>
      <c r="AC25" s="1575">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71"/>
      <c r="Q26" s="1571" t="str">
        <f t="shared" si="11"/>
        <v>朝向</v>
      </c>
      <c r="R26" s="1572" t="s">
        <v>11</v>
      </c>
      <c r="S26" s="1573">
        <f>F26</f>
        <v>100</v>
      </c>
      <c r="T26" s="1572" t="s">
        <v>11</v>
      </c>
      <c r="U26" s="1573">
        <f>H26</f>
        <v>100</v>
      </c>
      <c r="V26" s="1572" t="s">
        <v>11</v>
      </c>
      <c r="W26" s="1573">
        <f>J26</f>
        <v>100</v>
      </c>
      <c r="X26" s="1566"/>
      <c r="Y26" s="3471"/>
      <c r="Z26" s="1574" t="str">
        <f>Q26</f>
        <v>朝向</v>
      </c>
      <c r="AA26" s="1575">
        <f t="shared" si="3"/>
        <v>1</v>
      </c>
      <c r="AB26" s="1575">
        <f t="shared" si="4"/>
        <v>1</v>
      </c>
      <c r="AC26" s="1575">
        <f t="shared" si="5"/>
        <v>1</v>
      </c>
    </row>
    <row r="27" spans="1:29" s="1218"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71"/>
      <c r="Q27" s="1149" t="str">
        <f t="shared" si="11"/>
        <v>道路级别</v>
      </c>
      <c r="R27" s="1567" t="s">
        <v>11</v>
      </c>
      <c r="S27" s="1568">
        <f>F27</f>
        <v>100</v>
      </c>
      <c r="T27" s="1567" t="s">
        <v>11</v>
      </c>
      <c r="U27" s="1568">
        <f>H27</f>
        <v>100</v>
      </c>
      <c r="V27" s="1567" t="s">
        <v>11</v>
      </c>
      <c r="W27" s="1568">
        <f>J27</f>
        <v>100</v>
      </c>
      <c r="X27" s="1569"/>
      <c r="Y27" s="3471"/>
      <c r="Z27" s="1148"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7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71"/>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71"/>
      <c r="Q29" s="1571">
        <f t="shared" si="11"/>
        <v>111</v>
      </c>
      <c r="R29" s="1572" t="s">
        <v>11</v>
      </c>
      <c r="S29" s="1573">
        <f t="shared" si="12"/>
        <v>100</v>
      </c>
      <c r="T29" s="1572" t="s">
        <v>11</v>
      </c>
      <c r="U29" s="1573">
        <f t="shared" si="13"/>
        <v>100</v>
      </c>
      <c r="V29" s="1572" t="s">
        <v>11</v>
      </c>
      <c r="W29" s="1573">
        <f t="shared" si="14"/>
        <v>100</v>
      </c>
      <c r="X29" s="1566"/>
      <c r="Y29" s="347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71"/>
      <c r="Q30" s="1571">
        <f t="shared" si="11"/>
        <v>111</v>
      </c>
      <c r="R30" s="1572" t="s">
        <v>11</v>
      </c>
      <c r="S30" s="1573">
        <f t="shared" si="12"/>
        <v>100</v>
      </c>
      <c r="T30" s="1572" t="s">
        <v>11</v>
      </c>
      <c r="U30" s="1573">
        <f t="shared" si="13"/>
        <v>100</v>
      </c>
      <c r="V30" s="1572" t="s">
        <v>11</v>
      </c>
      <c r="W30" s="1573">
        <f t="shared" si="14"/>
        <v>100</v>
      </c>
      <c r="X30" s="1566"/>
      <c r="Y30" s="3471"/>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71"/>
      <c r="Q31" s="1571">
        <f t="shared" si="11"/>
        <v>111</v>
      </c>
      <c r="R31" s="1572" t="s">
        <v>11</v>
      </c>
      <c r="S31" s="1573">
        <f t="shared" si="12"/>
        <v>100</v>
      </c>
      <c r="T31" s="1572" t="s">
        <v>11</v>
      </c>
      <c r="U31" s="1573">
        <f t="shared" si="13"/>
        <v>100</v>
      </c>
      <c r="V31" s="1572" t="s">
        <v>11</v>
      </c>
      <c r="W31" s="1573">
        <f t="shared" si="14"/>
        <v>100</v>
      </c>
      <c r="X31" s="1566"/>
      <c r="Y31" s="3471"/>
      <c r="Z31" s="1574">
        <f t="shared" si="15"/>
        <v>111</v>
      </c>
      <c r="AA31" s="1575">
        <f t="shared" si="3"/>
        <v>1</v>
      </c>
      <c r="AB31" s="1575">
        <f t="shared" si="4"/>
        <v>1</v>
      </c>
      <c r="AC31" s="1575">
        <f t="shared" si="5"/>
        <v>1</v>
      </c>
    </row>
    <row r="32" spans="1:29" ht="15">
      <c r="A32" s="2883" t="s">
        <v>2754</v>
      </c>
      <c r="B32" s="172" t="s">
        <v>725</v>
      </c>
      <c r="C32" s="878" t="s">
        <v>3387</v>
      </c>
      <c r="D32" s="597">
        <v>100</v>
      </c>
      <c r="E32" s="879" t="s">
        <v>3387</v>
      </c>
      <c r="F32" s="575">
        <f>SUMIF(100:100,E32,101:101)-SUMIF(100:100,C32,101:101)+100</f>
        <v>100</v>
      </c>
      <c r="G32" s="878" t="s">
        <v>3387</v>
      </c>
      <c r="H32" s="597">
        <f>SUMIF(100:100,G32,101:101)-SUMIF(100:100,C32,101:101)+100</f>
        <v>100</v>
      </c>
      <c r="I32" s="879" t="s">
        <v>3387</v>
      </c>
      <c r="J32" s="540">
        <f>SUMIF(100:100,I32,101:101)-SUMIF(100:100,C32,101:101)+100</f>
        <v>100</v>
      </c>
      <c r="K32" s="864">
        <v>5</v>
      </c>
      <c r="L32" s="2141"/>
      <c r="M32" s="2133"/>
      <c r="N32" s="2133"/>
      <c r="O32" s="2140"/>
      <c r="P32" s="3472" t="s">
        <v>550</v>
      </c>
      <c r="Q32" s="1571" t="str">
        <f t="shared" si="11"/>
        <v>建筑类型</v>
      </c>
      <c r="R32" s="1572" t="s">
        <v>11</v>
      </c>
      <c r="S32" s="1573">
        <f t="shared" si="12"/>
        <v>100</v>
      </c>
      <c r="T32" s="1572" t="s">
        <v>11</v>
      </c>
      <c r="U32" s="1573">
        <f t="shared" si="13"/>
        <v>100</v>
      </c>
      <c r="V32" s="1572" t="s">
        <v>11</v>
      </c>
      <c r="W32" s="1573">
        <f t="shared" si="14"/>
        <v>100</v>
      </c>
      <c r="X32" s="1566"/>
      <c r="Y32" s="3473" t="s">
        <v>550</v>
      </c>
      <c r="Z32" s="1574" t="str">
        <f t="shared" si="15"/>
        <v>建筑类型</v>
      </c>
      <c r="AA32" s="1575">
        <f t="shared" si="3"/>
        <v>1</v>
      </c>
      <c r="AB32" s="1575">
        <f t="shared" si="4"/>
        <v>1</v>
      </c>
      <c r="AC32" s="1575">
        <f t="shared" si="5"/>
        <v>1</v>
      </c>
    </row>
    <row r="33" spans="1:29" s="1337" customFormat="1" ht="15">
      <c r="A33" s="603"/>
      <c r="B33" s="527" t="s">
        <v>726</v>
      </c>
      <c r="C33" s="880">
        <f>'数据-基础表'!B3</f>
        <v>43120</v>
      </c>
      <c r="D33" s="255">
        <v>100</v>
      </c>
      <c r="E33" s="534">
        <v>33406</v>
      </c>
      <c r="F33" s="863">
        <f>LOOKUP(E33,103:103,104:104)-LOOKUP(C33,103:103,104:104)+100</f>
        <v>100</v>
      </c>
      <c r="G33" s="533">
        <v>220732</v>
      </c>
      <c r="H33" s="255">
        <f>LOOKUP(G33,103:103,104:104)-LOOKUP(C33,103:103,104:104)+100</f>
        <v>102</v>
      </c>
      <c r="I33" s="534">
        <v>430000</v>
      </c>
      <c r="J33" s="255">
        <f>LOOKUP(I33,103:103,104:104)-LOOKUP(C33,103:103,104:104)+100</f>
        <v>104</v>
      </c>
      <c r="K33" s="865"/>
      <c r="L33" s="2139"/>
      <c r="M33" s="2170"/>
      <c r="N33" s="2170"/>
      <c r="O33" s="2142"/>
      <c r="P33" s="3473"/>
      <c r="Q33" s="1604" t="str">
        <f t="shared" si="11"/>
        <v>项目建筑规模</v>
      </c>
      <c r="R33" s="1576" t="s">
        <v>11</v>
      </c>
      <c r="S33" s="1577">
        <f t="shared" si="12"/>
        <v>100</v>
      </c>
      <c r="T33" s="1576" t="s">
        <v>11</v>
      </c>
      <c r="U33" s="1577">
        <f t="shared" si="13"/>
        <v>102</v>
      </c>
      <c r="V33" s="1576" t="s">
        <v>11</v>
      </c>
      <c r="W33" s="1577">
        <f t="shared" si="14"/>
        <v>104</v>
      </c>
      <c r="X33" s="1578"/>
      <c r="Y33" s="3473"/>
      <c r="Z33" s="1579" t="str">
        <f t="shared" si="15"/>
        <v>项目建筑规模</v>
      </c>
      <c r="AA33" s="1575">
        <f t="shared" si="3"/>
        <v>1</v>
      </c>
      <c r="AB33" s="1575">
        <f t="shared" si="4"/>
        <v>0.98039215686274506</v>
      </c>
      <c r="AC33" s="1575">
        <f t="shared" si="5"/>
        <v>0.96153846153846156</v>
      </c>
    </row>
    <row r="34" spans="1:29" ht="15">
      <c r="A34" s="594"/>
      <c r="B34" s="527" t="s">
        <v>727</v>
      </c>
      <c r="C34" s="881" t="s">
        <v>3389</v>
      </c>
      <c r="D34" s="540">
        <v>100</v>
      </c>
      <c r="E34" s="881" t="s">
        <v>3389</v>
      </c>
      <c r="F34" s="575">
        <f>SUMIF(105:105,E34,106:106)-SUMIF(105:105,C34,106:106)+100</f>
        <v>100</v>
      </c>
      <c r="G34" s="881" t="s">
        <v>3389</v>
      </c>
      <c r="H34" s="540">
        <f>SUMIF(105:105,G34,106:106)-SUMIF(105:105,C34,106:106)+100</f>
        <v>100</v>
      </c>
      <c r="I34" s="881" t="s">
        <v>3389</v>
      </c>
      <c r="J34" s="540">
        <f>SUMIF(105:105,I34,106:106)-SUMIF(105:105,C34,106:106)+100</f>
        <v>100</v>
      </c>
      <c r="K34" s="864">
        <v>5</v>
      </c>
      <c r="L34" s="2141"/>
      <c r="M34" s="2133"/>
      <c r="N34" s="2133"/>
      <c r="O34" s="2140"/>
      <c r="P34" s="3473"/>
      <c r="Q34" s="1571" t="str">
        <f t="shared" si="11"/>
        <v>建筑结构</v>
      </c>
      <c r="R34" s="1572" t="s">
        <v>11</v>
      </c>
      <c r="S34" s="1573">
        <f t="shared" si="12"/>
        <v>100</v>
      </c>
      <c r="T34" s="1572" t="s">
        <v>11</v>
      </c>
      <c r="U34" s="1573">
        <f t="shared" si="13"/>
        <v>100</v>
      </c>
      <c r="V34" s="1572" t="s">
        <v>11</v>
      </c>
      <c r="W34" s="1573">
        <f t="shared" si="14"/>
        <v>100</v>
      </c>
      <c r="X34" s="1566"/>
      <c r="Y34" s="3473"/>
      <c r="Z34" s="1574" t="str">
        <f t="shared" si="15"/>
        <v>建筑结构</v>
      </c>
      <c r="AA34" s="1575">
        <f t="shared" si="3"/>
        <v>1</v>
      </c>
      <c r="AB34" s="1575">
        <f t="shared" si="4"/>
        <v>1</v>
      </c>
      <c r="AC34" s="1575">
        <f t="shared" si="5"/>
        <v>1</v>
      </c>
    </row>
    <row r="35" spans="1:29" ht="15">
      <c r="A35" s="594"/>
      <c r="B35" s="527" t="s">
        <v>728</v>
      </c>
      <c r="C35" s="599" t="s">
        <v>3391</v>
      </c>
      <c r="D35" s="540">
        <v>100</v>
      </c>
      <c r="E35" s="599" t="s">
        <v>3391</v>
      </c>
      <c r="F35" s="575">
        <f>SUMIF(107:107,E35,108:108)-SUMIF(107:107,C35,108:108)+100</f>
        <v>100</v>
      </c>
      <c r="G35" s="599" t="s">
        <v>3391</v>
      </c>
      <c r="H35" s="540">
        <f>SUMIF(107:107,G35,108:108)-SUMIF(107:107,C35,108:108)+100</f>
        <v>100</v>
      </c>
      <c r="I35" s="599" t="s">
        <v>3391</v>
      </c>
      <c r="J35" s="540">
        <f>SUMIF(107:107,I35,108:108)-SUMIF(107:107,C35,108:108)+100</f>
        <v>100</v>
      </c>
      <c r="K35" s="864">
        <v>3</v>
      </c>
      <c r="L35" s="2141"/>
      <c r="M35" s="2133"/>
      <c r="N35" s="2133"/>
      <c r="O35" s="2140"/>
      <c r="P35" s="3473"/>
      <c r="Q35" s="1571" t="str">
        <f t="shared" si="11"/>
        <v>建筑品质</v>
      </c>
      <c r="R35" s="1572" t="s">
        <v>11</v>
      </c>
      <c r="S35" s="1573">
        <f t="shared" si="12"/>
        <v>100</v>
      </c>
      <c r="T35" s="1572" t="s">
        <v>11</v>
      </c>
      <c r="U35" s="1573">
        <f t="shared" si="13"/>
        <v>100</v>
      </c>
      <c r="V35" s="1572" t="s">
        <v>11</v>
      </c>
      <c r="W35" s="1573">
        <f t="shared" si="14"/>
        <v>100</v>
      </c>
      <c r="X35" s="1566"/>
      <c r="Y35" s="3473"/>
      <c r="Z35" s="1574" t="str">
        <f t="shared" si="15"/>
        <v>建筑品质</v>
      </c>
      <c r="AA35" s="1575">
        <f t="shared" si="3"/>
        <v>1</v>
      </c>
      <c r="AB35" s="1575">
        <f t="shared" si="4"/>
        <v>1</v>
      </c>
      <c r="AC35" s="1575">
        <f t="shared" si="5"/>
        <v>1</v>
      </c>
    </row>
    <row r="36" spans="1:29" ht="15">
      <c r="A36" s="594"/>
      <c r="B36" s="527" t="s">
        <v>729</v>
      </c>
      <c r="C36" s="599" t="s">
        <v>3393</v>
      </c>
      <c r="D36" s="540">
        <v>100</v>
      </c>
      <c r="E36" s="599" t="s">
        <v>3393</v>
      </c>
      <c r="F36" s="575">
        <f>SUMIF(109:109,E36,110:110)-SUMIF(109:109,C36,110:110)+100</f>
        <v>100</v>
      </c>
      <c r="G36" s="599" t="s">
        <v>3393</v>
      </c>
      <c r="H36" s="540">
        <f>SUMIF(109:109,G36,110:110)-SUMIF(109:109,C36,110:110)+100</f>
        <v>100</v>
      </c>
      <c r="I36" s="599" t="s">
        <v>3393</v>
      </c>
      <c r="J36" s="540">
        <f>SUMIF(109:109,I36,110:110)-SUMIF(109:109,C36,110:110)+100</f>
        <v>100</v>
      </c>
      <c r="K36" s="864">
        <v>2</v>
      </c>
      <c r="L36" s="2141"/>
      <c r="M36" s="2133"/>
      <c r="N36" s="2133"/>
      <c r="O36" s="2140"/>
      <c r="P36" s="3473"/>
      <c r="Q36" s="1571" t="str">
        <f t="shared" si="11"/>
        <v>公共部分装修</v>
      </c>
      <c r="R36" s="1572" t="s">
        <v>11</v>
      </c>
      <c r="S36" s="1573">
        <f t="shared" si="12"/>
        <v>100</v>
      </c>
      <c r="T36" s="1572" t="s">
        <v>11</v>
      </c>
      <c r="U36" s="1573">
        <f t="shared" si="13"/>
        <v>100</v>
      </c>
      <c r="V36" s="1572" t="s">
        <v>11</v>
      </c>
      <c r="W36" s="1573">
        <f t="shared" si="14"/>
        <v>100</v>
      </c>
      <c r="X36" s="1566"/>
      <c r="Y36" s="3473"/>
      <c r="Z36" s="1574" t="str">
        <f t="shared" si="15"/>
        <v>公共部分装修</v>
      </c>
      <c r="AA36" s="1575">
        <f t="shared" si="3"/>
        <v>1</v>
      </c>
      <c r="AB36" s="1575">
        <f t="shared" si="4"/>
        <v>1</v>
      </c>
      <c r="AC36" s="1575">
        <f t="shared" si="5"/>
        <v>1</v>
      </c>
    </row>
    <row r="37" spans="1:29" s="1218" customFormat="1" ht="15">
      <c r="A37" s="600"/>
      <c r="B37" s="527" t="s">
        <v>730</v>
      </c>
      <c r="C37" s="883">
        <v>1</v>
      </c>
      <c r="D37" s="255">
        <v>100</v>
      </c>
      <c r="E37" s="883">
        <v>1</v>
      </c>
      <c r="F37" s="863">
        <f>LOOKUP(E37,112:112,113:113)-LOOKUP(C37,112:112,113:113)+100</f>
        <v>100</v>
      </c>
      <c r="G37" s="883">
        <v>1</v>
      </c>
      <c r="H37" s="255">
        <f>LOOKUP(G37,112:112,113:113)-LOOKUP(C37,112:112,113:113)+100</f>
        <v>100</v>
      </c>
      <c r="I37" s="883">
        <v>0.94</v>
      </c>
      <c r="J37" s="255">
        <f>LOOKUP(I37,112:112,113:113)-LOOKUP(C37,112:112,113:113)+100</f>
        <v>100</v>
      </c>
      <c r="K37" s="864">
        <v>1</v>
      </c>
      <c r="L37" s="2134"/>
      <c r="M37" s="2135"/>
      <c r="N37" s="2135"/>
      <c r="O37" s="2136"/>
      <c r="P37" s="3473"/>
      <c r="Q37" s="1149" t="str">
        <f t="shared" si="11"/>
        <v>成新度</v>
      </c>
      <c r="R37" s="1567" t="s">
        <v>11</v>
      </c>
      <c r="S37" s="1568">
        <f t="shared" si="12"/>
        <v>100</v>
      </c>
      <c r="T37" s="1567" t="s">
        <v>11</v>
      </c>
      <c r="U37" s="1568">
        <f t="shared" si="13"/>
        <v>100</v>
      </c>
      <c r="V37" s="1567" t="s">
        <v>11</v>
      </c>
      <c r="W37" s="1568">
        <f t="shared" si="14"/>
        <v>100</v>
      </c>
      <c r="X37" s="1569"/>
      <c r="Y37" s="3473"/>
      <c r="Z37" s="1148" t="str">
        <f t="shared" si="15"/>
        <v>成新度</v>
      </c>
      <c r="AA37" s="1570">
        <f t="shared" si="3"/>
        <v>1</v>
      </c>
      <c r="AB37" s="1570">
        <f t="shared" si="4"/>
        <v>1</v>
      </c>
      <c r="AC37" s="1570">
        <f t="shared" si="5"/>
        <v>1</v>
      </c>
    </row>
    <row r="38" spans="1:29" ht="15">
      <c r="A38" s="594"/>
      <c r="B38" s="527" t="s">
        <v>731</v>
      </c>
      <c r="C38" s="599" t="s">
        <v>3395</v>
      </c>
      <c r="D38" s="540">
        <v>100</v>
      </c>
      <c r="E38" s="599" t="s">
        <v>3395</v>
      </c>
      <c r="F38" s="575">
        <f>SUMIF(114:114,E38,115:115)-SUMIF(114:114,C38,115:115)+100</f>
        <v>100</v>
      </c>
      <c r="G38" s="599" t="s">
        <v>3395</v>
      </c>
      <c r="H38" s="540">
        <f>SUMIF(114:114,G38,115:115)-SUMIF(114:114,C38,115:115)+100</f>
        <v>100</v>
      </c>
      <c r="I38" s="599" t="s">
        <v>3395</v>
      </c>
      <c r="J38" s="540">
        <f>SUMIF(114:114,I38,115:115)-SUMIF(114:114,C38,115:115)+100</f>
        <v>100</v>
      </c>
      <c r="K38" s="864">
        <v>5</v>
      </c>
      <c r="L38" s="2141"/>
      <c r="M38" s="2133"/>
      <c r="N38" s="2133"/>
      <c r="O38" s="2140"/>
      <c r="P38" s="3473" t="s">
        <v>550</v>
      </c>
      <c r="Q38" s="1571" t="str">
        <f t="shared" si="11"/>
        <v>物业管理</v>
      </c>
      <c r="R38" s="1572" t="s">
        <v>11</v>
      </c>
      <c r="S38" s="1573">
        <f t="shared" si="12"/>
        <v>100</v>
      </c>
      <c r="T38" s="1572" t="s">
        <v>11</v>
      </c>
      <c r="U38" s="1573">
        <f t="shared" si="13"/>
        <v>100</v>
      </c>
      <c r="V38" s="1572" t="s">
        <v>11</v>
      </c>
      <c r="W38" s="1573">
        <f t="shared" si="14"/>
        <v>100</v>
      </c>
      <c r="X38" s="1566"/>
      <c r="Y38" s="3473" t="s">
        <v>550</v>
      </c>
      <c r="Z38" s="1574" t="str">
        <f t="shared" si="15"/>
        <v>物业管理</v>
      </c>
      <c r="AA38" s="1575">
        <f t="shared" si="3"/>
        <v>1</v>
      </c>
      <c r="AB38" s="1575">
        <f t="shared" si="4"/>
        <v>1</v>
      </c>
      <c r="AC38" s="1575">
        <f t="shared" si="5"/>
        <v>1</v>
      </c>
    </row>
    <row r="39" spans="1:29" ht="15">
      <c r="A39" s="594"/>
      <c r="B39" s="1894" t="s">
        <v>2564</v>
      </c>
      <c r="C39" s="599" t="s">
        <v>3252</v>
      </c>
      <c r="D39" s="540">
        <v>100</v>
      </c>
      <c r="E39" s="599" t="s">
        <v>3252</v>
      </c>
      <c r="F39" s="575">
        <f>SUMIF(116:116,E39,117:117)-SUMIF(116:116,C39,117:117)+100</f>
        <v>100</v>
      </c>
      <c r="G39" s="599" t="s">
        <v>3252</v>
      </c>
      <c r="H39" s="540">
        <f>SUMIF(116:116,G39,117:117)-SUMIF(116:116,C39,117:117)+100</f>
        <v>100</v>
      </c>
      <c r="I39" s="599" t="s">
        <v>3252</v>
      </c>
      <c r="J39" s="540">
        <f>SUMIF(116:116,I39,117:117)-SUMIF(116:116,C39,117:117)+100</f>
        <v>100</v>
      </c>
      <c r="K39" s="864">
        <v>1</v>
      </c>
      <c r="L39" s="2141"/>
      <c r="M39" s="2133"/>
      <c r="N39" s="2133"/>
      <c r="O39" s="2140"/>
      <c r="P39" s="3473"/>
      <c r="Q39" s="1571" t="str">
        <f t="shared" si="11"/>
        <v>市政基础设施</v>
      </c>
      <c r="R39" s="1572" t="s">
        <v>11</v>
      </c>
      <c r="S39" s="1573">
        <f t="shared" si="12"/>
        <v>100</v>
      </c>
      <c r="T39" s="1572" t="s">
        <v>11</v>
      </c>
      <c r="U39" s="1573">
        <f t="shared" si="13"/>
        <v>100</v>
      </c>
      <c r="V39" s="1572" t="s">
        <v>11</v>
      </c>
      <c r="W39" s="1573">
        <f t="shared" si="14"/>
        <v>100</v>
      </c>
      <c r="X39" s="1566"/>
      <c r="Y39" s="3473"/>
      <c r="Z39" s="1574" t="str">
        <f t="shared" si="15"/>
        <v>市政基础设施</v>
      </c>
      <c r="AA39" s="1575">
        <f t="shared" si="3"/>
        <v>1</v>
      </c>
      <c r="AB39" s="1575">
        <f t="shared" si="4"/>
        <v>1</v>
      </c>
      <c r="AC39" s="1575">
        <f t="shared" si="5"/>
        <v>1</v>
      </c>
    </row>
    <row r="40" spans="1:29" ht="15">
      <c r="A40" s="594"/>
      <c r="B40" s="527" t="s">
        <v>732</v>
      </c>
      <c r="C40" s="599" t="s">
        <v>3398</v>
      </c>
      <c r="D40" s="540">
        <v>100</v>
      </c>
      <c r="E40" s="599" t="s">
        <v>3398</v>
      </c>
      <c r="F40" s="575">
        <f>SUMIF(118:118,E40,119:119)-SUMIF(118:118,C40,119:119)+100</f>
        <v>100</v>
      </c>
      <c r="G40" s="599" t="s">
        <v>3398</v>
      </c>
      <c r="H40" s="540">
        <f>SUMIF(118:118,G40,119:119)-SUMIF(118:118,C40,119:119)+100</f>
        <v>100</v>
      </c>
      <c r="I40" s="599" t="s">
        <v>3398</v>
      </c>
      <c r="J40" s="540">
        <f>SUMIF(118:118,I40,119:119)-SUMIF(118:118,C40,119:119)+100</f>
        <v>100</v>
      </c>
      <c r="K40" s="864">
        <v>5</v>
      </c>
      <c r="L40" s="2141"/>
      <c r="M40" s="2133"/>
      <c r="N40" s="2133"/>
      <c r="O40" s="2140"/>
      <c r="P40" s="3473"/>
      <c r="Q40" s="1571" t="str">
        <f t="shared" si="11"/>
        <v>房型</v>
      </c>
      <c r="R40" s="1572" t="s">
        <v>11</v>
      </c>
      <c r="S40" s="1573">
        <f t="shared" si="12"/>
        <v>100</v>
      </c>
      <c r="T40" s="1572" t="s">
        <v>11</v>
      </c>
      <c r="U40" s="1573">
        <f t="shared" si="13"/>
        <v>100</v>
      </c>
      <c r="V40" s="1572" t="s">
        <v>11</v>
      </c>
      <c r="W40" s="1573">
        <f t="shared" si="14"/>
        <v>100</v>
      </c>
      <c r="X40" s="1566"/>
      <c r="Y40" s="3473"/>
      <c r="Z40" s="1574" t="str">
        <f t="shared" si="15"/>
        <v>房型</v>
      </c>
      <c r="AA40" s="1575">
        <f t="shared" si="3"/>
        <v>1</v>
      </c>
      <c r="AB40" s="1575">
        <f t="shared" si="4"/>
        <v>1</v>
      </c>
      <c r="AC40" s="1575">
        <f t="shared" si="5"/>
        <v>1</v>
      </c>
    </row>
    <row r="41" spans="1:29" s="1337"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39"/>
      <c r="M41" s="2170"/>
      <c r="N41" s="2170"/>
      <c r="O41" s="2142"/>
      <c r="P41" s="3473"/>
      <c r="Q41" s="1604" t="str">
        <f t="shared" si="11"/>
        <v>单套/主力户型建筑面积</v>
      </c>
      <c r="R41" s="1576" t="s">
        <v>11</v>
      </c>
      <c r="S41" s="1577">
        <f t="shared" si="12"/>
        <v>100</v>
      </c>
      <c r="T41" s="1576" t="s">
        <v>11</v>
      </c>
      <c r="U41" s="1577">
        <f t="shared" si="13"/>
        <v>100</v>
      </c>
      <c r="V41" s="1576" t="s">
        <v>11</v>
      </c>
      <c r="W41" s="1577">
        <f t="shared" si="14"/>
        <v>100</v>
      </c>
      <c r="X41" s="1578"/>
      <c r="Y41" s="3473"/>
      <c r="Z41" s="1579" t="str">
        <f t="shared" si="15"/>
        <v>单套/主力户型建筑面积</v>
      </c>
      <c r="AA41" s="1575">
        <f t="shared" si="3"/>
        <v>1</v>
      </c>
      <c r="AB41" s="1575">
        <f t="shared" si="4"/>
        <v>1</v>
      </c>
      <c r="AC41" s="1575">
        <f t="shared" si="5"/>
        <v>1</v>
      </c>
    </row>
    <row r="42" spans="1:29" ht="15">
      <c r="A42" s="594"/>
      <c r="B42" s="527" t="s">
        <v>734</v>
      </c>
      <c r="C42" s="599" t="s">
        <v>3393</v>
      </c>
      <c r="D42" s="540">
        <v>100</v>
      </c>
      <c r="E42" s="599" t="s">
        <v>3393</v>
      </c>
      <c r="F42" s="575">
        <f>SUMIF(122:122,E42,123:123)-SUMIF(122:122,C42,123:123)+100</f>
        <v>100</v>
      </c>
      <c r="G42" s="599" t="s">
        <v>3393</v>
      </c>
      <c r="H42" s="540">
        <f>SUMIF(122:122,G42,123:123)-SUMIF(122:122,C42,123:123)+100</f>
        <v>100</v>
      </c>
      <c r="I42" s="599" t="s">
        <v>3393</v>
      </c>
      <c r="J42" s="540">
        <f>SUMIF(122:122,I42,123:123)-SUMIF(122:122,C42,123:123)+100</f>
        <v>100</v>
      </c>
      <c r="K42" s="864">
        <v>2</v>
      </c>
      <c r="L42" s="2141"/>
      <c r="M42" s="2133"/>
      <c r="N42" s="2133"/>
      <c r="O42" s="2140"/>
      <c r="P42" s="3473"/>
      <c r="Q42" s="1571" t="str">
        <f t="shared" si="11"/>
        <v>内部装修</v>
      </c>
      <c r="R42" s="1572" t="s">
        <v>11</v>
      </c>
      <c r="S42" s="1573">
        <f t="shared" si="12"/>
        <v>100</v>
      </c>
      <c r="T42" s="1572" t="s">
        <v>11</v>
      </c>
      <c r="U42" s="1573">
        <f t="shared" si="13"/>
        <v>100</v>
      </c>
      <c r="V42" s="1572" t="s">
        <v>11</v>
      </c>
      <c r="W42" s="1573">
        <f t="shared" si="14"/>
        <v>100</v>
      </c>
      <c r="X42" s="1566"/>
      <c r="Y42" s="3473"/>
      <c r="Z42" s="1574" t="str">
        <f t="shared" si="15"/>
        <v>内部装修</v>
      </c>
      <c r="AA42" s="1575">
        <f t="shared" si="3"/>
        <v>1</v>
      </c>
      <c r="AB42" s="1575">
        <f t="shared" si="4"/>
        <v>1</v>
      </c>
      <c r="AC42" s="1575">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73"/>
      <c r="Q43" s="1571" t="str">
        <f t="shared" si="11"/>
        <v>内部装修维护情况</v>
      </c>
      <c r="R43" s="1572" t="s">
        <v>11</v>
      </c>
      <c r="S43" s="1573">
        <f t="shared" si="12"/>
        <v>100</v>
      </c>
      <c r="T43" s="1572" t="s">
        <v>11</v>
      </c>
      <c r="U43" s="1573">
        <f t="shared" si="13"/>
        <v>100</v>
      </c>
      <c r="V43" s="1572" t="s">
        <v>11</v>
      </c>
      <c r="W43" s="1573">
        <f t="shared" si="14"/>
        <v>100</v>
      </c>
      <c r="X43" s="1566"/>
      <c r="Y43" s="3473"/>
      <c r="Z43" s="1574" t="str">
        <f t="shared" si="15"/>
        <v>内部装修维护情况</v>
      </c>
      <c r="AA43" s="1575">
        <f t="shared" si="3"/>
        <v>1</v>
      </c>
      <c r="AB43" s="1575">
        <f t="shared" si="4"/>
        <v>1</v>
      </c>
      <c r="AC43" s="1575">
        <f t="shared" si="5"/>
        <v>1</v>
      </c>
    </row>
    <row r="44" spans="1:29" s="1218" customFormat="1" ht="15">
      <c r="A44" s="600"/>
      <c r="B44" s="3199" t="s">
        <v>3407</v>
      </c>
      <c r="C44" s="3200" t="s">
        <v>3408</v>
      </c>
      <c r="D44" s="255">
        <v>100</v>
      </c>
      <c r="E44" s="3200" t="s">
        <v>3409</v>
      </c>
      <c r="F44" s="863">
        <f>SUMIF(126:126,E44,127:127)-SUMIF(126:126,C44,127:127)+100</f>
        <v>100</v>
      </c>
      <c r="G44" s="3200" t="s">
        <v>3409</v>
      </c>
      <c r="H44" s="255">
        <f>SUMIF(126:126,G44,127:127)-SUMIF(126:126,C44,127:127)+100</f>
        <v>100</v>
      </c>
      <c r="I44" s="3200" t="s">
        <v>3410</v>
      </c>
      <c r="J44" s="255">
        <f>SUMIF(126:126,I44,127:127)-SUMIF(126:126,C44,127:127)+100</f>
        <v>103</v>
      </c>
      <c r="K44" s="865"/>
      <c r="L44" s="2134"/>
      <c r="M44" s="2135"/>
      <c r="N44" s="2135"/>
      <c r="O44" s="2136"/>
      <c r="P44" s="3473"/>
      <c r="Q44" s="1149" t="str">
        <f t="shared" si="11"/>
        <v>现状</v>
      </c>
      <c r="R44" s="1567" t="s">
        <v>11</v>
      </c>
      <c r="S44" s="1568">
        <f t="shared" si="12"/>
        <v>100</v>
      </c>
      <c r="T44" s="1567" t="s">
        <v>11</v>
      </c>
      <c r="U44" s="1568">
        <f t="shared" si="13"/>
        <v>100</v>
      </c>
      <c r="V44" s="1567" t="s">
        <v>11</v>
      </c>
      <c r="W44" s="1568">
        <f t="shared" si="14"/>
        <v>103</v>
      </c>
      <c r="X44" s="1569"/>
      <c r="Y44" s="3473"/>
      <c r="Z44" s="1148" t="str">
        <f t="shared" si="15"/>
        <v>现状</v>
      </c>
      <c r="AA44" s="1570">
        <f t="shared" si="3"/>
        <v>1</v>
      </c>
      <c r="AB44" s="1570">
        <f t="shared" si="4"/>
        <v>1</v>
      </c>
      <c r="AC44" s="1570">
        <f t="shared" si="5"/>
        <v>0.970873786407767</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73"/>
      <c r="Q45" s="1571">
        <f t="shared" si="11"/>
        <v>111</v>
      </c>
      <c r="R45" s="1572" t="s">
        <v>11</v>
      </c>
      <c r="S45" s="1573">
        <f t="shared" si="12"/>
        <v>100</v>
      </c>
      <c r="T45" s="1572" t="s">
        <v>11</v>
      </c>
      <c r="U45" s="1573">
        <f t="shared" si="13"/>
        <v>100</v>
      </c>
      <c r="V45" s="1572" t="s">
        <v>11</v>
      </c>
      <c r="W45" s="1573">
        <f t="shared" si="14"/>
        <v>100</v>
      </c>
      <c r="X45" s="1566"/>
      <c r="Y45" s="3473"/>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51"/>
      <c r="Q46" s="1571">
        <f t="shared" si="11"/>
        <v>111</v>
      </c>
      <c r="R46" s="1572" t="s">
        <v>10</v>
      </c>
      <c r="S46" s="1573">
        <f t="shared" si="12"/>
        <v>100</v>
      </c>
      <c r="T46" s="1572" t="s">
        <v>10</v>
      </c>
      <c r="U46" s="1573">
        <f t="shared" si="13"/>
        <v>100</v>
      </c>
      <c r="V46" s="1572" t="s">
        <v>10</v>
      </c>
      <c r="W46" s="1573">
        <f t="shared" si="14"/>
        <v>100</v>
      </c>
      <c r="X46" s="1566"/>
      <c r="Y46" s="3551"/>
      <c r="Z46" s="1574">
        <f t="shared" si="15"/>
        <v>111</v>
      </c>
      <c r="AA46" s="1575">
        <f t="shared" si="3"/>
        <v>1</v>
      </c>
      <c r="AB46" s="1575">
        <f t="shared" si="4"/>
        <v>1</v>
      </c>
      <c r="AC46" s="1575">
        <f t="shared" si="5"/>
        <v>1</v>
      </c>
    </row>
    <row r="47" spans="1:29" ht="15">
      <c r="A47" s="607" t="s">
        <v>736</v>
      </c>
      <c r="B47" s="887"/>
      <c r="C47" s="2604" t="s">
        <v>9</v>
      </c>
      <c r="D47" s="2605"/>
      <c r="E47" s="2606">
        <f>0.98*72000</f>
        <v>70560</v>
      </c>
      <c r="F47" s="2607"/>
      <c r="G47" s="2608">
        <f>0.98*72000</f>
        <v>70560</v>
      </c>
      <c r="H47" s="2609"/>
      <c r="I47" s="2606">
        <f>0.98*75000</f>
        <v>73500</v>
      </c>
      <c r="J47" s="2609"/>
      <c r="K47" s="1605"/>
      <c r="L47" s="2143"/>
      <c r="M47" s="2144"/>
      <c r="N47" s="2133"/>
      <c r="O47" s="2144"/>
      <c r="P47" s="3435" t="str">
        <f>A47</f>
        <v>成交单价（元/平方米）</v>
      </c>
      <c r="Q47" s="3435"/>
      <c r="R47" s="3550">
        <f>E47</f>
        <v>70560</v>
      </c>
      <c r="S47" s="3550"/>
      <c r="T47" s="3550">
        <f>G47</f>
        <v>70560</v>
      </c>
      <c r="U47" s="3550"/>
      <c r="V47" s="3550">
        <f>I47</f>
        <v>73500</v>
      </c>
      <c r="W47" s="3550"/>
      <c r="X47" s="1558"/>
      <c r="Y47" s="1580"/>
      <c r="Z47" s="1558"/>
      <c r="AA47" s="1558"/>
      <c r="AB47" s="1558"/>
      <c r="AC47" s="1558"/>
    </row>
    <row r="48" spans="1:29" ht="15.75" thickBot="1">
      <c r="A48" s="615" t="s">
        <v>2759</v>
      </c>
      <c r="B48" s="888"/>
      <c r="C48" s="2610">
        <f>R49</f>
        <v>67463</v>
      </c>
      <c r="D48" s="2611"/>
      <c r="E48" s="2612">
        <f>R48</f>
        <v>67162</v>
      </c>
      <c r="F48" s="2612"/>
      <c r="G48" s="2610">
        <f>T48</f>
        <v>69918</v>
      </c>
      <c r="H48" s="2611"/>
      <c r="I48" s="2612">
        <f>V48</f>
        <v>65310</v>
      </c>
      <c r="J48" s="2611"/>
      <c r="K48" s="1606"/>
      <c r="L48" s="2143"/>
      <c r="M48" s="2144"/>
      <c r="N48" s="2144"/>
      <c r="O48" s="2144"/>
      <c r="P48" s="3435" t="str">
        <f>A48</f>
        <v>比较价格（元/平方米）</v>
      </c>
      <c r="Q48" s="3435"/>
      <c r="R48" s="3550">
        <f>IF(F1="售价",ROUND(PRODUCT(R47,AA7:AA46),0),ROUND(PRODUCT(R47,AA7:AA46),1))</f>
        <v>67162</v>
      </c>
      <c r="S48" s="3550"/>
      <c r="T48" s="3550">
        <f>IF(F1="售价",ROUND(PRODUCT(T47,AB7:AB46),0),ROUND(PRODUCT(T47,AB7:AB46),1))</f>
        <v>69918</v>
      </c>
      <c r="U48" s="3550"/>
      <c r="V48" s="3550">
        <f>IF(F1="售价",ROUND(PRODUCT(V47,AC7:AC46),0),ROUND(PRODUCT(V47,AC7:AC46),1))</f>
        <v>65310</v>
      </c>
      <c r="W48" s="3550"/>
      <c r="X48" s="1558"/>
      <c r="Y48" s="1558"/>
      <c r="Z48" s="1558"/>
      <c r="AA48" s="1558"/>
      <c r="AB48" s="1558"/>
      <c r="AC48" s="1558"/>
    </row>
    <row r="49" spans="1:29" ht="15.75" thickBot="1">
      <c r="A49" s="621" t="s">
        <v>2934</v>
      </c>
      <c r="B49" s="622"/>
      <c r="C49" s="2613">
        <f>R49</f>
        <v>67463</v>
      </c>
      <c r="D49" s="2613"/>
      <c r="E49" s="2613"/>
      <c r="F49" s="2613"/>
      <c r="G49" s="2613"/>
      <c r="H49" s="2613"/>
      <c r="I49" s="2613"/>
      <c r="J49" s="2613"/>
      <c r="K49" s="1607"/>
      <c r="L49" s="2143"/>
      <c r="M49" s="2144"/>
      <c r="N49" s="2144"/>
      <c r="O49" s="2144"/>
      <c r="P49" s="3432" t="str">
        <f>A49</f>
        <v>估价对象XX用房的比较价格（楼面单价，元/平方米）</v>
      </c>
      <c r="Q49" s="3433"/>
      <c r="R49" s="3549">
        <f>IF(F1="售价",ROUND(AVERAGE(R48:V48),0),ROUND(AVERAGE(R48:V48),1))</f>
        <v>67463</v>
      </c>
      <c r="S49" s="3549"/>
      <c r="T49" s="3549"/>
      <c r="U49" s="3549"/>
      <c r="V49" s="3549"/>
      <c r="W49" s="354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5.0594085941455091E-2</v>
      </c>
      <c r="F52" s="627" t="str">
        <f>IF(OR(E52&gt;=0.3,E52&lt;=-0.3),"超过30%","")</f>
        <v/>
      </c>
      <c r="G52" s="626">
        <f>IF(G47&lt;G48,G48/G47-1,G47/G48-1)</f>
        <v>9.1821848451043575E-3</v>
      </c>
      <c r="H52" s="627" t="str">
        <f>IF(OR(G52&gt;=0.3,G52&lt;=-0.3),"超过30%","")</f>
        <v/>
      </c>
      <c r="I52" s="626">
        <f>IF(I47&lt;I48,I48/I47-1,I47/I48-1)</f>
        <v>0.12540192926045024</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4.1035109139096582E-2</v>
      </c>
      <c r="F53" s="627" t="str">
        <f>IF(OR(E53&gt;=0.2,E53&lt;=-0.2),"超过20%","")</f>
        <v/>
      </c>
      <c r="G53" s="626">
        <f>IF(G48&lt;I48,I48/G48-1,G48/I48-1)</f>
        <v>7.0555810748736736E-2</v>
      </c>
      <c r="H53" s="627" t="str">
        <f>IF(OR(G53&gt;=0.2,G53&lt;=-0.2),"超过20%","")</f>
        <v/>
      </c>
      <c r="I53" s="626">
        <f>IF(I48&lt;E48,E48/I48-1,I48/E48-1)</f>
        <v>2.8357066299188549E-2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4" t="s">
        <v>559</v>
      </c>
      <c r="D54" s="628"/>
      <c r="E54" s="626">
        <f>IF(E47&lt;G47,G47/E47-1,E47/G47-1)</f>
        <v>0</v>
      </c>
      <c r="F54" s="627" t="str">
        <f>IF(OR(E54&gt;=0.3,E54&lt;=-0.3),"超过30%","")</f>
        <v/>
      </c>
      <c r="G54" s="626">
        <f>IF(G47&lt;I47,I47/G47-1,G47/I47-1)</f>
        <v>4.1666666666666741E-2</v>
      </c>
      <c r="H54" s="627" t="str">
        <f>IF(OR(G54&gt;=0.3,G54&lt;=-0.3),"超过30%","")</f>
        <v/>
      </c>
      <c r="I54" s="626">
        <f>IF(I47&lt;E47,E47/I47-1,I47/E47-1)</f>
        <v>4.1666666666666741E-2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5" t="s">
        <v>529</v>
      </c>
      <c r="B58" s="646"/>
      <c r="C58" s="2780"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9"/>
      <c r="Q58" s="2160"/>
      <c r="R58" s="2160"/>
      <c r="S58" s="2160"/>
      <c r="T58" s="2160"/>
      <c r="U58" s="2160"/>
      <c r="V58" s="2160"/>
      <c r="W58" s="2160"/>
      <c r="X58" s="2160"/>
      <c r="Y58" s="2160"/>
      <c r="Z58" s="2160"/>
      <c r="AA58" s="2160"/>
      <c r="AB58" s="2160"/>
      <c r="AC58" s="2160"/>
    </row>
    <row r="59" spans="1:29" s="1218"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8"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8"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3193" t="s">
        <v>3385</v>
      </c>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2（含）-4</v>
      </c>
      <c r="D67" s="682" t="str">
        <f t="shared" ref="D67:L67" si="18">D68&amp;"（含）"&amp;"-"&amp;E68</f>
        <v>4（含）-6</v>
      </c>
      <c r="E67" s="682" t="str">
        <f t="shared" si="18"/>
        <v>6（含）-8</v>
      </c>
      <c r="F67" s="682" t="str">
        <f t="shared" si="18"/>
        <v>8（含）-10</v>
      </c>
      <c r="G67" s="682" t="str">
        <f t="shared" si="18"/>
        <v>10（含）-12</v>
      </c>
      <c r="H67" s="682" t="str">
        <f t="shared" si="18"/>
        <v>12（含）-14</v>
      </c>
      <c r="I67" s="682" t="str">
        <f t="shared" si="18"/>
        <v>14（含）-16</v>
      </c>
      <c r="J67" s="682" t="str">
        <f t="shared" si="18"/>
        <v>16（含）-18</v>
      </c>
      <c r="K67" s="682" t="str">
        <f t="shared" si="18"/>
        <v>18（含）-20</v>
      </c>
      <c r="L67" s="682" t="str">
        <f t="shared" si="18"/>
        <v>20（含）-22</v>
      </c>
      <c r="M67" s="555" t="str">
        <f>M68&amp;"（含）"&amp;"-"&amp;P68</f>
        <v>22（含）-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2</v>
      </c>
      <c r="D68" s="541">
        <v>4</v>
      </c>
      <c r="E68" s="541">
        <v>6</v>
      </c>
      <c r="F68" s="541">
        <v>8</v>
      </c>
      <c r="G68" s="541">
        <v>10</v>
      </c>
      <c r="H68" s="541">
        <v>12</v>
      </c>
      <c r="I68" s="541">
        <v>14</v>
      </c>
      <c r="J68" s="541">
        <v>16</v>
      </c>
      <c r="K68" s="541">
        <v>18</v>
      </c>
      <c r="L68" s="541">
        <v>20</v>
      </c>
      <c r="M68" s="541">
        <v>22</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4" t="s">
        <v>2558</v>
      </c>
      <c r="C82" s="2575" t="s">
        <v>2559</v>
      </c>
      <c r="D82" s="2575" t="s">
        <v>2560</v>
      </c>
      <c r="E82" s="2575" t="s">
        <v>2561</v>
      </c>
      <c r="F82" s="2575" t="s">
        <v>2562</v>
      </c>
      <c r="G82" s="2575" t="s">
        <v>2563</v>
      </c>
      <c r="H82" s="674"/>
      <c r="I82" s="674"/>
      <c r="J82" s="674"/>
      <c r="K82" s="674"/>
      <c r="L82" s="674"/>
      <c r="M82" s="2578"/>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9"/>
      <c r="B86" s="1895" t="s">
        <v>2257</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88" t="s">
        <v>3388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1200000(含)-1400000</v>
      </c>
      <c r="J102" s="708" t="str">
        <f t="shared" si="23"/>
        <v>1400000(含)-1600000</v>
      </c>
      <c r="K102" s="708" t="str">
        <f t="shared" si="23"/>
        <v>1600000(含)-1800000</v>
      </c>
      <c r="L102" s="708" t="str">
        <f t="shared" si="23"/>
        <v>1800000(含)-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8"/>
      <c r="B103" s="729"/>
      <c r="C103" s="730">
        <v>0</v>
      </c>
      <c r="D103" s="730">
        <v>200000</v>
      </c>
      <c r="E103" s="730">
        <v>400000</v>
      </c>
      <c r="F103" s="730">
        <v>600000</v>
      </c>
      <c r="G103" s="730">
        <v>800000</v>
      </c>
      <c r="H103" s="730">
        <v>1000000</v>
      </c>
      <c r="I103" s="730">
        <v>1200000</v>
      </c>
      <c r="J103" s="730">
        <v>1400000</v>
      </c>
      <c r="K103" s="730">
        <v>1600000</v>
      </c>
      <c r="L103" s="730">
        <v>1800000</v>
      </c>
      <c r="M103" s="733"/>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7"/>
      <c r="B104" s="678"/>
      <c r="C104" s="692">
        <v>100</v>
      </c>
      <c r="D104" s="671">
        <v>102</v>
      </c>
      <c r="E104" s="692">
        <v>104</v>
      </c>
      <c r="F104" s="671">
        <v>106</v>
      </c>
      <c r="G104" s="692">
        <v>108</v>
      </c>
      <c r="H104" s="671">
        <v>110</v>
      </c>
      <c r="I104" s="692">
        <v>112</v>
      </c>
      <c r="J104" s="671">
        <v>114</v>
      </c>
      <c r="K104" s="692">
        <v>116</v>
      </c>
      <c r="L104" s="671">
        <v>118</v>
      </c>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0" t="s">
        <v>3390</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9" t="s">
        <v>3392</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0" t="s">
        <v>3394</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90" t="s">
        <v>3396</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90" t="s">
        <v>3397</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89" t="s">
        <v>3399</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8"/>
      <c r="B120" s="673" t="s">
        <v>733</v>
      </c>
      <c r="C120" s="688" t="s">
        <v>3400</v>
      </c>
      <c r="D120" s="688" t="s">
        <v>3401</v>
      </c>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7"/>
      <c r="B121" s="670"/>
      <c r="C121" s="692">
        <v>100</v>
      </c>
      <c r="D121" s="671">
        <v>95</v>
      </c>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0" t="s">
        <v>3394</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8"/>
      <c r="B126" s="673" t="str">
        <f>B44</f>
        <v>现状</v>
      </c>
      <c r="C126" s="3190" t="s">
        <v>3411</v>
      </c>
      <c r="D126" s="3190" t="s">
        <v>3408</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7"/>
      <c r="B127" s="678"/>
      <c r="C127" s="692">
        <v>100</v>
      </c>
      <c r="D127" s="671">
        <v>97</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受贵公司委托，我公司对北京市FXX0-0401-6016出让国有建设用地使用权市场价格进行了预评估。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FXX0-0401-6016出让国有建设用地使用权。根据《国有土地使用证》[]，估价对象（分摊）出让国有建设用地使用权面积为15400平方米。根据《建设工程规划许可证》[]、《出让合同》[]，估价对象规划建筑面积为43120平方米。</v>
      </c>
    </row>
    <row r="7" spans="1:4" ht="93.75">
      <c r="A7" s="2849"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2019年2月14日（评估专业人员勘察现场之日）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根据《国有土地使用证》[]，估价对象（分摊）出让国有建设用地使用权面积为15400平方米。根据《建设工程规划许可证》[]、《出让合同》[]，估价对象规划建筑面积为43120平方米。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1" t="s">
        <v>2748</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757</v>
      </c>
      <c r="C1" s="504" t="s">
        <v>720</v>
      </c>
      <c r="D1" s="2347"/>
      <c r="E1" s="506"/>
      <c r="F1" s="2783"/>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41" t="s">
        <v>522</v>
      </c>
      <c r="D4" s="3442"/>
      <c r="E4" s="3476" t="s">
        <v>523</v>
      </c>
      <c r="F4" s="3477"/>
      <c r="G4" s="3441" t="s">
        <v>524</v>
      </c>
      <c r="H4" s="3442"/>
      <c r="I4" s="3441" t="s">
        <v>525</v>
      </c>
      <c r="J4" s="3442"/>
      <c r="K4" s="514" t="s">
        <v>526</v>
      </c>
      <c r="L4" s="2132"/>
      <c r="M4" s="2133"/>
      <c r="N4" s="2133"/>
      <c r="O4" s="2133"/>
      <c r="P4" s="3443" t="s">
        <v>527</v>
      </c>
      <c r="Q4" s="3444"/>
      <c r="R4" s="3449" t="s">
        <v>523</v>
      </c>
      <c r="S4" s="3450"/>
      <c r="T4" s="3449" t="s">
        <v>524</v>
      </c>
      <c r="U4" s="3450"/>
      <c r="V4" s="3436" t="s">
        <v>525</v>
      </c>
      <c r="W4" s="3436"/>
      <c r="X4" s="1566"/>
      <c r="Y4" s="3449" t="s">
        <v>527</v>
      </c>
      <c r="Z4" s="3450"/>
      <c r="AA4" s="3438" t="s">
        <v>523</v>
      </c>
      <c r="AB4" s="3436" t="s">
        <v>524</v>
      </c>
      <c r="AC4" s="3438" t="s">
        <v>525</v>
      </c>
    </row>
    <row r="5" spans="1:29" ht="15">
      <c r="A5" s="515"/>
      <c r="B5" s="516"/>
      <c r="C5" s="3457" t="s">
        <v>2928</v>
      </c>
      <c r="D5" s="3458"/>
      <c r="E5" s="3478" t="s">
        <v>2929</v>
      </c>
      <c r="F5" s="3479"/>
      <c r="G5" s="3457" t="s">
        <v>2930</v>
      </c>
      <c r="H5" s="3458"/>
      <c r="I5" s="3457" t="s">
        <v>2931</v>
      </c>
      <c r="J5" s="3458"/>
      <c r="K5" s="514"/>
      <c r="L5" s="2132"/>
      <c r="M5" s="2133"/>
      <c r="N5" s="2133"/>
      <c r="O5" s="2133"/>
      <c r="P5" s="3445"/>
      <c r="Q5" s="3446"/>
      <c r="R5" s="3451"/>
      <c r="S5" s="3452"/>
      <c r="T5" s="3451"/>
      <c r="U5" s="3452"/>
      <c r="V5" s="3436"/>
      <c r="W5" s="3436"/>
      <c r="X5" s="1566"/>
      <c r="Y5" s="3451"/>
      <c r="Z5" s="3452"/>
      <c r="AA5" s="3439"/>
      <c r="AB5" s="3436"/>
      <c r="AC5" s="3439"/>
    </row>
    <row r="6" spans="1:29" ht="15.75" thickBot="1">
      <c r="A6" s="517"/>
      <c r="B6" s="518"/>
      <c r="C6" s="3455" t="s">
        <v>2932</v>
      </c>
      <c r="D6" s="3456"/>
      <c r="E6" s="3474" t="s">
        <v>2932</v>
      </c>
      <c r="F6" s="3475"/>
      <c r="G6" s="3455" t="s">
        <v>2932</v>
      </c>
      <c r="H6" s="3456"/>
      <c r="I6" s="3455" t="s">
        <v>2932</v>
      </c>
      <c r="J6" s="3456"/>
      <c r="K6" s="514" t="s">
        <v>528</v>
      </c>
      <c r="L6" s="2132"/>
      <c r="M6" s="2133"/>
      <c r="N6" s="2133"/>
      <c r="O6" s="2133"/>
      <c r="P6" s="3447"/>
      <c r="Q6" s="3448"/>
      <c r="R6" s="3451"/>
      <c r="S6" s="3452"/>
      <c r="T6" s="3453"/>
      <c r="U6" s="3454"/>
      <c r="V6" s="3436"/>
      <c r="W6" s="3436"/>
      <c r="X6" s="1566"/>
      <c r="Y6" s="3453"/>
      <c r="Z6" s="3454"/>
      <c r="AA6" s="3440"/>
      <c r="AB6" s="3436"/>
      <c r="AC6" s="3440"/>
    </row>
    <row r="7" spans="1:29" s="1218" customFormat="1" ht="15.75" thickBot="1">
      <c r="A7" s="2888"/>
      <c r="B7" s="2895" t="s">
        <v>529</v>
      </c>
      <c r="C7" s="519">
        <f>'数据-取费表'!B2</f>
        <v>43510</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67" t="s">
        <v>530</v>
      </c>
      <c r="Q7" s="3469"/>
      <c r="R7" s="1567" t="s">
        <v>8</v>
      </c>
      <c r="S7" s="1568">
        <f t="shared" ref="S7:S15" si="0">F7</f>
        <v>0</v>
      </c>
      <c r="T7" s="1567" t="s">
        <v>8</v>
      </c>
      <c r="U7" s="1568">
        <f t="shared" ref="U7:U15" si="1">H7</f>
        <v>0</v>
      </c>
      <c r="V7" s="1567" t="s">
        <v>8</v>
      </c>
      <c r="W7" s="1568">
        <f t="shared" ref="W7:W15" si="2">J7</f>
        <v>0</v>
      </c>
      <c r="X7" s="1569"/>
      <c r="Y7" s="3467" t="s">
        <v>530</v>
      </c>
      <c r="Z7" s="3468"/>
      <c r="AA7" s="1570" t="e">
        <f>D7/F7</f>
        <v>#DIV/0!</v>
      </c>
      <c r="AB7" s="1570" t="e">
        <f>D7/H7</f>
        <v>#DIV/0!</v>
      </c>
      <c r="AC7" s="1570" t="e">
        <f>D7/J7</f>
        <v>#DIV/0!</v>
      </c>
    </row>
    <row r="8" spans="1:29" s="1218" customFormat="1" ht="15.75" thickBot="1">
      <c r="A8" s="2889"/>
      <c r="B8" s="2896"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67" t="s">
        <v>533</v>
      </c>
      <c r="Q8" s="3468"/>
      <c r="R8" s="1567" t="s">
        <v>8</v>
      </c>
      <c r="S8" s="1568">
        <f t="shared" si="0"/>
        <v>0</v>
      </c>
      <c r="T8" s="1567" t="s">
        <v>8</v>
      </c>
      <c r="U8" s="1568">
        <f t="shared" si="1"/>
        <v>0</v>
      </c>
      <c r="V8" s="1567" t="s">
        <v>8</v>
      </c>
      <c r="W8" s="1568">
        <f t="shared" si="2"/>
        <v>0</v>
      </c>
      <c r="X8" s="1569"/>
      <c r="Y8" s="3467" t="s">
        <v>533</v>
      </c>
      <c r="Z8" s="3468"/>
      <c r="AA8" s="1570" t="e">
        <f t="shared" ref="AA8:AA46" si="3">D8/F8</f>
        <v>#DIV/0!</v>
      </c>
      <c r="AB8" s="1570" t="e">
        <f t="shared" ref="AB8:AB46" si="4">D8/H8</f>
        <v>#DIV/0!</v>
      </c>
      <c r="AC8" s="1570" t="e">
        <f t="shared" ref="AC8:AC46" si="5">D8/J8</f>
        <v>#DIV/0!</v>
      </c>
    </row>
    <row r="9" spans="1:29" s="1218" customFormat="1" ht="15">
      <c r="A9" s="2890"/>
      <c r="B9" s="2897"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35" t="s">
        <v>535</v>
      </c>
      <c r="Q9" s="1149" t="str">
        <f t="shared" ref="Q9:Q15" si="6">B9</f>
        <v>用途</v>
      </c>
      <c r="R9" s="1567" t="s">
        <v>8</v>
      </c>
      <c r="S9" s="1568">
        <f t="shared" si="0"/>
        <v>100</v>
      </c>
      <c r="T9" s="1567" t="s">
        <v>8</v>
      </c>
      <c r="U9" s="1568">
        <f t="shared" si="1"/>
        <v>100</v>
      </c>
      <c r="V9" s="1567" t="s">
        <v>8</v>
      </c>
      <c r="W9" s="1568">
        <f t="shared" si="2"/>
        <v>100</v>
      </c>
      <c r="X9" s="1569"/>
      <c r="Y9" s="3375" t="s">
        <v>536</v>
      </c>
      <c r="Z9" s="1148" t="str">
        <f t="shared" ref="Z9:Z15" si="7">Q9</f>
        <v>用途</v>
      </c>
      <c r="AA9" s="1570">
        <f t="shared" si="3"/>
        <v>1</v>
      </c>
      <c r="AB9" s="1570">
        <f t="shared" si="4"/>
        <v>1</v>
      </c>
      <c r="AC9" s="1570">
        <f t="shared" si="5"/>
        <v>1</v>
      </c>
    </row>
    <row r="10" spans="1:29" s="1336" customFormat="1" ht="27">
      <c r="A10" s="2891"/>
      <c r="B10" s="2896"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35"/>
      <c r="Q10" s="1149" t="str">
        <f t="shared" si="6"/>
        <v>土地使用年限（年）</v>
      </c>
      <c r="R10" s="1567" t="s">
        <v>8</v>
      </c>
      <c r="S10" s="1568">
        <f t="shared" si="0"/>
        <v>100</v>
      </c>
      <c r="T10" s="1567" t="s">
        <v>8</v>
      </c>
      <c r="U10" s="1568">
        <f t="shared" si="1"/>
        <v>100</v>
      </c>
      <c r="V10" s="1567" t="s">
        <v>8</v>
      </c>
      <c r="W10" s="1568">
        <f t="shared" si="2"/>
        <v>100</v>
      </c>
      <c r="X10" s="1569"/>
      <c r="Y10" s="3375"/>
      <c r="Z10" s="1148" t="str">
        <f t="shared" si="7"/>
        <v>土地使用年限（年）</v>
      </c>
      <c r="AA10" s="1570">
        <f t="shared" si="3"/>
        <v>1</v>
      </c>
      <c r="AB10" s="1570">
        <f t="shared" si="4"/>
        <v>1</v>
      </c>
      <c r="AC10" s="1570">
        <f t="shared" si="5"/>
        <v>1</v>
      </c>
    </row>
    <row r="11" spans="1:29" ht="15">
      <c r="A11" s="2892"/>
      <c r="B11" s="289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35"/>
      <c r="Q11" s="1149" t="str">
        <f t="shared" si="6"/>
        <v>容积率</v>
      </c>
      <c r="R11" s="1567" t="s">
        <v>8</v>
      </c>
      <c r="S11" s="1568" t="e">
        <f t="shared" si="0"/>
        <v>#N/A</v>
      </c>
      <c r="T11" s="1567" t="s">
        <v>8</v>
      </c>
      <c r="U11" s="1568" t="e">
        <f t="shared" si="1"/>
        <v>#N/A</v>
      </c>
      <c r="V11" s="1567" t="s">
        <v>8</v>
      </c>
      <c r="W11" s="1568" t="e">
        <f t="shared" si="2"/>
        <v>#N/A</v>
      </c>
      <c r="X11" s="1569"/>
      <c r="Y11" s="3375"/>
      <c r="Z11" s="1148" t="str">
        <f t="shared" si="7"/>
        <v>容积率</v>
      </c>
      <c r="AA11" s="1570" t="e">
        <f t="shared" si="3"/>
        <v>#N/A</v>
      </c>
      <c r="AB11" s="1570" t="e">
        <f t="shared" si="4"/>
        <v>#N/A</v>
      </c>
      <c r="AC11" s="1570" t="e">
        <f t="shared" si="5"/>
        <v>#N/A</v>
      </c>
    </row>
    <row r="12" spans="1:29" s="1218" customFormat="1" ht="15">
      <c r="A12" s="2893"/>
      <c r="B12" s="2899">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435"/>
      <c r="Q12" s="1149">
        <f t="shared" si="6"/>
        <v>111</v>
      </c>
      <c r="R12" s="1567" t="s">
        <v>8</v>
      </c>
      <c r="S12" s="1568">
        <f t="shared" si="0"/>
        <v>100</v>
      </c>
      <c r="T12" s="1567" t="s">
        <v>8</v>
      </c>
      <c r="U12" s="1568">
        <f t="shared" si="1"/>
        <v>100</v>
      </c>
      <c r="V12" s="1567" t="s">
        <v>8</v>
      </c>
      <c r="W12" s="1568">
        <f t="shared" si="2"/>
        <v>100</v>
      </c>
      <c r="X12" s="1569"/>
      <c r="Y12" s="3375"/>
      <c r="Z12" s="1148">
        <f t="shared" si="7"/>
        <v>111</v>
      </c>
      <c r="AA12" s="1570">
        <f>D12/F12</f>
        <v>1</v>
      </c>
      <c r="AB12" s="1570">
        <f>D12/H12</f>
        <v>1</v>
      </c>
      <c r="AC12" s="1570">
        <f>D12/J12</f>
        <v>1</v>
      </c>
    </row>
    <row r="13" spans="1:29" ht="15">
      <c r="A13" s="2893"/>
      <c r="B13" s="2899">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435"/>
      <c r="Q13" s="1149">
        <f t="shared" si="6"/>
        <v>111</v>
      </c>
      <c r="R13" s="1567" t="s">
        <v>8</v>
      </c>
      <c r="S13" s="1568">
        <f t="shared" si="0"/>
        <v>100</v>
      </c>
      <c r="T13" s="1567" t="s">
        <v>8</v>
      </c>
      <c r="U13" s="1568">
        <f t="shared" si="1"/>
        <v>100</v>
      </c>
      <c r="V13" s="1567" t="s">
        <v>8</v>
      </c>
      <c r="W13" s="1568">
        <f t="shared" si="2"/>
        <v>100</v>
      </c>
      <c r="X13" s="1569"/>
      <c r="Y13" s="3375"/>
      <c r="Z13" s="1148">
        <f t="shared" si="7"/>
        <v>111</v>
      </c>
      <c r="AA13" s="1570">
        <f t="shared" si="3"/>
        <v>1</v>
      </c>
      <c r="AB13" s="1570">
        <f t="shared" si="4"/>
        <v>1</v>
      </c>
      <c r="AC13" s="1570">
        <f t="shared" si="5"/>
        <v>1</v>
      </c>
    </row>
    <row r="14" spans="1:29" ht="15.75" thickBot="1">
      <c r="A14" s="2894"/>
      <c r="B14" s="2900">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435"/>
      <c r="Q14" s="1149">
        <f t="shared" si="6"/>
        <v>111</v>
      </c>
      <c r="R14" s="1567" t="s">
        <v>8</v>
      </c>
      <c r="S14" s="1568">
        <f t="shared" si="0"/>
        <v>100</v>
      </c>
      <c r="T14" s="1567" t="s">
        <v>8</v>
      </c>
      <c r="U14" s="1568">
        <f t="shared" si="1"/>
        <v>100</v>
      </c>
      <c r="V14" s="1567" t="s">
        <v>8</v>
      </c>
      <c r="W14" s="1568">
        <f t="shared" si="2"/>
        <v>100</v>
      </c>
      <c r="X14" s="1569"/>
      <c r="Y14" s="3375"/>
      <c r="Z14" s="1148">
        <f t="shared" si="7"/>
        <v>111</v>
      </c>
      <c r="AA14" s="1570">
        <f t="shared" si="3"/>
        <v>1</v>
      </c>
      <c r="AB14" s="1570">
        <f t="shared" si="4"/>
        <v>1</v>
      </c>
      <c r="AC14" s="1570">
        <f t="shared" si="5"/>
        <v>1</v>
      </c>
    </row>
    <row r="15" spans="1:29" ht="71.25">
      <c r="A15" s="288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70" t="s">
        <v>540</v>
      </c>
      <c r="Q15" s="1571" t="str">
        <f t="shared" si="6"/>
        <v>商业繁华度</v>
      </c>
      <c r="R15" s="1572" t="s">
        <v>8</v>
      </c>
      <c r="S15" s="1573">
        <f t="shared" si="0"/>
        <v>100</v>
      </c>
      <c r="T15" s="1572" t="s">
        <v>8</v>
      </c>
      <c r="U15" s="1573">
        <f t="shared" si="1"/>
        <v>100</v>
      </c>
      <c r="V15" s="1572" t="s">
        <v>8</v>
      </c>
      <c r="W15" s="1573">
        <f t="shared" si="2"/>
        <v>100</v>
      </c>
      <c r="X15" s="1566"/>
      <c r="Y15" s="3470"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71"/>
      <c r="Q16" s="1571"/>
      <c r="R16" s="1572"/>
      <c r="S16" s="1573"/>
      <c r="T16" s="1572"/>
      <c r="U16" s="1573"/>
      <c r="V16" s="1572"/>
      <c r="W16" s="1573"/>
      <c r="X16" s="1566"/>
      <c r="Y16" s="3471"/>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71"/>
      <c r="Q17" s="1571" t="str">
        <f>B17</f>
        <v>交通便捷度</v>
      </c>
      <c r="R17" s="1572" t="s">
        <v>8</v>
      </c>
      <c r="S17" s="1573">
        <f>F17</f>
        <v>100</v>
      </c>
      <c r="T17" s="1572" t="s">
        <v>8</v>
      </c>
      <c r="U17" s="1573">
        <f>H17</f>
        <v>100</v>
      </c>
      <c r="V17" s="1572" t="s">
        <v>8</v>
      </c>
      <c r="W17" s="1573">
        <f>J17</f>
        <v>100</v>
      </c>
      <c r="X17" s="1566"/>
      <c r="Y17" s="347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71"/>
      <c r="Q18" s="1571"/>
      <c r="R18" s="1572"/>
      <c r="S18" s="1573"/>
      <c r="T18" s="1572"/>
      <c r="U18" s="1573"/>
      <c r="V18" s="1572"/>
      <c r="W18" s="1573"/>
      <c r="X18" s="1566"/>
      <c r="Y18" s="3471"/>
      <c r="Z18" s="1574"/>
      <c r="AA18" s="1575">
        <v>1</v>
      </c>
      <c r="AB18" s="1575">
        <v>1</v>
      </c>
      <c r="AC18" s="1575">
        <v>1</v>
      </c>
    </row>
    <row r="19" spans="1:29" ht="42.75">
      <c r="A19" s="532"/>
      <c r="B19" s="2577"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71"/>
      <c r="Q19" s="1571" t="str">
        <f>B19</f>
        <v>公共配套设施</v>
      </c>
      <c r="R19" s="1572" t="s">
        <v>8</v>
      </c>
      <c r="S19" s="1573">
        <f>F19</f>
        <v>100</v>
      </c>
      <c r="T19" s="1572" t="s">
        <v>8</v>
      </c>
      <c r="U19" s="1573">
        <f>H19</f>
        <v>100</v>
      </c>
      <c r="V19" s="1572" t="s">
        <v>8</v>
      </c>
      <c r="W19" s="1573">
        <f>J19</f>
        <v>100</v>
      </c>
      <c r="X19" s="1566"/>
      <c r="Y19" s="347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1"/>
      <c r="M20" s="2133"/>
      <c r="N20" s="2133"/>
      <c r="O20" s="2140"/>
      <c r="P20" s="3471"/>
      <c r="Q20" s="1571"/>
      <c r="R20" s="1572"/>
      <c r="S20" s="1573"/>
      <c r="T20" s="1572"/>
      <c r="U20" s="1573"/>
      <c r="V20" s="1572"/>
      <c r="W20" s="1573"/>
      <c r="X20" s="1566"/>
      <c r="Y20" s="3471"/>
      <c r="Z20" s="1574"/>
      <c r="AA20" s="1575">
        <v>1</v>
      </c>
      <c r="AB20" s="1575">
        <v>1</v>
      </c>
      <c r="AC20" s="1575">
        <v>1</v>
      </c>
    </row>
    <row r="21" spans="1:29" ht="28.5">
      <c r="A21" s="532"/>
      <c r="B21" s="2570"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71"/>
      <c r="Q21" s="2556" t="str">
        <f>B21</f>
        <v>基础设施水平</v>
      </c>
      <c r="R21" s="1572" t="s">
        <v>8</v>
      </c>
      <c r="S21" s="1573">
        <f>F21</f>
        <v>100</v>
      </c>
      <c r="T21" s="1572" t="s">
        <v>8</v>
      </c>
      <c r="U21" s="1573">
        <f>H21</f>
        <v>100</v>
      </c>
      <c r="V21" s="1572" t="s">
        <v>8</v>
      </c>
      <c r="W21" s="1573">
        <f>J21</f>
        <v>100</v>
      </c>
      <c r="X21" s="2558"/>
      <c r="Y21" s="3471"/>
      <c r="Z21" s="2557"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579"/>
      <c r="L22" s="2141"/>
      <c r="M22" s="2133"/>
      <c r="N22" s="2133"/>
      <c r="O22" s="2140"/>
      <c r="P22" s="3471"/>
      <c r="Q22" s="2556"/>
      <c r="R22" s="1572"/>
      <c r="S22" s="1573"/>
      <c r="T22" s="1572"/>
      <c r="U22" s="1573"/>
      <c r="V22" s="1572"/>
      <c r="W22" s="1573"/>
      <c r="X22" s="2558"/>
      <c r="Y22" s="3471"/>
      <c r="Z22" s="2557"/>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71"/>
      <c r="Q23" s="1571" t="str">
        <f>B23</f>
        <v>自然及人文环境</v>
      </c>
      <c r="R23" s="1572" t="s">
        <v>8</v>
      </c>
      <c r="S23" s="1573">
        <f>F23</f>
        <v>100</v>
      </c>
      <c r="T23" s="1572" t="s">
        <v>8</v>
      </c>
      <c r="U23" s="1573">
        <f>H23</f>
        <v>100</v>
      </c>
      <c r="V23" s="1572" t="s">
        <v>8</v>
      </c>
      <c r="W23" s="1573">
        <f>J23</f>
        <v>100</v>
      </c>
      <c r="X23" s="1566"/>
      <c r="Y23" s="347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1"/>
      <c r="M24" s="2133"/>
      <c r="N24" s="2133"/>
      <c r="O24" s="2140"/>
      <c r="P24" s="3471"/>
      <c r="Q24" s="1571"/>
      <c r="R24" s="1572"/>
      <c r="S24" s="1573"/>
      <c r="T24" s="1572"/>
      <c r="U24" s="1573"/>
      <c r="V24" s="1572"/>
      <c r="W24" s="1573"/>
      <c r="X24" s="1566"/>
      <c r="Y24" s="3471"/>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71"/>
      <c r="Q25" s="1571" t="str">
        <f t="shared" ref="Q25:Q46" si="11">B25</f>
        <v>临街状况</v>
      </c>
      <c r="R25" s="1572" t="s">
        <v>8</v>
      </c>
      <c r="S25" s="1573">
        <f>F25</f>
        <v>100</v>
      </c>
      <c r="T25" s="1572" t="s">
        <v>8</v>
      </c>
      <c r="U25" s="1573">
        <f>H25</f>
        <v>100</v>
      </c>
      <c r="V25" s="1572" t="s">
        <v>8</v>
      </c>
      <c r="W25" s="1573">
        <f>J25</f>
        <v>100</v>
      </c>
      <c r="X25" s="1566"/>
      <c r="Y25" s="3471"/>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71"/>
      <c r="Q26" s="1571" t="str">
        <f t="shared" si="11"/>
        <v>平面位置/可视性</v>
      </c>
      <c r="R26" s="1572" t="s">
        <v>8</v>
      </c>
      <c r="S26" s="1573">
        <f>F26</f>
        <v>100</v>
      </c>
      <c r="T26" s="1572" t="s">
        <v>8</v>
      </c>
      <c r="U26" s="1573">
        <f>H26</f>
        <v>100</v>
      </c>
      <c r="V26" s="1572" t="s">
        <v>8</v>
      </c>
      <c r="W26" s="1573">
        <f>J26</f>
        <v>100</v>
      </c>
      <c r="X26" s="1566"/>
      <c r="Y26" s="3471"/>
      <c r="Z26" s="1574" t="str">
        <f>Q26</f>
        <v>平面位置/可视性</v>
      </c>
      <c r="AA26" s="1575">
        <f t="shared" si="3"/>
        <v>1</v>
      </c>
      <c r="AB26" s="1575">
        <f t="shared" si="4"/>
        <v>1</v>
      </c>
      <c r="AC26" s="1575">
        <f t="shared" si="5"/>
        <v>1</v>
      </c>
    </row>
    <row r="27" spans="1:29" s="1218"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71"/>
      <c r="Q27" s="1149" t="str">
        <f t="shared" si="11"/>
        <v>人流量</v>
      </c>
      <c r="R27" s="1567" t="s">
        <v>8</v>
      </c>
      <c r="S27" s="1568">
        <f>F27</f>
        <v>100</v>
      </c>
      <c r="T27" s="1567" t="s">
        <v>8</v>
      </c>
      <c r="U27" s="1568">
        <f>H27</f>
        <v>100</v>
      </c>
      <c r="V27" s="1567" t="s">
        <v>8</v>
      </c>
      <c r="W27" s="1568">
        <f>J27</f>
        <v>100</v>
      </c>
      <c r="X27" s="1569"/>
      <c r="Y27" s="3471"/>
      <c r="Z27" s="1148"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7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7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71"/>
      <c r="Q29" s="1571">
        <f t="shared" si="11"/>
        <v>111</v>
      </c>
      <c r="R29" s="1572" t="s">
        <v>8</v>
      </c>
      <c r="S29" s="1573">
        <f t="shared" si="12"/>
        <v>100</v>
      </c>
      <c r="T29" s="1572" t="s">
        <v>8</v>
      </c>
      <c r="U29" s="1573">
        <f t="shared" si="13"/>
        <v>100</v>
      </c>
      <c r="V29" s="1572" t="s">
        <v>8</v>
      </c>
      <c r="W29" s="1573">
        <f t="shared" si="14"/>
        <v>100</v>
      </c>
      <c r="X29" s="1566"/>
      <c r="Y29" s="347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71"/>
      <c r="Q30" s="1571">
        <f t="shared" si="11"/>
        <v>111</v>
      </c>
      <c r="R30" s="1572" t="s">
        <v>8</v>
      </c>
      <c r="S30" s="1573">
        <f t="shared" si="12"/>
        <v>100</v>
      </c>
      <c r="T30" s="1572" t="s">
        <v>8</v>
      </c>
      <c r="U30" s="1573">
        <f t="shared" si="13"/>
        <v>100</v>
      </c>
      <c r="V30" s="1572" t="s">
        <v>8</v>
      </c>
      <c r="W30" s="1573">
        <f t="shared" si="14"/>
        <v>100</v>
      </c>
      <c r="X30" s="1566"/>
      <c r="Y30" s="347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71"/>
      <c r="Q31" s="1571">
        <f t="shared" si="11"/>
        <v>111</v>
      </c>
      <c r="R31" s="1572" t="s">
        <v>8</v>
      </c>
      <c r="S31" s="1573">
        <f t="shared" si="12"/>
        <v>100</v>
      </c>
      <c r="T31" s="1572" t="s">
        <v>8</v>
      </c>
      <c r="U31" s="1573">
        <f t="shared" si="13"/>
        <v>100</v>
      </c>
      <c r="V31" s="1572" t="s">
        <v>8</v>
      </c>
      <c r="W31" s="1573">
        <f t="shared" si="14"/>
        <v>100</v>
      </c>
      <c r="X31" s="1566"/>
      <c r="Y31" s="3471"/>
      <c r="Z31" s="1574">
        <f t="shared" si="15"/>
        <v>111</v>
      </c>
      <c r="AA31" s="1575">
        <f t="shared" si="3"/>
        <v>1</v>
      </c>
      <c r="AB31" s="1575">
        <f t="shared" si="4"/>
        <v>1</v>
      </c>
      <c r="AC31" s="1575">
        <f t="shared" si="5"/>
        <v>1</v>
      </c>
    </row>
    <row r="32" spans="1:29" ht="15">
      <c r="A32" s="288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72" t="s">
        <v>550</v>
      </c>
      <c r="Q32" s="1571" t="str">
        <f t="shared" si="11"/>
        <v>商业类型</v>
      </c>
      <c r="R32" s="1572" t="s">
        <v>8</v>
      </c>
      <c r="S32" s="1573">
        <f t="shared" si="12"/>
        <v>100</v>
      </c>
      <c r="T32" s="1572" t="s">
        <v>8</v>
      </c>
      <c r="U32" s="1573">
        <f t="shared" si="13"/>
        <v>100</v>
      </c>
      <c r="V32" s="1572" t="s">
        <v>8</v>
      </c>
      <c r="W32" s="1573">
        <f t="shared" si="14"/>
        <v>100</v>
      </c>
      <c r="X32" s="1566"/>
      <c r="Y32" s="3473" t="s">
        <v>550</v>
      </c>
      <c r="Z32" s="1574" t="str">
        <f t="shared" si="15"/>
        <v>商业类型</v>
      </c>
      <c r="AA32" s="1575">
        <f t="shared" si="3"/>
        <v>1</v>
      </c>
      <c r="AB32" s="1575">
        <f t="shared" si="4"/>
        <v>1</v>
      </c>
      <c r="AC32" s="1575">
        <f t="shared" si="5"/>
        <v>1</v>
      </c>
    </row>
    <row r="33" spans="1:29" s="1337"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73"/>
      <c r="Q33" s="1604" t="str">
        <f t="shared" si="11"/>
        <v>项目建筑规模</v>
      </c>
      <c r="R33" s="1576" t="s">
        <v>8</v>
      </c>
      <c r="S33" s="1577" t="e">
        <f t="shared" si="12"/>
        <v>#N/A</v>
      </c>
      <c r="T33" s="1576" t="s">
        <v>8</v>
      </c>
      <c r="U33" s="1577" t="e">
        <f t="shared" si="13"/>
        <v>#N/A</v>
      </c>
      <c r="V33" s="1576" t="s">
        <v>8</v>
      </c>
      <c r="W33" s="1577" t="e">
        <f t="shared" si="14"/>
        <v>#N/A</v>
      </c>
      <c r="X33" s="1578"/>
      <c r="Y33" s="3473"/>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73"/>
      <c r="Q34" s="1571" t="str">
        <f t="shared" si="11"/>
        <v>建筑结构</v>
      </c>
      <c r="R34" s="1572" t="s">
        <v>8</v>
      </c>
      <c r="S34" s="1573">
        <f t="shared" si="12"/>
        <v>100</v>
      </c>
      <c r="T34" s="1572" t="s">
        <v>8</v>
      </c>
      <c r="U34" s="1573">
        <f t="shared" si="13"/>
        <v>100</v>
      </c>
      <c r="V34" s="1572" t="s">
        <v>8</v>
      </c>
      <c r="W34" s="1573">
        <f t="shared" si="14"/>
        <v>100</v>
      </c>
      <c r="X34" s="1566"/>
      <c r="Y34" s="3473"/>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73"/>
      <c r="Q35" s="1571" t="str">
        <f t="shared" si="11"/>
        <v>公共部分装修</v>
      </c>
      <c r="R35" s="1572" t="s">
        <v>8</v>
      </c>
      <c r="S35" s="1573">
        <f t="shared" si="12"/>
        <v>100</v>
      </c>
      <c r="T35" s="1572" t="s">
        <v>8</v>
      </c>
      <c r="U35" s="1573">
        <f t="shared" si="13"/>
        <v>100</v>
      </c>
      <c r="V35" s="1572" t="s">
        <v>8</v>
      </c>
      <c r="W35" s="1573">
        <f t="shared" si="14"/>
        <v>100</v>
      </c>
      <c r="X35" s="1566"/>
      <c r="Y35" s="3473"/>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73"/>
      <c r="Q36" s="1571" t="str">
        <f t="shared" si="11"/>
        <v>成新度</v>
      </c>
      <c r="R36" s="1572" t="s">
        <v>8</v>
      </c>
      <c r="S36" s="1573" t="e">
        <f t="shared" si="12"/>
        <v>#N/A</v>
      </c>
      <c r="T36" s="1572" t="s">
        <v>8</v>
      </c>
      <c r="U36" s="1573" t="e">
        <f t="shared" si="13"/>
        <v>#N/A</v>
      </c>
      <c r="V36" s="1572" t="s">
        <v>8</v>
      </c>
      <c r="W36" s="1573" t="e">
        <f t="shared" si="14"/>
        <v>#N/A</v>
      </c>
      <c r="X36" s="1566"/>
      <c r="Y36" s="3473"/>
      <c r="Z36" s="1574" t="str">
        <f t="shared" si="15"/>
        <v>成新度</v>
      </c>
      <c r="AA36" s="1575" t="e">
        <f t="shared" si="3"/>
        <v>#N/A</v>
      </c>
      <c r="AB36" s="1575" t="e">
        <f t="shared" si="4"/>
        <v>#N/A</v>
      </c>
      <c r="AC36" s="1575" t="e">
        <f t="shared" si="5"/>
        <v>#N/A</v>
      </c>
    </row>
    <row r="37" spans="1:29" s="1218" customFormat="1" ht="15">
      <c r="A37" s="600"/>
      <c r="B37" s="1894"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73"/>
      <c r="Q37" s="1149" t="str">
        <f t="shared" si="11"/>
        <v>市政基础设施</v>
      </c>
      <c r="R37" s="1567" t="s">
        <v>8</v>
      </c>
      <c r="S37" s="1568">
        <f t="shared" si="12"/>
        <v>100</v>
      </c>
      <c r="T37" s="1567" t="s">
        <v>8</v>
      </c>
      <c r="U37" s="1568">
        <f t="shared" si="13"/>
        <v>100</v>
      </c>
      <c r="V37" s="1567" t="s">
        <v>8</v>
      </c>
      <c r="W37" s="1568">
        <f t="shared" si="14"/>
        <v>100</v>
      </c>
      <c r="X37" s="1569"/>
      <c r="Y37" s="3473"/>
      <c r="Z37" s="1148"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73" t="s">
        <v>766</v>
      </c>
      <c r="Q38" s="1571" t="str">
        <f t="shared" si="11"/>
        <v>业态</v>
      </c>
      <c r="R38" s="1572" t="s">
        <v>8</v>
      </c>
      <c r="S38" s="1573">
        <f t="shared" si="12"/>
        <v>100</v>
      </c>
      <c r="T38" s="1572" t="s">
        <v>8</v>
      </c>
      <c r="U38" s="1573">
        <f t="shared" si="13"/>
        <v>100</v>
      </c>
      <c r="V38" s="1572" t="s">
        <v>8</v>
      </c>
      <c r="W38" s="1573">
        <f t="shared" si="14"/>
        <v>100</v>
      </c>
      <c r="X38" s="1566"/>
      <c r="Y38" s="3473"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73"/>
      <c r="Q39" s="1571" t="str">
        <f t="shared" si="11"/>
        <v>层高</v>
      </c>
      <c r="R39" s="1572" t="s">
        <v>8</v>
      </c>
      <c r="S39" s="1573">
        <f t="shared" si="12"/>
        <v>100</v>
      </c>
      <c r="T39" s="1572" t="s">
        <v>8</v>
      </c>
      <c r="U39" s="1573">
        <f t="shared" si="13"/>
        <v>100</v>
      </c>
      <c r="V39" s="1572" t="s">
        <v>8</v>
      </c>
      <c r="W39" s="1573">
        <f t="shared" si="14"/>
        <v>100</v>
      </c>
      <c r="X39" s="1566"/>
      <c r="Y39" s="3473"/>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73"/>
      <c r="Q40" s="1571" t="str">
        <f t="shared" si="11"/>
        <v>单套建筑面积</v>
      </c>
      <c r="R40" s="1572" t="s">
        <v>8</v>
      </c>
      <c r="S40" s="1573">
        <f t="shared" si="12"/>
        <v>100</v>
      </c>
      <c r="T40" s="1572" t="s">
        <v>8</v>
      </c>
      <c r="U40" s="1573">
        <f t="shared" si="13"/>
        <v>100</v>
      </c>
      <c r="V40" s="1572" t="s">
        <v>8</v>
      </c>
      <c r="W40" s="1573">
        <f t="shared" si="14"/>
        <v>100</v>
      </c>
      <c r="X40" s="1566"/>
      <c r="Y40" s="3473"/>
      <c r="Z40" s="1574" t="str">
        <f t="shared" si="15"/>
        <v>单套建筑面积</v>
      </c>
      <c r="AA40" s="1575">
        <f t="shared" si="3"/>
        <v>1</v>
      </c>
      <c r="AB40" s="1575">
        <f t="shared" si="4"/>
        <v>1</v>
      </c>
      <c r="AC40" s="1575">
        <f t="shared" si="5"/>
        <v>1</v>
      </c>
    </row>
    <row r="41" spans="1:29" s="1337"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73"/>
      <c r="Q41" s="1604" t="str">
        <f t="shared" si="11"/>
        <v>进深比</v>
      </c>
      <c r="R41" s="1576" t="s">
        <v>8</v>
      </c>
      <c r="S41" s="1577">
        <f t="shared" si="12"/>
        <v>100</v>
      </c>
      <c r="T41" s="1576" t="s">
        <v>8</v>
      </c>
      <c r="U41" s="1577">
        <f t="shared" si="13"/>
        <v>100</v>
      </c>
      <c r="V41" s="1576" t="s">
        <v>8</v>
      </c>
      <c r="W41" s="1577">
        <f t="shared" si="14"/>
        <v>100</v>
      </c>
      <c r="X41" s="1578"/>
      <c r="Y41" s="3473"/>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73"/>
      <c r="Q42" s="1571" t="str">
        <f t="shared" si="11"/>
        <v>内部装修</v>
      </c>
      <c r="R42" s="1572" t="s">
        <v>8</v>
      </c>
      <c r="S42" s="1573">
        <f t="shared" si="12"/>
        <v>100</v>
      </c>
      <c r="T42" s="1572" t="s">
        <v>8</v>
      </c>
      <c r="U42" s="1573">
        <f t="shared" si="13"/>
        <v>100</v>
      </c>
      <c r="V42" s="1572" t="s">
        <v>8</v>
      </c>
      <c r="W42" s="1573">
        <f t="shared" si="14"/>
        <v>100</v>
      </c>
      <c r="X42" s="1566"/>
      <c r="Y42" s="3473"/>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73"/>
      <c r="Q43" s="1571" t="str">
        <f t="shared" si="11"/>
        <v>内部装修维护情况</v>
      </c>
      <c r="R43" s="1572" t="s">
        <v>8</v>
      </c>
      <c r="S43" s="1573">
        <f t="shared" si="12"/>
        <v>100</v>
      </c>
      <c r="T43" s="1572" t="s">
        <v>8</v>
      </c>
      <c r="U43" s="1573">
        <f t="shared" si="13"/>
        <v>100</v>
      </c>
      <c r="V43" s="1572" t="s">
        <v>8</v>
      </c>
      <c r="W43" s="1573">
        <f t="shared" si="14"/>
        <v>100</v>
      </c>
      <c r="X43" s="1566"/>
      <c r="Y43" s="3473"/>
      <c r="Z43" s="1574" t="str">
        <f t="shared" si="15"/>
        <v>内部装修维护情况</v>
      </c>
      <c r="AA43" s="1575">
        <f t="shared" si="3"/>
        <v>1</v>
      </c>
      <c r="AB43" s="1575">
        <f t="shared" si="4"/>
        <v>1</v>
      </c>
      <c r="AC43" s="1575">
        <f t="shared" si="5"/>
        <v>1</v>
      </c>
    </row>
    <row r="44" spans="1:29" s="1218"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73"/>
      <c r="Q44" s="1149">
        <f t="shared" si="11"/>
        <v>111</v>
      </c>
      <c r="R44" s="1567" t="s">
        <v>8</v>
      </c>
      <c r="S44" s="1568">
        <f t="shared" si="12"/>
        <v>100</v>
      </c>
      <c r="T44" s="1567" t="s">
        <v>8</v>
      </c>
      <c r="U44" s="1568">
        <f t="shared" si="13"/>
        <v>100</v>
      </c>
      <c r="V44" s="1567" t="s">
        <v>8</v>
      </c>
      <c r="W44" s="1568">
        <f t="shared" si="14"/>
        <v>100</v>
      </c>
      <c r="X44" s="1569"/>
      <c r="Y44" s="3473"/>
      <c r="Z44" s="1148">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73"/>
      <c r="Q45" s="1571">
        <f t="shared" si="11"/>
        <v>111</v>
      </c>
      <c r="R45" s="1572" t="s">
        <v>8</v>
      </c>
      <c r="S45" s="1573">
        <f t="shared" si="12"/>
        <v>100</v>
      </c>
      <c r="T45" s="1572" t="s">
        <v>8</v>
      </c>
      <c r="U45" s="1573">
        <f t="shared" si="13"/>
        <v>100</v>
      </c>
      <c r="V45" s="1572" t="s">
        <v>8</v>
      </c>
      <c r="W45" s="1573">
        <f t="shared" si="14"/>
        <v>100</v>
      </c>
      <c r="X45" s="1566"/>
      <c r="Y45" s="347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51"/>
      <c r="Q46" s="1571">
        <f t="shared" si="11"/>
        <v>111</v>
      </c>
      <c r="R46" s="1572" t="s">
        <v>8</v>
      </c>
      <c r="S46" s="1573">
        <f t="shared" si="12"/>
        <v>100</v>
      </c>
      <c r="T46" s="1572" t="s">
        <v>8</v>
      </c>
      <c r="U46" s="1573">
        <f t="shared" si="13"/>
        <v>100</v>
      </c>
      <c r="V46" s="1572" t="s">
        <v>8</v>
      </c>
      <c r="W46" s="1573">
        <f t="shared" si="14"/>
        <v>100</v>
      </c>
      <c r="X46" s="1566"/>
      <c r="Y46" s="3551"/>
      <c r="Z46" s="1574">
        <f t="shared" si="15"/>
        <v>111</v>
      </c>
      <c r="AA46" s="1575">
        <f t="shared" si="3"/>
        <v>1</v>
      </c>
      <c r="AB46" s="1575">
        <f t="shared" si="4"/>
        <v>1</v>
      </c>
      <c r="AC46" s="1575">
        <f t="shared" si="5"/>
        <v>1</v>
      </c>
    </row>
    <row r="47" spans="1:29" ht="15">
      <c r="A47" s="607" t="s">
        <v>736</v>
      </c>
      <c r="B47" s="887"/>
      <c r="C47" s="2604" t="s">
        <v>1</v>
      </c>
      <c r="D47" s="2605"/>
      <c r="E47" s="2606"/>
      <c r="F47" s="2607"/>
      <c r="G47" s="2608"/>
      <c r="H47" s="2609"/>
      <c r="I47" s="2606"/>
      <c r="J47" s="2609"/>
      <c r="K47" s="1610"/>
      <c r="L47" s="2143"/>
      <c r="M47" s="2144"/>
      <c r="N47" s="2133"/>
      <c r="O47" s="2144"/>
      <c r="P47" s="3435" t="str">
        <f>A47</f>
        <v>成交单价（元/平方米）</v>
      </c>
      <c r="Q47" s="3435"/>
      <c r="R47" s="3550">
        <f>E47</f>
        <v>0</v>
      </c>
      <c r="S47" s="3550"/>
      <c r="T47" s="3550">
        <f>G47</f>
        <v>0</v>
      </c>
      <c r="U47" s="3550"/>
      <c r="V47" s="3550">
        <f>I47</f>
        <v>0</v>
      </c>
      <c r="W47" s="3550"/>
      <c r="X47" s="1558"/>
      <c r="Y47" s="1580"/>
      <c r="Z47" s="1558"/>
      <c r="AA47" s="1558"/>
      <c r="AB47" s="1558"/>
      <c r="AC47" s="1558"/>
    </row>
    <row r="48" spans="1:29" ht="15.75" thickBot="1">
      <c r="A48" s="615" t="s">
        <v>2759</v>
      </c>
      <c r="B48" s="888"/>
      <c r="C48" s="2610" t="e">
        <f>R49</f>
        <v>#DIV/0!</v>
      </c>
      <c r="D48" s="2611"/>
      <c r="E48" s="2612" t="e">
        <f>R48</f>
        <v>#DIV/0!</v>
      </c>
      <c r="F48" s="2612"/>
      <c r="G48" s="2610" t="e">
        <f>T48</f>
        <v>#DIV/0!</v>
      </c>
      <c r="H48" s="2611"/>
      <c r="I48" s="2612" t="e">
        <f>V48</f>
        <v>#DIV/0!</v>
      </c>
      <c r="J48" s="2611"/>
      <c r="K48" s="1611"/>
      <c r="L48" s="2143"/>
      <c r="M48" s="2144"/>
      <c r="N48" s="2133"/>
      <c r="O48" s="2144"/>
      <c r="P48" s="3435" t="str">
        <f>A48</f>
        <v>比较价格（元/平方米）</v>
      </c>
      <c r="Q48" s="3435"/>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1558"/>
      <c r="Y48" s="1558"/>
      <c r="Z48" s="1558"/>
      <c r="AA48" s="1558"/>
      <c r="AB48" s="1558"/>
      <c r="AC48" s="1558"/>
    </row>
    <row r="49" spans="1:29" ht="15.75" thickBot="1">
      <c r="A49" s="621" t="s">
        <v>2934</v>
      </c>
      <c r="B49" s="622"/>
      <c r="C49" s="2613" t="e">
        <f>R49</f>
        <v>#DIV/0!</v>
      </c>
      <c r="D49" s="2613"/>
      <c r="E49" s="2613"/>
      <c r="F49" s="2613"/>
      <c r="G49" s="2613"/>
      <c r="H49" s="2613"/>
      <c r="I49" s="2613"/>
      <c r="J49" s="2613"/>
      <c r="K49" s="1612"/>
      <c r="L49" s="2143"/>
      <c r="M49" s="2144"/>
      <c r="N49" s="2133"/>
      <c r="O49" s="2144"/>
      <c r="P49" s="3432" t="str">
        <f>A49</f>
        <v>估价对象XX用房的比较价格（楼面单价，元/平方米）</v>
      </c>
      <c r="Q49" s="3433"/>
      <c r="R49" s="3549" t="e">
        <f>IF(F1="售价",ROUND(AVERAGE(R48:V48),0),ROUND(AVERAGE(R48:V48),1))</f>
        <v>#DIV/0!</v>
      </c>
      <c r="S49" s="3549"/>
      <c r="T49" s="3549"/>
      <c r="U49" s="3549"/>
      <c r="V49" s="3549"/>
      <c r="W49" s="354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5" t="s">
        <v>529</v>
      </c>
      <c r="B58" s="646"/>
      <c r="C58" s="2778"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9"/>
      <c r="Q58" s="2160"/>
      <c r="R58" s="2160"/>
      <c r="S58" s="2160"/>
      <c r="T58" s="2160"/>
      <c r="U58" s="2160"/>
      <c r="V58" s="2160"/>
      <c r="W58" s="2160"/>
      <c r="X58" s="2160"/>
      <c r="Y58" s="2160"/>
      <c r="Z58" s="2160"/>
      <c r="AA58" s="2160"/>
      <c r="AB58" s="2160"/>
      <c r="AC58" s="2160"/>
    </row>
    <row r="59" spans="1:29" s="1218"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8"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8"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3"/>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4" t="s">
        <v>2558</v>
      </c>
      <c r="C82" s="2575" t="s">
        <v>2559</v>
      </c>
      <c r="D82" s="2575" t="s">
        <v>2560</v>
      </c>
      <c r="E82" s="2575" t="s">
        <v>2561</v>
      </c>
      <c r="F82" s="2575" t="s">
        <v>2562</v>
      </c>
      <c r="G82" s="2575" t="s">
        <v>2563</v>
      </c>
      <c r="H82" s="674"/>
      <c r="I82" s="674"/>
      <c r="J82" s="674"/>
      <c r="K82" s="674"/>
      <c r="L82" s="674"/>
      <c r="M82" s="2578"/>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8"/>
      <c r="B112" s="1895" t="s">
        <v>2556</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777</v>
      </c>
      <c r="C1" s="504" t="s">
        <v>720</v>
      </c>
      <c r="D1" s="849"/>
      <c r="E1" s="506"/>
      <c r="F1" s="2783"/>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4"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4"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41" t="s">
        <v>522</v>
      </c>
      <c r="D4" s="3442"/>
      <c r="E4" s="3476" t="s">
        <v>523</v>
      </c>
      <c r="F4" s="3477"/>
      <c r="G4" s="3441" t="s">
        <v>524</v>
      </c>
      <c r="H4" s="3442"/>
      <c r="I4" s="3441" t="s">
        <v>525</v>
      </c>
      <c r="J4" s="3442"/>
      <c r="K4" s="514" t="s">
        <v>526</v>
      </c>
      <c r="L4" s="2132"/>
      <c r="M4" s="2133"/>
      <c r="N4" s="2133"/>
      <c r="O4" s="2133"/>
      <c r="P4" s="3557" t="s">
        <v>527</v>
      </c>
      <c r="Q4" s="3444"/>
      <c r="R4" s="3449" t="s">
        <v>523</v>
      </c>
      <c r="S4" s="3450"/>
      <c r="T4" s="3449" t="s">
        <v>524</v>
      </c>
      <c r="U4" s="3450"/>
      <c r="V4" s="3436" t="s">
        <v>525</v>
      </c>
      <c r="W4" s="3436"/>
      <c r="X4" s="1566"/>
      <c r="Y4" s="3449" t="s">
        <v>527</v>
      </c>
      <c r="Z4" s="3450"/>
      <c r="AA4" s="3438" t="s">
        <v>523</v>
      </c>
      <c r="AB4" s="3438" t="s">
        <v>524</v>
      </c>
      <c r="AC4" s="3438" t="s">
        <v>525</v>
      </c>
    </row>
    <row r="5" spans="1:29" ht="15">
      <c r="A5" s="515"/>
      <c r="B5" s="516"/>
      <c r="C5" s="3457" t="s">
        <v>2928</v>
      </c>
      <c r="D5" s="3458"/>
      <c r="E5" s="3478" t="s">
        <v>2929</v>
      </c>
      <c r="F5" s="3479"/>
      <c r="G5" s="3457" t="s">
        <v>2930</v>
      </c>
      <c r="H5" s="3458"/>
      <c r="I5" s="3457" t="s">
        <v>2931</v>
      </c>
      <c r="J5" s="3458"/>
      <c r="K5" s="514"/>
      <c r="L5" s="2132"/>
      <c r="M5" s="2133"/>
      <c r="N5" s="2133"/>
      <c r="O5" s="2133"/>
      <c r="P5" s="3558"/>
      <c r="Q5" s="3446"/>
      <c r="R5" s="3451"/>
      <c r="S5" s="3452"/>
      <c r="T5" s="3451"/>
      <c r="U5" s="3452"/>
      <c r="V5" s="3436"/>
      <c r="W5" s="3436"/>
      <c r="X5" s="1566"/>
      <c r="Y5" s="3451"/>
      <c r="Z5" s="3452"/>
      <c r="AA5" s="3439"/>
      <c r="AB5" s="3439"/>
      <c r="AC5" s="3439"/>
    </row>
    <row r="6" spans="1:29" ht="15.75" thickBot="1">
      <c r="A6" s="517"/>
      <c r="B6" s="518"/>
      <c r="C6" s="3455" t="s">
        <v>2932</v>
      </c>
      <c r="D6" s="3456"/>
      <c r="E6" s="3474" t="s">
        <v>2932</v>
      </c>
      <c r="F6" s="3475"/>
      <c r="G6" s="3455" t="s">
        <v>2932</v>
      </c>
      <c r="H6" s="3456"/>
      <c r="I6" s="3455" t="s">
        <v>2932</v>
      </c>
      <c r="J6" s="3456"/>
      <c r="K6" s="514" t="s">
        <v>528</v>
      </c>
      <c r="L6" s="2132"/>
      <c r="M6" s="2133"/>
      <c r="N6" s="2133"/>
      <c r="O6" s="2133"/>
      <c r="P6" s="3559"/>
      <c r="Q6" s="3448"/>
      <c r="R6" s="3451"/>
      <c r="S6" s="3452"/>
      <c r="T6" s="3453"/>
      <c r="U6" s="3454"/>
      <c r="V6" s="3436"/>
      <c r="W6" s="3436"/>
      <c r="X6" s="1566"/>
      <c r="Y6" s="3453"/>
      <c r="Z6" s="3454"/>
      <c r="AA6" s="3440"/>
      <c r="AB6" s="3440"/>
      <c r="AC6" s="3440"/>
    </row>
    <row r="7" spans="1:29" s="1218" customFormat="1" ht="15.75" thickBot="1">
      <c r="A7" s="2888"/>
      <c r="B7" s="2895" t="s">
        <v>529</v>
      </c>
      <c r="C7" s="519">
        <f>'数据-取费表'!B2</f>
        <v>43510</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69" t="s">
        <v>530</v>
      </c>
      <c r="Q7" s="3469"/>
      <c r="R7" s="1567" t="s">
        <v>8</v>
      </c>
      <c r="S7" s="1568">
        <f t="shared" ref="S7:S15" si="0">F7</f>
        <v>0</v>
      </c>
      <c r="T7" s="1567" t="s">
        <v>8</v>
      </c>
      <c r="U7" s="1568">
        <f t="shared" ref="U7:U15" si="1">H7</f>
        <v>0</v>
      </c>
      <c r="V7" s="1567" t="s">
        <v>8</v>
      </c>
      <c r="W7" s="1568">
        <f t="shared" ref="W7:W15" si="2">J7</f>
        <v>0</v>
      </c>
      <c r="X7" s="1569"/>
      <c r="Y7" s="3467" t="s">
        <v>530</v>
      </c>
      <c r="Z7" s="3468"/>
      <c r="AA7" s="1570" t="e">
        <f>D7/F7</f>
        <v>#DIV/0!</v>
      </c>
      <c r="AB7" s="1570" t="e">
        <f>D7/H7</f>
        <v>#DIV/0!</v>
      </c>
      <c r="AC7" s="1570" t="e">
        <f>D7/J7</f>
        <v>#DIV/0!</v>
      </c>
    </row>
    <row r="8" spans="1:29" s="1218" customFormat="1" ht="15.75" thickBot="1">
      <c r="A8" s="2889"/>
      <c r="B8" s="2896"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69" t="s">
        <v>533</v>
      </c>
      <c r="Q8" s="3468"/>
      <c r="R8" s="1567" t="s">
        <v>8</v>
      </c>
      <c r="S8" s="1568">
        <f t="shared" si="0"/>
        <v>0</v>
      </c>
      <c r="T8" s="1567" t="s">
        <v>8</v>
      </c>
      <c r="U8" s="1568">
        <f t="shared" si="1"/>
        <v>0</v>
      </c>
      <c r="V8" s="1567" t="s">
        <v>8</v>
      </c>
      <c r="W8" s="1568">
        <f t="shared" si="2"/>
        <v>0</v>
      </c>
      <c r="X8" s="1569"/>
      <c r="Y8" s="3467" t="s">
        <v>533</v>
      </c>
      <c r="Z8" s="3468"/>
      <c r="AA8" s="1570" t="e">
        <f t="shared" ref="AA8:AA47" si="3">D8/F8</f>
        <v>#DIV/0!</v>
      </c>
      <c r="AB8" s="1570" t="e">
        <f t="shared" ref="AB8:AB47" si="4">D8/H8</f>
        <v>#DIV/0!</v>
      </c>
      <c r="AC8" s="1570" t="e">
        <f t="shared" ref="AC8:AC47" si="5">D8/J8</f>
        <v>#DIV/0!</v>
      </c>
    </row>
    <row r="9" spans="1:29" s="1218" customFormat="1" ht="15">
      <c r="A9" s="2890"/>
      <c r="B9" s="2897"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35" t="s">
        <v>535</v>
      </c>
      <c r="Q9" s="1149" t="str">
        <f t="shared" ref="Q9:Q15" si="6">B9</f>
        <v>用途</v>
      </c>
      <c r="R9" s="1567" t="s">
        <v>8</v>
      </c>
      <c r="S9" s="1568">
        <f t="shared" si="0"/>
        <v>100</v>
      </c>
      <c r="T9" s="1567" t="s">
        <v>8</v>
      </c>
      <c r="U9" s="1568">
        <f t="shared" si="1"/>
        <v>100</v>
      </c>
      <c r="V9" s="1567" t="s">
        <v>8</v>
      </c>
      <c r="W9" s="1568">
        <f t="shared" si="2"/>
        <v>100</v>
      </c>
      <c r="X9" s="1569"/>
      <c r="Y9" s="3375" t="s">
        <v>536</v>
      </c>
      <c r="Z9" s="1148" t="str">
        <f t="shared" ref="Z9:Z15" si="7">Q9</f>
        <v>用途</v>
      </c>
      <c r="AA9" s="1570">
        <f t="shared" si="3"/>
        <v>1</v>
      </c>
      <c r="AB9" s="1570">
        <f t="shared" si="4"/>
        <v>1</v>
      </c>
      <c r="AC9" s="1570">
        <f t="shared" si="5"/>
        <v>1</v>
      </c>
    </row>
    <row r="10" spans="1:29" s="1336" customFormat="1" ht="27">
      <c r="A10" s="2891"/>
      <c r="B10" s="2896"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435"/>
      <c r="Q10" s="1149" t="str">
        <f t="shared" si="6"/>
        <v>土地使用年限（年）</v>
      </c>
      <c r="R10" s="1567" t="s">
        <v>8</v>
      </c>
      <c r="S10" s="1568">
        <f t="shared" si="0"/>
        <v>100</v>
      </c>
      <c r="T10" s="1567" t="s">
        <v>8</v>
      </c>
      <c r="U10" s="1568">
        <f t="shared" si="1"/>
        <v>100</v>
      </c>
      <c r="V10" s="1567" t="s">
        <v>8</v>
      </c>
      <c r="W10" s="1568">
        <f t="shared" si="2"/>
        <v>100</v>
      </c>
      <c r="X10" s="1569"/>
      <c r="Y10" s="3375"/>
      <c r="Z10" s="1148" t="str">
        <f t="shared" si="7"/>
        <v>土地使用年限（年）</v>
      </c>
      <c r="AA10" s="1570">
        <f t="shared" si="3"/>
        <v>1</v>
      </c>
      <c r="AB10" s="1570">
        <f t="shared" si="4"/>
        <v>1</v>
      </c>
      <c r="AC10" s="1570">
        <f t="shared" si="5"/>
        <v>1</v>
      </c>
    </row>
    <row r="11" spans="1:29" ht="15">
      <c r="A11" s="2892"/>
      <c r="B11" s="289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435"/>
      <c r="Q11" s="1149" t="str">
        <f t="shared" si="6"/>
        <v>容积率</v>
      </c>
      <c r="R11" s="1567" t="s">
        <v>8</v>
      </c>
      <c r="S11" s="1568" t="e">
        <f t="shared" si="0"/>
        <v>#N/A</v>
      </c>
      <c r="T11" s="1567" t="s">
        <v>8</v>
      </c>
      <c r="U11" s="1568" t="e">
        <f t="shared" si="1"/>
        <v>#N/A</v>
      </c>
      <c r="V11" s="1567" t="s">
        <v>8</v>
      </c>
      <c r="W11" s="1568" t="e">
        <f t="shared" si="2"/>
        <v>#N/A</v>
      </c>
      <c r="X11" s="1569"/>
      <c r="Y11" s="3375"/>
      <c r="Z11" s="1148" t="str">
        <f t="shared" si="7"/>
        <v>容积率</v>
      </c>
      <c r="AA11" s="1570" t="e">
        <f t="shared" si="3"/>
        <v>#N/A</v>
      </c>
      <c r="AB11" s="1570" t="e">
        <f t="shared" si="4"/>
        <v>#N/A</v>
      </c>
      <c r="AC11" s="1570" t="e">
        <f t="shared" si="5"/>
        <v>#N/A</v>
      </c>
    </row>
    <row r="12" spans="1:29" s="1218" customFormat="1" ht="15">
      <c r="A12" s="2893"/>
      <c r="B12" s="2899">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435"/>
      <c r="Q12" s="1149">
        <f t="shared" si="6"/>
        <v>111</v>
      </c>
      <c r="R12" s="1567" t="s">
        <v>8</v>
      </c>
      <c r="S12" s="1568">
        <f t="shared" si="0"/>
        <v>100</v>
      </c>
      <c r="T12" s="1567" t="s">
        <v>8</v>
      </c>
      <c r="U12" s="1568">
        <f t="shared" si="1"/>
        <v>100</v>
      </c>
      <c r="V12" s="1567" t="s">
        <v>8</v>
      </c>
      <c r="W12" s="1568">
        <f t="shared" si="2"/>
        <v>100</v>
      </c>
      <c r="X12" s="1569"/>
      <c r="Y12" s="3375"/>
      <c r="Z12" s="1148">
        <f t="shared" si="7"/>
        <v>111</v>
      </c>
      <c r="AA12" s="1570">
        <f>D12/F12</f>
        <v>1</v>
      </c>
      <c r="AB12" s="1570">
        <f>D12/H12</f>
        <v>1</v>
      </c>
      <c r="AC12" s="1570">
        <f>D12/J12</f>
        <v>1</v>
      </c>
    </row>
    <row r="13" spans="1:29" ht="15">
      <c r="A13" s="2893"/>
      <c r="B13" s="2899">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435"/>
      <c r="Q13" s="1149">
        <f t="shared" si="6"/>
        <v>111</v>
      </c>
      <c r="R13" s="1567" t="s">
        <v>8</v>
      </c>
      <c r="S13" s="1568">
        <f t="shared" si="0"/>
        <v>100</v>
      </c>
      <c r="T13" s="1567" t="s">
        <v>8</v>
      </c>
      <c r="U13" s="1568">
        <f t="shared" si="1"/>
        <v>100</v>
      </c>
      <c r="V13" s="1567" t="s">
        <v>8</v>
      </c>
      <c r="W13" s="1568">
        <f t="shared" si="2"/>
        <v>100</v>
      </c>
      <c r="X13" s="1569"/>
      <c r="Y13" s="3375"/>
      <c r="Z13" s="1148">
        <f t="shared" si="7"/>
        <v>111</v>
      </c>
      <c r="AA13" s="1570">
        <f t="shared" si="3"/>
        <v>1</v>
      </c>
      <c r="AB13" s="1570">
        <f t="shared" si="4"/>
        <v>1</v>
      </c>
      <c r="AC13" s="1570">
        <f t="shared" si="5"/>
        <v>1</v>
      </c>
    </row>
    <row r="14" spans="1:29" ht="15.75" thickBot="1">
      <c r="A14" s="2894"/>
      <c r="B14" s="2900">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435"/>
      <c r="Q14" s="1149">
        <f t="shared" si="6"/>
        <v>111</v>
      </c>
      <c r="R14" s="1567" t="s">
        <v>8</v>
      </c>
      <c r="S14" s="1568">
        <f t="shared" si="0"/>
        <v>100</v>
      </c>
      <c r="T14" s="1567" t="s">
        <v>8</v>
      </c>
      <c r="U14" s="1568">
        <f t="shared" si="1"/>
        <v>100</v>
      </c>
      <c r="V14" s="1567" t="s">
        <v>8</v>
      </c>
      <c r="W14" s="1568">
        <f t="shared" si="2"/>
        <v>100</v>
      </c>
      <c r="X14" s="1569"/>
      <c r="Y14" s="3375"/>
      <c r="Z14" s="1148">
        <f t="shared" si="7"/>
        <v>111</v>
      </c>
      <c r="AA14" s="1570">
        <f t="shared" si="3"/>
        <v>1</v>
      </c>
      <c r="AB14" s="1570">
        <f t="shared" si="4"/>
        <v>1</v>
      </c>
      <c r="AC14" s="1570">
        <f t="shared" si="5"/>
        <v>1</v>
      </c>
    </row>
    <row r="15" spans="1:29" ht="71.25">
      <c r="A15" s="288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70" t="s">
        <v>540</v>
      </c>
      <c r="Q15" s="1571" t="str">
        <f t="shared" si="6"/>
        <v>办公集聚程度</v>
      </c>
      <c r="R15" s="1572" t="s">
        <v>8</v>
      </c>
      <c r="S15" s="1573">
        <f t="shared" si="0"/>
        <v>100</v>
      </c>
      <c r="T15" s="1572" t="s">
        <v>8</v>
      </c>
      <c r="U15" s="1573">
        <f t="shared" si="1"/>
        <v>100</v>
      </c>
      <c r="V15" s="1572" t="s">
        <v>8</v>
      </c>
      <c r="W15" s="1573">
        <f t="shared" si="2"/>
        <v>100</v>
      </c>
      <c r="X15" s="1566"/>
      <c r="Y15" s="3470"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1"/>
      <c r="M16" s="2133"/>
      <c r="N16" s="2133"/>
      <c r="O16" s="2133"/>
      <c r="P16" s="3471"/>
      <c r="Q16" s="1571"/>
      <c r="R16" s="1572"/>
      <c r="S16" s="1573"/>
      <c r="T16" s="1572"/>
      <c r="U16" s="1573"/>
      <c r="V16" s="1572"/>
      <c r="W16" s="1573"/>
      <c r="X16" s="1566"/>
      <c r="Y16" s="3471"/>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71"/>
      <c r="Q17" s="1571" t="str">
        <f>B17</f>
        <v>交通便捷度</v>
      </c>
      <c r="R17" s="1572" t="s">
        <v>8</v>
      </c>
      <c r="S17" s="1573">
        <f>F17</f>
        <v>100</v>
      </c>
      <c r="T17" s="1572" t="s">
        <v>8</v>
      </c>
      <c r="U17" s="1573">
        <f>H17</f>
        <v>100</v>
      </c>
      <c r="V17" s="1572" t="s">
        <v>8</v>
      </c>
      <c r="W17" s="1573">
        <f>J17</f>
        <v>100</v>
      </c>
      <c r="X17" s="1566"/>
      <c r="Y17" s="347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1"/>
      <c r="M18" s="2133"/>
      <c r="N18" s="2133"/>
      <c r="O18" s="2133"/>
      <c r="P18" s="3471"/>
      <c r="Q18" s="1571"/>
      <c r="R18" s="1572"/>
      <c r="S18" s="1573"/>
      <c r="T18" s="1572"/>
      <c r="U18" s="1573"/>
      <c r="V18" s="1572"/>
      <c r="W18" s="1573"/>
      <c r="X18" s="1566"/>
      <c r="Y18" s="3471"/>
      <c r="Z18" s="1574"/>
      <c r="AA18" s="1575">
        <v>1</v>
      </c>
      <c r="AB18" s="1575">
        <v>1</v>
      </c>
      <c r="AC18" s="1575">
        <v>1</v>
      </c>
    </row>
    <row r="19" spans="1:29" ht="42.75">
      <c r="A19" s="532"/>
      <c r="B19" s="2580"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71"/>
      <c r="Q19" s="1571" t="str">
        <f>B19</f>
        <v>公共配套设施</v>
      </c>
      <c r="R19" s="1572" t="s">
        <v>8</v>
      </c>
      <c r="S19" s="1573">
        <f>F19</f>
        <v>100</v>
      </c>
      <c r="T19" s="1572" t="s">
        <v>8</v>
      </c>
      <c r="U19" s="1573">
        <f>H19</f>
        <v>100</v>
      </c>
      <c r="V19" s="1572" t="s">
        <v>8</v>
      </c>
      <c r="W19" s="1573">
        <f>J19</f>
        <v>100</v>
      </c>
      <c r="X19" s="1566"/>
      <c r="Y19" s="347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1"/>
      <c r="M20" s="2133"/>
      <c r="N20" s="2133"/>
      <c r="O20" s="2133"/>
      <c r="P20" s="3471"/>
      <c r="Q20" s="1571"/>
      <c r="R20" s="1572"/>
      <c r="S20" s="1573"/>
      <c r="T20" s="1572"/>
      <c r="U20" s="1573"/>
      <c r="V20" s="1572"/>
      <c r="W20" s="1573"/>
      <c r="X20" s="1566"/>
      <c r="Y20" s="3471"/>
      <c r="Z20" s="1574"/>
      <c r="AA20" s="1575">
        <v>1</v>
      </c>
      <c r="AB20" s="1575">
        <v>1</v>
      </c>
      <c r="AC20" s="1575">
        <v>1</v>
      </c>
    </row>
    <row r="21" spans="1:29" ht="28.5">
      <c r="A21" s="532"/>
      <c r="B21" s="2568"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71"/>
      <c r="Q21" s="2556" t="str">
        <f>B21</f>
        <v>基础设施水平</v>
      </c>
      <c r="R21" s="1572" t="s">
        <v>8</v>
      </c>
      <c r="S21" s="1573">
        <f>F21</f>
        <v>100</v>
      </c>
      <c r="T21" s="1572" t="s">
        <v>8</v>
      </c>
      <c r="U21" s="1573">
        <f>H21</f>
        <v>100</v>
      </c>
      <c r="V21" s="1572" t="s">
        <v>8</v>
      </c>
      <c r="W21" s="1573">
        <f>J21</f>
        <v>100</v>
      </c>
      <c r="X21" s="2558"/>
      <c r="Y21" s="3471"/>
      <c r="Z21" s="2557"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79"/>
      <c r="L22" s="2141"/>
      <c r="M22" s="2133"/>
      <c r="N22" s="2133"/>
      <c r="O22" s="2133"/>
      <c r="P22" s="3471"/>
      <c r="Q22" s="2556"/>
      <c r="R22" s="1572"/>
      <c r="S22" s="1573"/>
      <c r="T22" s="1572"/>
      <c r="U22" s="1573"/>
      <c r="V22" s="1572"/>
      <c r="W22" s="1573"/>
      <c r="X22" s="2558"/>
      <c r="Y22" s="3471"/>
      <c r="Z22" s="2557"/>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71"/>
      <c r="Q23" s="1571" t="str">
        <f>B23</f>
        <v>环境质量</v>
      </c>
      <c r="R23" s="1572" t="s">
        <v>8</v>
      </c>
      <c r="S23" s="1573">
        <f>F23</f>
        <v>100</v>
      </c>
      <c r="T23" s="1572" t="s">
        <v>8</v>
      </c>
      <c r="U23" s="1573">
        <f>H23</f>
        <v>100</v>
      </c>
      <c r="V23" s="1572" t="s">
        <v>8</v>
      </c>
      <c r="W23" s="1573">
        <f>J23</f>
        <v>100</v>
      </c>
      <c r="X23" s="1566"/>
      <c r="Y23" s="347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1"/>
      <c r="M24" s="2133"/>
      <c r="N24" s="2133"/>
      <c r="O24" s="2133"/>
      <c r="P24" s="3471"/>
      <c r="Q24" s="1571"/>
      <c r="R24" s="1572"/>
      <c r="S24" s="1573"/>
      <c r="T24" s="1572"/>
      <c r="U24" s="1573"/>
      <c r="V24" s="1572"/>
      <c r="W24" s="1573"/>
      <c r="X24" s="1566"/>
      <c r="Y24" s="3471"/>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71"/>
      <c r="Q25" s="1571" t="str">
        <f>B25</f>
        <v>毗邻道路的类型与等级</v>
      </c>
      <c r="R25" s="1572" t="s">
        <v>8</v>
      </c>
      <c r="S25" s="1573">
        <f>F25</f>
        <v>100</v>
      </c>
      <c r="T25" s="1572" t="s">
        <v>8</v>
      </c>
      <c r="U25" s="1573">
        <f>H25</f>
        <v>100</v>
      </c>
      <c r="V25" s="1572" t="s">
        <v>8</v>
      </c>
      <c r="W25" s="1573">
        <f>J25</f>
        <v>100</v>
      </c>
      <c r="X25" s="1566"/>
      <c r="Y25" s="347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1"/>
      <c r="M26" s="2133"/>
      <c r="N26" s="2133"/>
      <c r="O26" s="2133"/>
      <c r="P26" s="3471"/>
      <c r="Q26" s="1571"/>
      <c r="R26" s="1572"/>
      <c r="S26" s="1573"/>
      <c r="T26" s="1572"/>
      <c r="U26" s="1573"/>
      <c r="V26" s="1572"/>
      <c r="W26" s="1573"/>
      <c r="X26" s="1566"/>
      <c r="Y26" s="3471"/>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71"/>
      <c r="Q27" s="1571" t="str">
        <f t="shared" ref="Q27:Q47" si="11">B27</f>
        <v>楼层</v>
      </c>
      <c r="R27" s="1572" t="s">
        <v>8</v>
      </c>
      <c r="S27" s="1573">
        <f>F27</f>
        <v>100</v>
      </c>
      <c r="T27" s="1572" t="s">
        <v>8</v>
      </c>
      <c r="U27" s="1573">
        <f>H27</f>
        <v>100</v>
      </c>
      <c r="V27" s="1572" t="s">
        <v>8</v>
      </c>
      <c r="W27" s="1573">
        <f>J27</f>
        <v>100</v>
      </c>
      <c r="X27" s="1566"/>
      <c r="Y27" s="3471"/>
      <c r="Z27" s="1574" t="str">
        <f>Q27</f>
        <v>楼层</v>
      </c>
      <c r="AA27" s="1575">
        <f t="shared" si="3"/>
        <v>1</v>
      </c>
      <c r="AB27" s="1575">
        <f t="shared" si="4"/>
        <v>1</v>
      </c>
      <c r="AC27" s="1575">
        <f t="shared" si="5"/>
        <v>1</v>
      </c>
    </row>
    <row r="28" spans="1:29" s="1218"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71"/>
      <c r="Q28" s="1149" t="str">
        <f t="shared" si="11"/>
        <v>朝向</v>
      </c>
      <c r="R28" s="1567" t="s">
        <v>8</v>
      </c>
      <c r="S28" s="1568">
        <f>F28</f>
        <v>100</v>
      </c>
      <c r="T28" s="1567" t="s">
        <v>8</v>
      </c>
      <c r="U28" s="1568">
        <f>H28</f>
        <v>100</v>
      </c>
      <c r="V28" s="1567" t="s">
        <v>8</v>
      </c>
      <c r="W28" s="1568">
        <f>J28</f>
        <v>100</v>
      </c>
      <c r="X28" s="1569"/>
      <c r="Y28" s="3471"/>
      <c r="Z28" s="1148"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71"/>
      <c r="Q29" s="1571">
        <f t="shared" si="11"/>
        <v>111</v>
      </c>
      <c r="R29" s="1572" t="s">
        <v>8</v>
      </c>
      <c r="S29" s="1573">
        <f t="shared" ref="S29:S47" si="12">F29</f>
        <v>100</v>
      </c>
      <c r="T29" s="1572" t="s">
        <v>8</v>
      </c>
      <c r="U29" s="1573">
        <f t="shared" ref="U29:U47" si="13">H29</f>
        <v>100</v>
      </c>
      <c r="V29" s="1572" t="s">
        <v>8</v>
      </c>
      <c r="W29" s="1573">
        <f t="shared" ref="W29:W47" si="14">J29</f>
        <v>100</v>
      </c>
      <c r="X29" s="1566"/>
      <c r="Y29" s="347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71"/>
      <c r="Q30" s="1571">
        <f t="shared" si="11"/>
        <v>111</v>
      </c>
      <c r="R30" s="1572" t="s">
        <v>8</v>
      </c>
      <c r="S30" s="1573">
        <f t="shared" si="12"/>
        <v>100</v>
      </c>
      <c r="T30" s="1572" t="s">
        <v>8</v>
      </c>
      <c r="U30" s="1573">
        <f t="shared" si="13"/>
        <v>100</v>
      </c>
      <c r="V30" s="1572" t="s">
        <v>8</v>
      </c>
      <c r="W30" s="1573">
        <f t="shared" si="14"/>
        <v>100</v>
      </c>
      <c r="X30" s="1566"/>
      <c r="Y30" s="347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71"/>
      <c r="Q31" s="1571">
        <f t="shared" si="11"/>
        <v>111</v>
      </c>
      <c r="R31" s="1572" t="s">
        <v>8</v>
      </c>
      <c r="S31" s="1573">
        <f t="shared" si="12"/>
        <v>100</v>
      </c>
      <c r="T31" s="1572" t="s">
        <v>8</v>
      </c>
      <c r="U31" s="1573">
        <f t="shared" si="13"/>
        <v>100</v>
      </c>
      <c r="V31" s="1572" t="s">
        <v>8</v>
      </c>
      <c r="W31" s="1573">
        <f t="shared" si="14"/>
        <v>100</v>
      </c>
      <c r="X31" s="1566"/>
      <c r="Y31" s="347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71"/>
      <c r="Q32" s="1571">
        <f t="shared" si="11"/>
        <v>111</v>
      </c>
      <c r="R32" s="1572" t="s">
        <v>8</v>
      </c>
      <c r="S32" s="1573">
        <f t="shared" si="12"/>
        <v>100</v>
      </c>
      <c r="T32" s="1572" t="s">
        <v>8</v>
      </c>
      <c r="U32" s="1573">
        <f t="shared" si="13"/>
        <v>100</v>
      </c>
      <c r="V32" s="1572" t="s">
        <v>8</v>
      </c>
      <c r="W32" s="1573">
        <f t="shared" si="14"/>
        <v>100</v>
      </c>
      <c r="X32" s="1566"/>
      <c r="Y32" s="3471"/>
      <c r="Z32" s="1574">
        <f t="shared" si="15"/>
        <v>111</v>
      </c>
      <c r="AA32" s="1575">
        <f t="shared" si="3"/>
        <v>1</v>
      </c>
      <c r="AB32" s="1575">
        <f t="shared" si="4"/>
        <v>1</v>
      </c>
      <c r="AC32" s="1575">
        <f t="shared" si="5"/>
        <v>1</v>
      </c>
    </row>
    <row r="33" spans="1:29" ht="15">
      <c r="A33" s="288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72" t="s">
        <v>550</v>
      </c>
      <c r="Q33" s="1571" t="str">
        <f t="shared" si="11"/>
        <v>建筑类型</v>
      </c>
      <c r="R33" s="1572" t="s">
        <v>8</v>
      </c>
      <c r="S33" s="1573">
        <f t="shared" si="12"/>
        <v>100</v>
      </c>
      <c r="T33" s="1572" t="s">
        <v>8</v>
      </c>
      <c r="U33" s="1573">
        <f t="shared" si="13"/>
        <v>100</v>
      </c>
      <c r="V33" s="1572" t="s">
        <v>8</v>
      </c>
      <c r="W33" s="1573">
        <f t="shared" si="14"/>
        <v>100</v>
      </c>
      <c r="X33" s="1566"/>
      <c r="Y33" s="3473" t="s">
        <v>550</v>
      </c>
      <c r="Z33" s="1574" t="str">
        <f t="shared" si="15"/>
        <v>建筑类型</v>
      </c>
      <c r="AA33" s="1575">
        <f t="shared" si="3"/>
        <v>1</v>
      </c>
      <c r="AB33" s="1575">
        <f t="shared" si="4"/>
        <v>1</v>
      </c>
      <c r="AC33" s="1575">
        <f t="shared" si="5"/>
        <v>1</v>
      </c>
    </row>
    <row r="34" spans="1:29" s="1337"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73"/>
      <c r="Q34" s="1604" t="str">
        <f t="shared" si="11"/>
        <v>项目建筑规模</v>
      </c>
      <c r="R34" s="1576" t="s">
        <v>8</v>
      </c>
      <c r="S34" s="1577" t="e">
        <f t="shared" si="12"/>
        <v>#N/A</v>
      </c>
      <c r="T34" s="1576" t="s">
        <v>8</v>
      </c>
      <c r="U34" s="1577" t="e">
        <f t="shared" si="13"/>
        <v>#N/A</v>
      </c>
      <c r="V34" s="1576" t="s">
        <v>8</v>
      </c>
      <c r="W34" s="1577" t="e">
        <f t="shared" si="14"/>
        <v>#N/A</v>
      </c>
      <c r="X34" s="1578"/>
      <c r="Y34" s="3473"/>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73"/>
      <c r="Q35" s="1571" t="str">
        <f t="shared" si="11"/>
        <v>建筑结构</v>
      </c>
      <c r="R35" s="1572" t="s">
        <v>8</v>
      </c>
      <c r="S35" s="1573">
        <f t="shared" si="12"/>
        <v>100</v>
      </c>
      <c r="T35" s="1572" t="s">
        <v>8</v>
      </c>
      <c r="U35" s="1573">
        <f t="shared" si="13"/>
        <v>100</v>
      </c>
      <c r="V35" s="1572" t="s">
        <v>8</v>
      </c>
      <c r="W35" s="1573">
        <f t="shared" si="14"/>
        <v>100</v>
      </c>
      <c r="X35" s="1566"/>
      <c r="Y35" s="3473"/>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73"/>
      <c r="Q36" s="1571" t="str">
        <f t="shared" si="11"/>
        <v>公共部分装修</v>
      </c>
      <c r="R36" s="1572" t="s">
        <v>8</v>
      </c>
      <c r="S36" s="1573">
        <f t="shared" si="12"/>
        <v>100</v>
      </c>
      <c r="T36" s="1572" t="s">
        <v>8</v>
      </c>
      <c r="U36" s="1573">
        <f t="shared" si="13"/>
        <v>100</v>
      </c>
      <c r="V36" s="1572" t="s">
        <v>8</v>
      </c>
      <c r="W36" s="1573">
        <f t="shared" si="14"/>
        <v>100</v>
      </c>
      <c r="X36" s="1566"/>
      <c r="Y36" s="3473"/>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73"/>
      <c r="Q37" s="1571" t="str">
        <f t="shared" si="11"/>
        <v>成新度</v>
      </c>
      <c r="R37" s="1572" t="s">
        <v>8</v>
      </c>
      <c r="S37" s="1573" t="e">
        <f t="shared" si="12"/>
        <v>#N/A</v>
      </c>
      <c r="T37" s="1572" t="s">
        <v>8</v>
      </c>
      <c r="U37" s="1573" t="e">
        <f t="shared" si="13"/>
        <v>#N/A</v>
      </c>
      <c r="V37" s="1572" t="s">
        <v>8</v>
      </c>
      <c r="W37" s="1573" t="e">
        <f t="shared" si="14"/>
        <v>#N/A</v>
      </c>
      <c r="X37" s="1566"/>
      <c r="Y37" s="3473"/>
      <c r="Z37" s="1574" t="str">
        <f t="shared" si="15"/>
        <v>成新度</v>
      </c>
      <c r="AA37" s="1575" t="e">
        <f t="shared" si="3"/>
        <v>#N/A</v>
      </c>
      <c r="AB37" s="1575" t="e">
        <f t="shared" si="4"/>
        <v>#N/A</v>
      </c>
      <c r="AC37" s="1575" t="e">
        <f t="shared" si="5"/>
        <v>#N/A</v>
      </c>
    </row>
    <row r="38" spans="1:29" s="1218"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73"/>
      <c r="Q38" s="1149" t="str">
        <f t="shared" si="11"/>
        <v>写字楼等级</v>
      </c>
      <c r="R38" s="1567" t="s">
        <v>8</v>
      </c>
      <c r="S38" s="1568">
        <f t="shared" si="12"/>
        <v>100</v>
      </c>
      <c r="T38" s="1567" t="s">
        <v>8</v>
      </c>
      <c r="U38" s="1568">
        <f t="shared" si="13"/>
        <v>100</v>
      </c>
      <c r="V38" s="1567" t="s">
        <v>8</v>
      </c>
      <c r="W38" s="1568">
        <f t="shared" si="14"/>
        <v>100</v>
      </c>
      <c r="X38" s="1569"/>
      <c r="Y38" s="3473"/>
      <c r="Z38" s="1148"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73" t="s">
        <v>550</v>
      </c>
      <c r="Q39" s="1571" t="str">
        <f t="shared" si="11"/>
        <v>物业管理</v>
      </c>
      <c r="R39" s="1572" t="s">
        <v>8</v>
      </c>
      <c r="S39" s="1573">
        <f t="shared" si="12"/>
        <v>100</v>
      </c>
      <c r="T39" s="1572" t="s">
        <v>8</v>
      </c>
      <c r="U39" s="1573">
        <f t="shared" si="13"/>
        <v>100</v>
      </c>
      <c r="V39" s="1572" t="s">
        <v>8</v>
      </c>
      <c r="W39" s="1573">
        <f t="shared" si="14"/>
        <v>100</v>
      </c>
      <c r="X39" s="1566"/>
      <c r="Y39" s="3473" t="s">
        <v>550</v>
      </c>
      <c r="Z39" s="1574" t="str">
        <f t="shared" si="15"/>
        <v>物业管理</v>
      </c>
      <c r="AA39" s="1575">
        <f t="shared" si="3"/>
        <v>1</v>
      </c>
      <c r="AB39" s="1575">
        <f t="shared" si="4"/>
        <v>1</v>
      </c>
      <c r="AC39" s="1575">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73"/>
      <c r="Q40" s="1571" t="str">
        <f t="shared" si="11"/>
        <v>市政基础设施</v>
      </c>
      <c r="R40" s="1572" t="s">
        <v>8</v>
      </c>
      <c r="S40" s="1573">
        <f t="shared" si="12"/>
        <v>100</v>
      </c>
      <c r="T40" s="1572" t="s">
        <v>8</v>
      </c>
      <c r="U40" s="1573">
        <f t="shared" si="13"/>
        <v>100</v>
      </c>
      <c r="V40" s="1572" t="s">
        <v>8</v>
      </c>
      <c r="W40" s="1573">
        <f t="shared" si="14"/>
        <v>100</v>
      </c>
      <c r="X40" s="1566"/>
      <c r="Y40" s="3473"/>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73"/>
      <c r="Q41" s="1571" t="str">
        <f t="shared" si="11"/>
        <v>层高</v>
      </c>
      <c r="R41" s="1572" t="s">
        <v>8</v>
      </c>
      <c r="S41" s="1573">
        <f t="shared" si="12"/>
        <v>100</v>
      </c>
      <c r="T41" s="1572" t="s">
        <v>8</v>
      </c>
      <c r="U41" s="1573">
        <f t="shared" si="13"/>
        <v>100</v>
      </c>
      <c r="V41" s="1572" t="s">
        <v>8</v>
      </c>
      <c r="W41" s="1573">
        <f t="shared" si="14"/>
        <v>100</v>
      </c>
      <c r="X41" s="1566"/>
      <c r="Y41" s="3473"/>
      <c r="Z41" s="1574" t="str">
        <f t="shared" si="15"/>
        <v>层高</v>
      </c>
      <c r="AA41" s="1575">
        <f t="shared" si="3"/>
        <v>1</v>
      </c>
      <c r="AB41" s="1575">
        <f t="shared" si="4"/>
        <v>1</v>
      </c>
      <c r="AC41" s="1575">
        <f t="shared" si="5"/>
        <v>1</v>
      </c>
    </row>
    <row r="42" spans="1:29" s="1337"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73"/>
      <c r="Q42" s="1604" t="str">
        <f t="shared" si="11"/>
        <v>单套建筑面积</v>
      </c>
      <c r="R42" s="1576" t="s">
        <v>8</v>
      </c>
      <c r="S42" s="1577">
        <f t="shared" si="12"/>
        <v>100</v>
      </c>
      <c r="T42" s="1576" t="s">
        <v>8</v>
      </c>
      <c r="U42" s="1577">
        <f t="shared" si="13"/>
        <v>100</v>
      </c>
      <c r="V42" s="1576" t="s">
        <v>8</v>
      </c>
      <c r="W42" s="1577">
        <f t="shared" si="14"/>
        <v>100</v>
      </c>
      <c r="X42" s="1578"/>
      <c r="Y42" s="3473"/>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73"/>
      <c r="Q43" s="1571" t="str">
        <f t="shared" si="11"/>
        <v>内部装修</v>
      </c>
      <c r="R43" s="1572" t="s">
        <v>8</v>
      </c>
      <c r="S43" s="1573">
        <f t="shared" si="12"/>
        <v>100</v>
      </c>
      <c r="T43" s="1572" t="s">
        <v>8</v>
      </c>
      <c r="U43" s="1573">
        <f t="shared" si="13"/>
        <v>100</v>
      </c>
      <c r="V43" s="1572" t="s">
        <v>8</v>
      </c>
      <c r="W43" s="1573">
        <f t="shared" si="14"/>
        <v>100</v>
      </c>
      <c r="X43" s="1566"/>
      <c r="Y43" s="3473"/>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73"/>
      <c r="Q44" s="1571" t="str">
        <f t="shared" si="11"/>
        <v>内部装修维护情况</v>
      </c>
      <c r="R44" s="1572" t="s">
        <v>8</v>
      </c>
      <c r="S44" s="1573">
        <f t="shared" si="12"/>
        <v>100</v>
      </c>
      <c r="T44" s="1572" t="s">
        <v>8</v>
      </c>
      <c r="U44" s="1573">
        <f t="shared" si="13"/>
        <v>100</v>
      </c>
      <c r="V44" s="1572" t="s">
        <v>8</v>
      </c>
      <c r="W44" s="1573">
        <f t="shared" si="14"/>
        <v>100</v>
      </c>
      <c r="X44" s="1566"/>
      <c r="Y44" s="3473"/>
      <c r="Z44" s="1574" t="str">
        <f t="shared" si="15"/>
        <v>内部装修维护情况</v>
      </c>
      <c r="AA44" s="1575">
        <f t="shared" si="3"/>
        <v>1</v>
      </c>
      <c r="AB44" s="1575">
        <f t="shared" si="4"/>
        <v>1</v>
      </c>
      <c r="AC44" s="1575">
        <f t="shared" si="5"/>
        <v>1</v>
      </c>
    </row>
    <row r="45" spans="1:29" s="1218"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73"/>
      <c r="Q45" s="1149">
        <f t="shared" si="11"/>
        <v>111</v>
      </c>
      <c r="R45" s="1567" t="s">
        <v>8</v>
      </c>
      <c r="S45" s="1568">
        <f t="shared" si="12"/>
        <v>100</v>
      </c>
      <c r="T45" s="1567" t="s">
        <v>8</v>
      </c>
      <c r="U45" s="1568">
        <f t="shared" si="13"/>
        <v>100</v>
      </c>
      <c r="V45" s="1567" t="s">
        <v>8</v>
      </c>
      <c r="W45" s="1568">
        <f t="shared" si="14"/>
        <v>100</v>
      </c>
      <c r="X45" s="1569"/>
      <c r="Y45" s="3473"/>
      <c r="Z45" s="1148">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73"/>
      <c r="Q46" s="1571">
        <f t="shared" si="11"/>
        <v>111</v>
      </c>
      <c r="R46" s="1572" t="s">
        <v>8</v>
      </c>
      <c r="S46" s="1573">
        <f t="shared" si="12"/>
        <v>100</v>
      </c>
      <c r="T46" s="1572" t="s">
        <v>8</v>
      </c>
      <c r="U46" s="1573">
        <f t="shared" si="13"/>
        <v>100</v>
      </c>
      <c r="V46" s="1572" t="s">
        <v>8</v>
      </c>
      <c r="W46" s="1573">
        <f t="shared" si="14"/>
        <v>100</v>
      </c>
      <c r="X46" s="1566"/>
      <c r="Y46" s="347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51"/>
      <c r="Q47" s="1571">
        <f t="shared" si="11"/>
        <v>111</v>
      </c>
      <c r="R47" s="1572" t="s">
        <v>8</v>
      </c>
      <c r="S47" s="1573">
        <f t="shared" si="12"/>
        <v>100</v>
      </c>
      <c r="T47" s="1572" t="s">
        <v>8</v>
      </c>
      <c r="U47" s="1573">
        <f t="shared" si="13"/>
        <v>100</v>
      </c>
      <c r="V47" s="1572" t="s">
        <v>8</v>
      </c>
      <c r="W47" s="1573">
        <f t="shared" si="14"/>
        <v>100</v>
      </c>
      <c r="X47" s="1566"/>
      <c r="Y47" s="3551"/>
      <c r="Z47" s="1574">
        <f t="shared" si="15"/>
        <v>111</v>
      </c>
      <c r="AA47" s="1575">
        <f t="shared" si="3"/>
        <v>1</v>
      </c>
      <c r="AB47" s="1575">
        <f t="shared" si="4"/>
        <v>1</v>
      </c>
      <c r="AC47" s="1575">
        <f t="shared" si="5"/>
        <v>1</v>
      </c>
    </row>
    <row r="48" spans="1:29" ht="15">
      <c r="A48" s="607" t="s">
        <v>736</v>
      </c>
      <c r="B48" s="887"/>
      <c r="C48" s="2604" t="s">
        <v>1</v>
      </c>
      <c r="D48" s="2605"/>
      <c r="E48" s="2606"/>
      <c r="F48" s="2607"/>
      <c r="G48" s="2608"/>
      <c r="H48" s="2609"/>
      <c r="I48" s="2606"/>
      <c r="J48" s="2609"/>
      <c r="K48" s="1610"/>
      <c r="L48" s="2143"/>
      <c r="M48" s="2133"/>
      <c r="N48" s="2133"/>
      <c r="O48" s="2133"/>
      <c r="P48" s="3433" t="str">
        <f>A48</f>
        <v>成交单价（元/平方米）</v>
      </c>
      <c r="Q48" s="3435"/>
      <c r="R48" s="3550">
        <f>E48</f>
        <v>0</v>
      </c>
      <c r="S48" s="3550"/>
      <c r="T48" s="3550">
        <f>G48</f>
        <v>0</v>
      </c>
      <c r="U48" s="3550"/>
      <c r="V48" s="3550">
        <f>I48</f>
        <v>0</v>
      </c>
      <c r="W48" s="3550"/>
      <c r="X48" s="1558"/>
      <c r="Y48" s="1580"/>
      <c r="Z48" s="1558"/>
      <c r="AA48" s="1558"/>
      <c r="AB48" s="1558"/>
      <c r="AC48" s="1558"/>
    </row>
    <row r="49" spans="1:29" ht="15.75" thickBot="1">
      <c r="A49" s="615" t="s">
        <v>2759</v>
      </c>
      <c r="B49" s="888"/>
      <c r="C49" s="2610" t="e">
        <f>R50</f>
        <v>#DIV/0!</v>
      </c>
      <c r="D49" s="2611"/>
      <c r="E49" s="2612" t="e">
        <f>R49</f>
        <v>#DIV/0!</v>
      </c>
      <c r="F49" s="2612"/>
      <c r="G49" s="2610" t="e">
        <f>T49</f>
        <v>#DIV/0!</v>
      </c>
      <c r="H49" s="2611"/>
      <c r="I49" s="2612" t="e">
        <f>V49</f>
        <v>#DIV/0!</v>
      </c>
      <c r="J49" s="2611"/>
      <c r="K49" s="1611"/>
      <c r="L49" s="2143"/>
      <c r="M49" s="2133"/>
      <c r="N49" s="2133"/>
      <c r="O49" s="2133"/>
      <c r="P49" s="3433" t="str">
        <f>A49</f>
        <v>比较价格（元/平方米）</v>
      </c>
      <c r="Q49" s="3435"/>
      <c r="R49" s="3550" t="e">
        <f>IF(F1="售价",ROUND(PRODUCT(R48,AA7:AA47),0),ROUND(PRODUCT(R48,AA7:AA47),1))</f>
        <v>#DIV/0!</v>
      </c>
      <c r="S49" s="3550"/>
      <c r="T49" s="3550" t="e">
        <f>IF(F1="售价",ROUND(PRODUCT(T48,AB7:AB47),0),ROUND(PRODUCT(T48,AB7:AB47),1))</f>
        <v>#DIV/0!</v>
      </c>
      <c r="U49" s="3550"/>
      <c r="V49" s="3550" t="e">
        <f>IF(F1="售价",ROUND(PRODUCT(V48,AC7:AC47),0),ROUND(PRODUCT(V48,AC7:AC47),1))</f>
        <v>#DIV/0!</v>
      </c>
      <c r="W49" s="3550"/>
      <c r="X49" s="1558"/>
      <c r="Y49" s="1558"/>
      <c r="Z49" s="1558"/>
      <c r="AA49" s="1558"/>
      <c r="AB49" s="1558"/>
      <c r="AC49" s="1558"/>
    </row>
    <row r="50" spans="1:29" ht="15.75" thickBot="1">
      <c r="A50" s="621" t="s">
        <v>2934</v>
      </c>
      <c r="B50" s="622"/>
      <c r="C50" s="2613" t="e">
        <f>R50</f>
        <v>#DIV/0!</v>
      </c>
      <c r="D50" s="2613"/>
      <c r="E50" s="2613"/>
      <c r="F50" s="2613"/>
      <c r="G50" s="2613"/>
      <c r="H50" s="2613"/>
      <c r="I50" s="2613"/>
      <c r="J50" s="2613"/>
      <c r="K50" s="1612"/>
      <c r="L50" s="2143"/>
      <c r="M50" s="2133"/>
      <c r="N50" s="2133"/>
      <c r="O50" s="2133"/>
      <c r="P50" s="3556" t="str">
        <f>A50</f>
        <v>估价对象XX用房的比较价格（楼面单价，元/平方米）</v>
      </c>
      <c r="Q50" s="3433"/>
      <c r="R50" s="3549" t="e">
        <f>IF(F1="售价",ROUND(AVERAGE(R49:V49),0),ROUND(AVERAGE(R49:V49),1))</f>
        <v>#DIV/0!</v>
      </c>
      <c r="S50" s="3549"/>
      <c r="T50" s="3549"/>
      <c r="U50" s="3549"/>
      <c r="V50" s="3549"/>
      <c r="W50" s="3549"/>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5" customFormat="1" ht="15">
      <c r="A59" s="645" t="s">
        <v>529</v>
      </c>
      <c r="B59" s="646"/>
      <c r="C59" s="2778" t="str">
        <f>YEAR(C7)&amp;"-"&amp;MONTH(C7)</f>
        <v>2019-2</v>
      </c>
      <c r="D59" s="2780">
        <f>EDATE(C59,-1)</f>
        <v>43466</v>
      </c>
      <c r="E59" s="2780">
        <f t="shared" ref="E59:O59" si="16">EDATE(D59,-1)</f>
        <v>43435</v>
      </c>
      <c r="F59" s="2780">
        <f t="shared" si="16"/>
        <v>43405</v>
      </c>
      <c r="G59" s="2780">
        <f t="shared" si="16"/>
        <v>43374</v>
      </c>
      <c r="H59" s="2780">
        <f t="shared" si="16"/>
        <v>43344</v>
      </c>
      <c r="I59" s="2780">
        <f t="shared" si="16"/>
        <v>43313</v>
      </c>
      <c r="J59" s="2780">
        <f t="shared" si="16"/>
        <v>43282</v>
      </c>
      <c r="K59" s="2780">
        <f t="shared" si="16"/>
        <v>43252</v>
      </c>
      <c r="L59" s="2780">
        <f t="shared" si="16"/>
        <v>43221</v>
      </c>
      <c r="M59" s="2780">
        <f t="shared" si="16"/>
        <v>43191</v>
      </c>
      <c r="N59" s="2780">
        <f t="shared" si="16"/>
        <v>43160</v>
      </c>
      <c r="O59" s="2780">
        <f t="shared" si="16"/>
        <v>43132</v>
      </c>
      <c r="P59" s="2210"/>
      <c r="Q59" s="2160"/>
      <c r="R59" s="2160"/>
      <c r="S59" s="2160"/>
      <c r="T59" s="2160"/>
      <c r="U59" s="2160"/>
      <c r="V59" s="2160"/>
      <c r="W59" s="2160"/>
      <c r="X59" s="2160"/>
      <c r="Y59" s="2160"/>
      <c r="Z59" s="2160"/>
      <c r="AA59" s="2160"/>
      <c r="AB59" s="2160"/>
      <c r="AC59" s="2160"/>
    </row>
    <row r="60" spans="1:29" s="1218"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8"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8"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4" t="s">
        <v>2558</v>
      </c>
      <c r="C83" s="2575" t="s">
        <v>2559</v>
      </c>
      <c r="D83" s="2575" t="s">
        <v>2560</v>
      </c>
      <c r="E83" s="2575" t="s">
        <v>2561</v>
      </c>
      <c r="F83" s="2575" t="s">
        <v>2562</v>
      </c>
      <c r="G83" s="2575" t="s">
        <v>2563</v>
      </c>
      <c r="H83" s="674"/>
      <c r="I83" s="674"/>
      <c r="J83" s="674"/>
      <c r="K83" s="674"/>
      <c r="L83" s="674"/>
      <c r="M83" s="2578"/>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788</v>
      </c>
      <c r="C1" s="504" t="s">
        <v>720</v>
      </c>
      <c r="D1" s="849"/>
      <c r="E1" s="506"/>
      <c r="F1" s="2783"/>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4"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41" t="s">
        <v>522</v>
      </c>
      <c r="D4" s="3442"/>
      <c r="E4" s="3476" t="s">
        <v>523</v>
      </c>
      <c r="F4" s="3477"/>
      <c r="G4" s="3441" t="s">
        <v>524</v>
      </c>
      <c r="H4" s="3442"/>
      <c r="I4" s="3441" t="s">
        <v>525</v>
      </c>
      <c r="J4" s="3442"/>
      <c r="K4" s="514" t="s">
        <v>526</v>
      </c>
      <c r="L4" s="2132"/>
      <c r="M4" s="2133"/>
      <c r="N4" s="2133"/>
      <c r="O4" s="2133"/>
      <c r="P4" s="3443" t="s">
        <v>527</v>
      </c>
      <c r="Q4" s="3444"/>
      <c r="R4" s="3449" t="s">
        <v>523</v>
      </c>
      <c r="S4" s="3450"/>
      <c r="T4" s="3449" t="s">
        <v>524</v>
      </c>
      <c r="U4" s="3450"/>
      <c r="V4" s="3436" t="s">
        <v>525</v>
      </c>
      <c r="W4" s="3436"/>
      <c r="X4" s="1566"/>
      <c r="Y4" s="3449" t="s">
        <v>527</v>
      </c>
      <c r="Z4" s="3450"/>
      <c r="AA4" s="3438" t="s">
        <v>523</v>
      </c>
      <c r="AB4" s="3439" t="s">
        <v>524</v>
      </c>
      <c r="AC4" s="3438" t="s">
        <v>525</v>
      </c>
    </row>
    <row r="5" spans="1:29" ht="15">
      <c r="A5" s="515"/>
      <c r="B5" s="516"/>
      <c r="C5" s="3457" t="s">
        <v>2928</v>
      </c>
      <c r="D5" s="3458"/>
      <c r="E5" s="3478" t="s">
        <v>2929</v>
      </c>
      <c r="F5" s="3479"/>
      <c r="G5" s="3457" t="s">
        <v>2930</v>
      </c>
      <c r="H5" s="3458"/>
      <c r="I5" s="3457" t="s">
        <v>2931</v>
      </c>
      <c r="J5" s="3458"/>
      <c r="K5" s="514"/>
      <c r="L5" s="2132"/>
      <c r="M5" s="2133"/>
      <c r="N5" s="2133"/>
      <c r="O5" s="2133"/>
      <c r="P5" s="3445"/>
      <c r="Q5" s="3446"/>
      <c r="R5" s="3451"/>
      <c r="S5" s="3452"/>
      <c r="T5" s="3451"/>
      <c r="U5" s="3452"/>
      <c r="V5" s="3436"/>
      <c r="W5" s="3436"/>
      <c r="X5" s="1566"/>
      <c r="Y5" s="3451"/>
      <c r="Z5" s="3452"/>
      <c r="AA5" s="3439"/>
      <c r="AB5" s="3439"/>
      <c r="AC5" s="3439"/>
    </row>
    <row r="6" spans="1:29" ht="15.75" thickBot="1">
      <c r="A6" s="517"/>
      <c r="B6" s="518"/>
      <c r="C6" s="3455" t="s">
        <v>2932</v>
      </c>
      <c r="D6" s="3456"/>
      <c r="E6" s="3474" t="s">
        <v>2932</v>
      </c>
      <c r="F6" s="3475"/>
      <c r="G6" s="3455" t="s">
        <v>2932</v>
      </c>
      <c r="H6" s="3456"/>
      <c r="I6" s="3455" t="s">
        <v>2932</v>
      </c>
      <c r="J6" s="3456"/>
      <c r="K6" s="514" t="s">
        <v>528</v>
      </c>
      <c r="L6" s="2132"/>
      <c r="M6" s="2133"/>
      <c r="N6" s="2133"/>
      <c r="O6" s="2133"/>
      <c r="P6" s="3447"/>
      <c r="Q6" s="3448"/>
      <c r="R6" s="3451"/>
      <c r="S6" s="3452"/>
      <c r="T6" s="3453"/>
      <c r="U6" s="3454"/>
      <c r="V6" s="3436"/>
      <c r="W6" s="3436"/>
      <c r="X6" s="1566"/>
      <c r="Y6" s="3453"/>
      <c r="Z6" s="3454"/>
      <c r="AA6" s="3440"/>
      <c r="AB6" s="3440"/>
      <c r="AC6" s="3440"/>
    </row>
    <row r="7" spans="1:29" s="1218" customFormat="1" ht="15.75" thickBot="1">
      <c r="A7" s="2888"/>
      <c r="B7" s="2895" t="s">
        <v>529</v>
      </c>
      <c r="C7" s="519">
        <f>'数据-取费表'!B2</f>
        <v>43510</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67" t="s">
        <v>530</v>
      </c>
      <c r="Q7" s="3469"/>
      <c r="R7" s="1567" t="s">
        <v>8</v>
      </c>
      <c r="S7" s="1568">
        <f t="shared" ref="S7:S15" si="0">F7</f>
        <v>0</v>
      </c>
      <c r="T7" s="1567" t="s">
        <v>8</v>
      </c>
      <c r="U7" s="1568">
        <f t="shared" ref="U7:U15" si="1">H7</f>
        <v>0</v>
      </c>
      <c r="V7" s="1567" t="s">
        <v>8</v>
      </c>
      <c r="W7" s="1568">
        <f t="shared" ref="W7:W15" si="2">J7</f>
        <v>0</v>
      </c>
      <c r="X7" s="1569"/>
      <c r="Y7" s="3467" t="s">
        <v>530</v>
      </c>
      <c r="Z7" s="3468"/>
      <c r="AA7" s="1570" t="e">
        <f>D7/F7</f>
        <v>#DIV/0!</v>
      </c>
      <c r="AB7" s="1570" t="e">
        <f>D7/H7</f>
        <v>#DIV/0!</v>
      </c>
      <c r="AC7" s="1570" t="e">
        <f>D7/J7</f>
        <v>#DIV/0!</v>
      </c>
    </row>
    <row r="8" spans="1:29" s="1218" customFormat="1" ht="15.75" thickBot="1">
      <c r="A8" s="2889"/>
      <c r="B8" s="2896"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67" t="s">
        <v>533</v>
      </c>
      <c r="Q8" s="3468"/>
      <c r="R8" s="1567" t="s">
        <v>8</v>
      </c>
      <c r="S8" s="1568">
        <f t="shared" si="0"/>
        <v>0</v>
      </c>
      <c r="T8" s="1567" t="s">
        <v>8</v>
      </c>
      <c r="U8" s="1568">
        <f t="shared" si="1"/>
        <v>0</v>
      </c>
      <c r="V8" s="1567" t="s">
        <v>8</v>
      </c>
      <c r="W8" s="1568">
        <f t="shared" si="2"/>
        <v>0</v>
      </c>
      <c r="X8" s="1569"/>
      <c r="Y8" s="3467" t="s">
        <v>533</v>
      </c>
      <c r="Z8" s="3468"/>
      <c r="AA8" s="1570" t="e">
        <f t="shared" ref="AA8:AA40" si="3">D8/F8</f>
        <v>#DIV/0!</v>
      </c>
      <c r="AB8" s="1570" t="e">
        <f t="shared" ref="AB8:AB40" si="4">D8/H8</f>
        <v>#DIV/0!</v>
      </c>
      <c r="AC8" s="1570" t="e">
        <f t="shared" ref="AC8:AC40" si="5">D8/J8</f>
        <v>#DIV/0!</v>
      </c>
    </row>
    <row r="9" spans="1:29" s="1218" customFormat="1" ht="15">
      <c r="A9" s="2890"/>
      <c r="B9" s="2897"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35" t="s">
        <v>535</v>
      </c>
      <c r="Q9" s="1149" t="str">
        <f t="shared" ref="Q9:Q15" si="6">B9</f>
        <v>用途</v>
      </c>
      <c r="R9" s="1567" t="s">
        <v>8</v>
      </c>
      <c r="S9" s="1568">
        <f t="shared" si="0"/>
        <v>100</v>
      </c>
      <c r="T9" s="1567" t="s">
        <v>8</v>
      </c>
      <c r="U9" s="1568">
        <f t="shared" si="1"/>
        <v>100</v>
      </c>
      <c r="V9" s="1567" t="s">
        <v>8</v>
      </c>
      <c r="W9" s="1568">
        <f t="shared" si="2"/>
        <v>100</v>
      </c>
      <c r="X9" s="1569"/>
      <c r="Y9" s="3375" t="s">
        <v>536</v>
      </c>
      <c r="Z9" s="1148" t="str">
        <f t="shared" ref="Z9:Z15" si="7">Q9</f>
        <v>用途</v>
      </c>
      <c r="AA9" s="1570">
        <f t="shared" si="3"/>
        <v>1</v>
      </c>
      <c r="AB9" s="1570">
        <f t="shared" si="4"/>
        <v>1</v>
      </c>
      <c r="AC9" s="1570">
        <f t="shared" si="5"/>
        <v>1</v>
      </c>
    </row>
    <row r="10" spans="1:29" s="1336" customFormat="1" ht="27">
      <c r="A10" s="2891"/>
      <c r="B10" s="2896"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35"/>
      <c r="Q10" s="1149" t="str">
        <f t="shared" si="6"/>
        <v>土地使用年限（年）</v>
      </c>
      <c r="R10" s="1567" t="s">
        <v>8</v>
      </c>
      <c r="S10" s="1568">
        <f t="shared" si="0"/>
        <v>100</v>
      </c>
      <c r="T10" s="1567" t="s">
        <v>8</v>
      </c>
      <c r="U10" s="1568">
        <f t="shared" si="1"/>
        <v>100</v>
      </c>
      <c r="V10" s="1567" t="s">
        <v>8</v>
      </c>
      <c r="W10" s="1568">
        <f t="shared" si="2"/>
        <v>100</v>
      </c>
      <c r="X10" s="1569"/>
      <c r="Y10" s="3375"/>
      <c r="Z10" s="1148" t="str">
        <f t="shared" si="7"/>
        <v>土地使用年限（年）</v>
      </c>
      <c r="AA10" s="1570">
        <f t="shared" si="3"/>
        <v>1</v>
      </c>
      <c r="AB10" s="1570">
        <f t="shared" si="4"/>
        <v>1</v>
      </c>
      <c r="AC10" s="1570">
        <f t="shared" si="5"/>
        <v>1</v>
      </c>
    </row>
    <row r="11" spans="1:29" ht="15">
      <c r="A11" s="2892"/>
      <c r="B11" s="289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35"/>
      <c r="Q11" s="1149" t="str">
        <f t="shared" si="6"/>
        <v>容积率</v>
      </c>
      <c r="R11" s="1567" t="s">
        <v>8</v>
      </c>
      <c r="S11" s="1568" t="e">
        <f t="shared" si="0"/>
        <v>#N/A</v>
      </c>
      <c r="T11" s="1567" t="s">
        <v>8</v>
      </c>
      <c r="U11" s="1568" t="e">
        <f t="shared" si="1"/>
        <v>#N/A</v>
      </c>
      <c r="V11" s="1567" t="s">
        <v>8</v>
      </c>
      <c r="W11" s="1568" t="e">
        <f t="shared" si="2"/>
        <v>#N/A</v>
      </c>
      <c r="X11" s="1569"/>
      <c r="Y11" s="3375"/>
      <c r="Z11" s="1148" t="str">
        <f t="shared" si="7"/>
        <v>容积率</v>
      </c>
      <c r="AA11" s="1570" t="e">
        <f t="shared" si="3"/>
        <v>#N/A</v>
      </c>
      <c r="AB11" s="1570" t="e">
        <f t="shared" si="4"/>
        <v>#N/A</v>
      </c>
      <c r="AC11" s="1570" t="e">
        <f t="shared" si="5"/>
        <v>#N/A</v>
      </c>
    </row>
    <row r="12" spans="1:29" s="1218" customFormat="1" ht="15">
      <c r="A12" s="2893"/>
      <c r="B12" s="2899">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435"/>
      <c r="Q12" s="1149">
        <f t="shared" si="6"/>
        <v>111</v>
      </c>
      <c r="R12" s="1567" t="s">
        <v>8</v>
      </c>
      <c r="S12" s="1568">
        <f t="shared" si="0"/>
        <v>100</v>
      </c>
      <c r="T12" s="1567" t="s">
        <v>8</v>
      </c>
      <c r="U12" s="1568">
        <f t="shared" si="1"/>
        <v>100</v>
      </c>
      <c r="V12" s="1567" t="s">
        <v>8</v>
      </c>
      <c r="W12" s="1568">
        <f t="shared" si="2"/>
        <v>100</v>
      </c>
      <c r="X12" s="1569"/>
      <c r="Y12" s="3375"/>
      <c r="Z12" s="1148">
        <f t="shared" si="7"/>
        <v>111</v>
      </c>
      <c r="AA12" s="1570">
        <f>D12/F12</f>
        <v>1</v>
      </c>
      <c r="AB12" s="1570">
        <f>D12/H12</f>
        <v>1</v>
      </c>
      <c r="AC12" s="1570">
        <f>D12/J12</f>
        <v>1</v>
      </c>
    </row>
    <row r="13" spans="1:29" ht="15">
      <c r="A13" s="2893"/>
      <c r="B13" s="2899">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435"/>
      <c r="Q13" s="1149">
        <f t="shared" si="6"/>
        <v>111</v>
      </c>
      <c r="R13" s="1567" t="s">
        <v>8</v>
      </c>
      <c r="S13" s="1568">
        <f t="shared" si="0"/>
        <v>100</v>
      </c>
      <c r="T13" s="1567" t="s">
        <v>8</v>
      </c>
      <c r="U13" s="1568">
        <f t="shared" si="1"/>
        <v>100</v>
      </c>
      <c r="V13" s="1567" t="s">
        <v>8</v>
      </c>
      <c r="W13" s="1568">
        <f t="shared" si="2"/>
        <v>100</v>
      </c>
      <c r="X13" s="1569"/>
      <c r="Y13" s="3375"/>
      <c r="Z13" s="1148">
        <f t="shared" si="7"/>
        <v>111</v>
      </c>
      <c r="AA13" s="1570">
        <f t="shared" si="3"/>
        <v>1</v>
      </c>
      <c r="AB13" s="1570">
        <f t="shared" si="4"/>
        <v>1</v>
      </c>
      <c r="AC13" s="1570">
        <f t="shared" si="5"/>
        <v>1</v>
      </c>
    </row>
    <row r="14" spans="1:29" ht="15.75" thickBot="1">
      <c r="A14" s="2894"/>
      <c r="B14" s="2900">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435"/>
      <c r="Q14" s="1149">
        <f t="shared" si="6"/>
        <v>111</v>
      </c>
      <c r="R14" s="1567" t="s">
        <v>8</v>
      </c>
      <c r="S14" s="1568">
        <f t="shared" si="0"/>
        <v>100</v>
      </c>
      <c r="T14" s="1567" t="s">
        <v>8</v>
      </c>
      <c r="U14" s="1568">
        <f t="shared" si="1"/>
        <v>100</v>
      </c>
      <c r="V14" s="1567" t="s">
        <v>8</v>
      </c>
      <c r="W14" s="1568">
        <f t="shared" si="2"/>
        <v>100</v>
      </c>
      <c r="X14" s="1569"/>
      <c r="Y14" s="3375"/>
      <c r="Z14" s="1148">
        <f t="shared" si="7"/>
        <v>111</v>
      </c>
      <c r="AA14" s="1570">
        <f t="shared" si="3"/>
        <v>1</v>
      </c>
      <c r="AB14" s="1570">
        <f t="shared" si="4"/>
        <v>1</v>
      </c>
      <c r="AC14" s="1570">
        <f t="shared" si="5"/>
        <v>1</v>
      </c>
    </row>
    <row r="15" spans="1:29" ht="57">
      <c r="A15" s="288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70" t="s">
        <v>540</v>
      </c>
      <c r="Q15" s="1571" t="str">
        <f t="shared" si="6"/>
        <v>产业集聚程度</v>
      </c>
      <c r="R15" s="1572" t="s">
        <v>8</v>
      </c>
      <c r="S15" s="1573">
        <f t="shared" si="0"/>
        <v>100</v>
      </c>
      <c r="T15" s="1572" t="s">
        <v>8</v>
      </c>
      <c r="U15" s="1573">
        <f t="shared" si="1"/>
        <v>100</v>
      </c>
      <c r="V15" s="1572" t="s">
        <v>8</v>
      </c>
      <c r="W15" s="1573">
        <f t="shared" si="2"/>
        <v>100</v>
      </c>
      <c r="X15" s="1566"/>
      <c r="Y15" s="3470"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71"/>
      <c r="Q16" s="1571"/>
      <c r="R16" s="1572"/>
      <c r="S16" s="1573"/>
      <c r="T16" s="1572"/>
      <c r="U16" s="1573"/>
      <c r="V16" s="1572"/>
      <c r="W16" s="1573"/>
      <c r="X16" s="1566"/>
      <c r="Y16" s="3471"/>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71"/>
      <c r="Q17" s="1571" t="str">
        <f>B17</f>
        <v>交通便捷度</v>
      </c>
      <c r="R17" s="1572" t="s">
        <v>8</v>
      </c>
      <c r="S17" s="1573">
        <f>F17</f>
        <v>100</v>
      </c>
      <c r="T17" s="1572" t="s">
        <v>8</v>
      </c>
      <c r="U17" s="1573">
        <f>H17</f>
        <v>100</v>
      </c>
      <c r="V17" s="1572" t="s">
        <v>8</v>
      </c>
      <c r="W17" s="1573">
        <f>J17</f>
        <v>100</v>
      </c>
      <c r="X17" s="1566"/>
      <c r="Y17" s="347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71"/>
      <c r="Q18" s="1571"/>
      <c r="R18" s="1572"/>
      <c r="S18" s="1573"/>
      <c r="T18" s="1572"/>
      <c r="U18" s="1573"/>
      <c r="V18" s="1572"/>
      <c r="W18" s="1573"/>
      <c r="X18" s="1566"/>
      <c r="Y18" s="3471"/>
      <c r="Z18" s="1574"/>
      <c r="AA18" s="1575">
        <v>1</v>
      </c>
      <c r="AB18" s="1575">
        <v>1</v>
      </c>
      <c r="AC18" s="1575">
        <v>1</v>
      </c>
    </row>
    <row r="19" spans="1:29" ht="42.75">
      <c r="A19" s="532"/>
      <c r="B19" s="2580"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71"/>
      <c r="Q19" s="1571" t="str">
        <f>B19</f>
        <v>公共配套设施</v>
      </c>
      <c r="R19" s="1572" t="s">
        <v>8</v>
      </c>
      <c r="S19" s="1573">
        <f>F19</f>
        <v>100</v>
      </c>
      <c r="T19" s="1572" t="s">
        <v>8</v>
      </c>
      <c r="U19" s="1573">
        <f>H19</f>
        <v>100</v>
      </c>
      <c r="V19" s="1572" t="s">
        <v>8</v>
      </c>
      <c r="W19" s="1573">
        <f>J19</f>
        <v>100</v>
      </c>
      <c r="X19" s="1566"/>
      <c r="Y19" s="347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471"/>
      <c r="Q20" s="1571"/>
      <c r="R20" s="1572"/>
      <c r="S20" s="1573"/>
      <c r="T20" s="1572"/>
      <c r="U20" s="1573"/>
      <c r="V20" s="1572"/>
      <c r="W20" s="1573"/>
      <c r="X20" s="1566"/>
      <c r="Y20" s="3471"/>
      <c r="Z20" s="1574"/>
      <c r="AA20" s="1575">
        <v>1</v>
      </c>
      <c r="AB20" s="1575">
        <v>1</v>
      </c>
      <c r="AC20" s="1575">
        <v>1</v>
      </c>
    </row>
    <row r="21" spans="1:29" ht="28.5">
      <c r="A21" s="532"/>
      <c r="B21" s="2568"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71"/>
      <c r="Q21" s="2556" t="str">
        <f>B21</f>
        <v>基础设施水平</v>
      </c>
      <c r="R21" s="1572" t="s">
        <v>8</v>
      </c>
      <c r="S21" s="1573">
        <f>F21</f>
        <v>100</v>
      </c>
      <c r="T21" s="1572" t="s">
        <v>8</v>
      </c>
      <c r="U21" s="1573">
        <f>H21</f>
        <v>100</v>
      </c>
      <c r="V21" s="1572" t="s">
        <v>8</v>
      </c>
      <c r="W21" s="1573">
        <f>J21</f>
        <v>100</v>
      </c>
      <c r="X21" s="2558"/>
      <c r="Y21" s="3471"/>
      <c r="Z21" s="2557"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79"/>
      <c r="L22" s="2141"/>
      <c r="M22" s="2133"/>
      <c r="N22" s="2133"/>
      <c r="O22" s="2140"/>
      <c r="P22" s="3471"/>
      <c r="Q22" s="2556"/>
      <c r="R22" s="1572"/>
      <c r="S22" s="1573"/>
      <c r="T22" s="1572"/>
      <c r="U22" s="1573"/>
      <c r="V22" s="1572"/>
      <c r="W22" s="1573"/>
      <c r="X22" s="2558"/>
      <c r="Y22" s="3471"/>
      <c r="Z22" s="2557"/>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71"/>
      <c r="Q23" s="1571" t="str">
        <f>B23</f>
        <v>环境质量</v>
      </c>
      <c r="R23" s="1572" t="s">
        <v>8</v>
      </c>
      <c r="S23" s="1573">
        <f>F23</f>
        <v>100</v>
      </c>
      <c r="T23" s="1572" t="s">
        <v>8</v>
      </c>
      <c r="U23" s="1573">
        <f>H23</f>
        <v>100</v>
      </c>
      <c r="V23" s="1572" t="s">
        <v>8</v>
      </c>
      <c r="W23" s="1573">
        <f>J23</f>
        <v>100</v>
      </c>
      <c r="X23" s="1566"/>
      <c r="Y23" s="347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1"/>
      <c r="M24" s="2133"/>
      <c r="N24" s="2133"/>
      <c r="O24" s="2140"/>
      <c r="P24" s="3471"/>
      <c r="Q24" s="1571"/>
      <c r="R24" s="1572"/>
      <c r="S24" s="1573"/>
      <c r="T24" s="1572"/>
      <c r="U24" s="1573"/>
      <c r="V24" s="1572"/>
      <c r="W24" s="1573"/>
      <c r="X24" s="1566"/>
      <c r="Y24" s="347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71"/>
      <c r="Q25" s="1571">
        <f>B25</f>
        <v>111</v>
      </c>
      <c r="R25" s="1572" t="s">
        <v>8</v>
      </c>
      <c r="S25" s="1573">
        <f>F25</f>
        <v>100</v>
      </c>
      <c r="T25" s="1572" t="s">
        <v>8</v>
      </c>
      <c r="U25" s="1573">
        <f>H25</f>
        <v>100</v>
      </c>
      <c r="V25" s="1572" t="s">
        <v>8</v>
      </c>
      <c r="W25" s="1573">
        <f>J25</f>
        <v>100</v>
      </c>
      <c r="X25" s="1566"/>
      <c r="Y25" s="347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71"/>
      <c r="Q26" s="1571">
        <f t="shared" ref="Q26:Q40" si="11">B26</f>
        <v>111</v>
      </c>
      <c r="R26" s="1572" t="s">
        <v>8</v>
      </c>
      <c r="S26" s="1573">
        <f>F26</f>
        <v>100</v>
      </c>
      <c r="T26" s="1572" t="s">
        <v>8</v>
      </c>
      <c r="U26" s="1573">
        <f>H26</f>
        <v>100</v>
      </c>
      <c r="V26" s="1572" t="s">
        <v>8</v>
      </c>
      <c r="W26" s="1573">
        <f>J26</f>
        <v>100</v>
      </c>
      <c r="X26" s="1566"/>
      <c r="Y26" s="3471"/>
      <c r="Z26" s="1574">
        <f>Q26</f>
        <v>111</v>
      </c>
      <c r="AA26" s="1575">
        <f t="shared" si="3"/>
        <v>1</v>
      </c>
      <c r="AB26" s="1575">
        <f t="shared" si="4"/>
        <v>1</v>
      </c>
      <c r="AC26" s="1575">
        <f t="shared" si="5"/>
        <v>1</v>
      </c>
    </row>
    <row r="27" spans="1:29" s="1218"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71"/>
      <c r="Q27" s="1149">
        <f t="shared" si="11"/>
        <v>111</v>
      </c>
      <c r="R27" s="1567" t="s">
        <v>8</v>
      </c>
      <c r="S27" s="1568">
        <f>F27</f>
        <v>100</v>
      </c>
      <c r="T27" s="1567" t="s">
        <v>8</v>
      </c>
      <c r="U27" s="1568">
        <f>H27</f>
        <v>100</v>
      </c>
      <c r="V27" s="1567" t="s">
        <v>8</v>
      </c>
      <c r="W27" s="1568">
        <f>J27</f>
        <v>100</v>
      </c>
      <c r="X27" s="1569"/>
      <c r="Y27" s="3471"/>
      <c r="Z27" s="1148">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71"/>
      <c r="Q28" s="1571">
        <f t="shared" si="11"/>
        <v>111</v>
      </c>
      <c r="R28" s="1572" t="s">
        <v>8</v>
      </c>
      <c r="S28" s="1573">
        <f t="shared" ref="S28:S40" si="12">F28</f>
        <v>100</v>
      </c>
      <c r="T28" s="1572" t="s">
        <v>8</v>
      </c>
      <c r="U28" s="1573">
        <f t="shared" ref="U28:U40" si="13">H28</f>
        <v>100</v>
      </c>
      <c r="V28" s="1572" t="s">
        <v>8</v>
      </c>
      <c r="W28" s="1573">
        <f t="shared" ref="W28:W40" si="14">J28</f>
        <v>100</v>
      </c>
      <c r="X28" s="1566"/>
      <c r="Y28" s="3471"/>
      <c r="Z28" s="1574">
        <f t="shared" ref="Z28:Z40" si="15">Q28</f>
        <v>111</v>
      </c>
      <c r="AA28" s="1575">
        <f t="shared" si="3"/>
        <v>1</v>
      </c>
      <c r="AB28" s="1575">
        <f t="shared" si="4"/>
        <v>1</v>
      </c>
      <c r="AC28" s="1575">
        <f t="shared" si="5"/>
        <v>1</v>
      </c>
    </row>
    <row r="29" spans="1:29" ht="15">
      <c r="A29" s="288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72" t="s">
        <v>550</v>
      </c>
      <c r="Q29" s="1571" t="str">
        <f t="shared" si="11"/>
        <v>建筑类型</v>
      </c>
      <c r="R29" s="1572" t="s">
        <v>8</v>
      </c>
      <c r="S29" s="1573">
        <f t="shared" si="12"/>
        <v>100</v>
      </c>
      <c r="T29" s="1572" t="s">
        <v>8</v>
      </c>
      <c r="U29" s="1573">
        <f t="shared" si="13"/>
        <v>100</v>
      </c>
      <c r="V29" s="1572" t="s">
        <v>8</v>
      </c>
      <c r="W29" s="1573">
        <f t="shared" si="14"/>
        <v>100</v>
      </c>
      <c r="X29" s="1566"/>
      <c r="Y29" s="3473" t="s">
        <v>550</v>
      </c>
      <c r="Z29" s="1574" t="str">
        <f t="shared" si="15"/>
        <v>建筑类型</v>
      </c>
      <c r="AA29" s="1575">
        <f t="shared" si="3"/>
        <v>1</v>
      </c>
      <c r="AB29" s="1575">
        <f t="shared" si="4"/>
        <v>1</v>
      </c>
      <c r="AC29" s="1575">
        <f t="shared" si="5"/>
        <v>1</v>
      </c>
    </row>
    <row r="30" spans="1:29" s="1337"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73"/>
      <c r="Q30" s="1604" t="str">
        <f t="shared" si="11"/>
        <v>项目建筑规模</v>
      </c>
      <c r="R30" s="1576" t="s">
        <v>8</v>
      </c>
      <c r="S30" s="1577" t="e">
        <f t="shared" si="12"/>
        <v>#N/A</v>
      </c>
      <c r="T30" s="1576" t="s">
        <v>8</v>
      </c>
      <c r="U30" s="1577" t="e">
        <f t="shared" si="13"/>
        <v>#N/A</v>
      </c>
      <c r="V30" s="1576" t="s">
        <v>8</v>
      </c>
      <c r="W30" s="1577" t="e">
        <f t="shared" si="14"/>
        <v>#N/A</v>
      </c>
      <c r="X30" s="1578"/>
      <c r="Y30" s="3473"/>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73"/>
      <c r="Q31" s="1571" t="str">
        <f t="shared" si="11"/>
        <v>建筑结构</v>
      </c>
      <c r="R31" s="1572" t="s">
        <v>8</v>
      </c>
      <c r="S31" s="1573">
        <f t="shared" si="12"/>
        <v>100</v>
      </c>
      <c r="T31" s="1572" t="s">
        <v>8</v>
      </c>
      <c r="U31" s="1573">
        <f t="shared" si="13"/>
        <v>100</v>
      </c>
      <c r="V31" s="1572" t="s">
        <v>8</v>
      </c>
      <c r="W31" s="1573">
        <f t="shared" si="14"/>
        <v>100</v>
      </c>
      <c r="X31" s="1566"/>
      <c r="Y31" s="3473"/>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73"/>
      <c r="Q32" s="1571" t="str">
        <f t="shared" si="11"/>
        <v>公共部分装修</v>
      </c>
      <c r="R32" s="1572" t="s">
        <v>8</v>
      </c>
      <c r="S32" s="1573">
        <f t="shared" si="12"/>
        <v>100</v>
      </c>
      <c r="T32" s="1572" t="s">
        <v>8</v>
      </c>
      <c r="U32" s="1573">
        <f t="shared" si="13"/>
        <v>100</v>
      </c>
      <c r="V32" s="1572" t="s">
        <v>8</v>
      </c>
      <c r="W32" s="1573">
        <f t="shared" si="14"/>
        <v>100</v>
      </c>
      <c r="X32" s="1566"/>
      <c r="Y32" s="3473"/>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73"/>
      <c r="Q33" s="1571" t="str">
        <f t="shared" si="11"/>
        <v>成新度</v>
      </c>
      <c r="R33" s="1572" t="s">
        <v>8</v>
      </c>
      <c r="S33" s="1573" t="e">
        <f t="shared" si="12"/>
        <v>#N/A</v>
      </c>
      <c r="T33" s="1572" t="s">
        <v>8</v>
      </c>
      <c r="U33" s="1573" t="e">
        <f t="shared" si="13"/>
        <v>#N/A</v>
      </c>
      <c r="V33" s="1572" t="s">
        <v>8</v>
      </c>
      <c r="W33" s="1573" t="e">
        <f t="shared" si="14"/>
        <v>#N/A</v>
      </c>
      <c r="X33" s="1566"/>
      <c r="Y33" s="3473"/>
      <c r="Z33" s="1574" t="str">
        <f t="shared" si="15"/>
        <v>成新度</v>
      </c>
      <c r="AA33" s="1575" t="e">
        <f t="shared" si="3"/>
        <v>#N/A</v>
      </c>
      <c r="AB33" s="1575" t="e">
        <f t="shared" si="4"/>
        <v>#N/A</v>
      </c>
      <c r="AC33" s="1575" t="e">
        <f t="shared" si="5"/>
        <v>#N/A</v>
      </c>
    </row>
    <row r="34" spans="1:29" s="1218"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73"/>
      <c r="Q34" s="1149" t="str">
        <f t="shared" si="11"/>
        <v>物业管理</v>
      </c>
      <c r="R34" s="1567" t="s">
        <v>8</v>
      </c>
      <c r="S34" s="1568">
        <f t="shared" si="12"/>
        <v>100</v>
      </c>
      <c r="T34" s="1567" t="s">
        <v>8</v>
      </c>
      <c r="U34" s="1568">
        <f t="shared" si="13"/>
        <v>100</v>
      </c>
      <c r="V34" s="1567" t="s">
        <v>8</v>
      </c>
      <c r="W34" s="1568">
        <f t="shared" si="14"/>
        <v>100</v>
      </c>
      <c r="X34" s="1569"/>
      <c r="Y34" s="3473"/>
      <c r="Z34" s="1148"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73" t="s">
        <v>550</v>
      </c>
      <c r="Q35" s="1571" t="str">
        <f t="shared" si="11"/>
        <v>市政基础设施</v>
      </c>
      <c r="R35" s="1572" t="s">
        <v>8</v>
      </c>
      <c r="S35" s="1573">
        <f t="shared" si="12"/>
        <v>100</v>
      </c>
      <c r="T35" s="1572" t="s">
        <v>8</v>
      </c>
      <c r="U35" s="1573">
        <f t="shared" si="13"/>
        <v>100</v>
      </c>
      <c r="V35" s="1572" t="s">
        <v>8</v>
      </c>
      <c r="W35" s="1573">
        <f t="shared" si="14"/>
        <v>100</v>
      </c>
      <c r="X35" s="1566"/>
      <c r="Y35" s="3473"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73"/>
      <c r="Q36" s="1571" t="str">
        <f t="shared" si="11"/>
        <v>内部装修</v>
      </c>
      <c r="R36" s="1572" t="s">
        <v>8</v>
      </c>
      <c r="S36" s="1573">
        <f t="shared" si="12"/>
        <v>100</v>
      </c>
      <c r="T36" s="1572" t="s">
        <v>8</v>
      </c>
      <c r="U36" s="1573">
        <f t="shared" si="13"/>
        <v>100</v>
      </c>
      <c r="V36" s="1572" t="s">
        <v>8</v>
      </c>
      <c r="W36" s="1573">
        <f t="shared" si="14"/>
        <v>100</v>
      </c>
      <c r="X36" s="1566"/>
      <c r="Y36" s="3473"/>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73"/>
      <c r="Q37" s="1571" t="str">
        <f t="shared" si="11"/>
        <v>内部装修状况</v>
      </c>
      <c r="R37" s="1572" t="s">
        <v>8</v>
      </c>
      <c r="S37" s="1573">
        <f t="shared" si="12"/>
        <v>100</v>
      </c>
      <c r="T37" s="1572" t="s">
        <v>8</v>
      </c>
      <c r="U37" s="1573">
        <f t="shared" si="13"/>
        <v>100</v>
      </c>
      <c r="V37" s="1572" t="s">
        <v>8</v>
      </c>
      <c r="W37" s="1573">
        <f t="shared" si="14"/>
        <v>100</v>
      </c>
      <c r="X37" s="1566"/>
      <c r="Y37" s="3473"/>
      <c r="Z37" s="1574" t="str">
        <f t="shared" si="15"/>
        <v>内部装修状况</v>
      </c>
      <c r="AA37" s="1575">
        <f t="shared" si="3"/>
        <v>1</v>
      </c>
      <c r="AB37" s="1575">
        <f t="shared" si="4"/>
        <v>1</v>
      </c>
      <c r="AC37" s="1575">
        <f t="shared" si="5"/>
        <v>1</v>
      </c>
    </row>
    <row r="38" spans="1:29" s="1337"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73"/>
      <c r="Q38" s="1604">
        <f t="shared" si="11"/>
        <v>111</v>
      </c>
      <c r="R38" s="1576" t="s">
        <v>8</v>
      </c>
      <c r="S38" s="1577">
        <f t="shared" si="12"/>
        <v>100</v>
      </c>
      <c r="T38" s="1576" t="s">
        <v>8</v>
      </c>
      <c r="U38" s="1577">
        <f t="shared" si="13"/>
        <v>100</v>
      </c>
      <c r="V38" s="1576" t="s">
        <v>8</v>
      </c>
      <c r="W38" s="1577">
        <f t="shared" si="14"/>
        <v>100</v>
      </c>
      <c r="X38" s="1578"/>
      <c r="Y38" s="347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73"/>
      <c r="Q39" s="1571">
        <f t="shared" si="11"/>
        <v>111</v>
      </c>
      <c r="R39" s="1572" t="s">
        <v>8</v>
      </c>
      <c r="S39" s="1573">
        <f t="shared" si="12"/>
        <v>100</v>
      </c>
      <c r="T39" s="1572" t="s">
        <v>8</v>
      </c>
      <c r="U39" s="1573">
        <f t="shared" si="13"/>
        <v>100</v>
      </c>
      <c r="V39" s="1572" t="s">
        <v>8</v>
      </c>
      <c r="W39" s="1573">
        <f t="shared" si="14"/>
        <v>100</v>
      </c>
      <c r="X39" s="1566"/>
      <c r="Y39" s="347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551"/>
      <c r="Q40" s="1571">
        <f t="shared" si="11"/>
        <v>111</v>
      </c>
      <c r="R40" s="1572" t="s">
        <v>8</v>
      </c>
      <c r="S40" s="1573">
        <f t="shared" si="12"/>
        <v>100</v>
      </c>
      <c r="T40" s="1572" t="s">
        <v>8</v>
      </c>
      <c r="U40" s="1573">
        <f t="shared" si="13"/>
        <v>100</v>
      </c>
      <c r="V40" s="1572" t="s">
        <v>8</v>
      </c>
      <c r="W40" s="1573">
        <f t="shared" si="14"/>
        <v>100</v>
      </c>
      <c r="X40" s="1566"/>
      <c r="Y40" s="3551"/>
      <c r="Z40" s="1574">
        <f t="shared" si="15"/>
        <v>111</v>
      </c>
      <c r="AA40" s="1575">
        <f t="shared" si="3"/>
        <v>1</v>
      </c>
      <c r="AB40" s="1575">
        <f t="shared" si="4"/>
        <v>1</v>
      </c>
      <c r="AC40" s="1575">
        <f t="shared" si="5"/>
        <v>1</v>
      </c>
    </row>
    <row r="41" spans="1:29" ht="15">
      <c r="A41" s="607" t="s">
        <v>736</v>
      </c>
      <c r="B41" s="887"/>
      <c r="C41" s="2604" t="s">
        <v>1</v>
      </c>
      <c r="D41" s="2605"/>
      <c r="E41" s="2606"/>
      <c r="F41" s="2607"/>
      <c r="G41" s="2608"/>
      <c r="H41" s="2609"/>
      <c r="I41" s="2606"/>
      <c r="J41" s="2609"/>
      <c r="K41" s="1610"/>
      <c r="L41" s="2143"/>
      <c r="M41" s="2144"/>
      <c r="N41" s="2133"/>
      <c r="O41" s="2144"/>
      <c r="P41" s="3435" t="str">
        <f>A41</f>
        <v>成交单价（元/平方米）</v>
      </c>
      <c r="Q41" s="3435"/>
      <c r="R41" s="3550">
        <f>E41</f>
        <v>0</v>
      </c>
      <c r="S41" s="3550"/>
      <c r="T41" s="3550">
        <f>G41</f>
        <v>0</v>
      </c>
      <c r="U41" s="3550"/>
      <c r="V41" s="3550">
        <f>I41</f>
        <v>0</v>
      </c>
      <c r="W41" s="3550"/>
      <c r="X41" s="1558"/>
      <c r="Y41" s="1580"/>
      <c r="Z41" s="1558"/>
      <c r="AA41" s="1558"/>
      <c r="AB41" s="1558"/>
      <c r="AC41" s="1558"/>
    </row>
    <row r="42" spans="1:29" ht="15.75" thickBot="1">
      <c r="A42" s="615" t="s">
        <v>2759</v>
      </c>
      <c r="B42" s="888"/>
      <c r="C42" s="2610" t="e">
        <f>R43</f>
        <v>#DIV/0!</v>
      </c>
      <c r="D42" s="2611"/>
      <c r="E42" s="2612" t="e">
        <f>R42</f>
        <v>#DIV/0!</v>
      </c>
      <c r="F42" s="2612"/>
      <c r="G42" s="2610" t="e">
        <f>T42</f>
        <v>#DIV/0!</v>
      </c>
      <c r="H42" s="2611"/>
      <c r="I42" s="2612" t="e">
        <f>V42</f>
        <v>#DIV/0!</v>
      </c>
      <c r="J42" s="2611"/>
      <c r="K42" s="1611"/>
      <c r="L42" s="2143"/>
      <c r="M42" s="2144"/>
      <c r="N42" s="2133"/>
      <c r="O42" s="2144"/>
      <c r="P42" s="3435" t="str">
        <f>A42</f>
        <v>比较价格（元/平方米）</v>
      </c>
      <c r="Q42" s="3435"/>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1558"/>
      <c r="Y42" s="1558"/>
      <c r="Z42" s="1558"/>
      <c r="AA42" s="1558"/>
      <c r="AB42" s="1558"/>
      <c r="AC42" s="1558"/>
    </row>
    <row r="43" spans="1:29" ht="15.75" thickBot="1">
      <c r="A43" s="621" t="s">
        <v>2934</v>
      </c>
      <c r="B43" s="622"/>
      <c r="C43" s="2613" t="e">
        <f>R43</f>
        <v>#DIV/0!</v>
      </c>
      <c r="D43" s="2613"/>
      <c r="E43" s="2613"/>
      <c r="F43" s="2613"/>
      <c r="G43" s="2613"/>
      <c r="H43" s="2613"/>
      <c r="I43" s="2613"/>
      <c r="J43" s="2613"/>
      <c r="K43" s="1612"/>
      <c r="L43" s="2143"/>
      <c r="M43" s="2144"/>
      <c r="N43" s="2144"/>
      <c r="O43" s="2144"/>
      <c r="P43" s="3432" t="str">
        <f>A43</f>
        <v>估价对象XX用房的比较价格（楼面单价，元/平方米）</v>
      </c>
      <c r="Q43" s="3433"/>
      <c r="R43" s="3549" t="e">
        <f>IF(F1="售价",ROUND(AVERAGE(R42:V42),0),ROUND(AVERAGE(R42:V42),1))</f>
        <v>#DIV/0!</v>
      </c>
      <c r="S43" s="3549"/>
      <c r="T43" s="3549"/>
      <c r="U43" s="3549"/>
      <c r="V43" s="3549"/>
      <c r="W43" s="3549"/>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5" customFormat="1" ht="15">
      <c r="A52" s="645" t="s">
        <v>529</v>
      </c>
      <c r="B52" s="646"/>
      <c r="C52" s="2778" t="str">
        <f>YEAR(C7)&amp;"-"&amp;MONTH(C7)</f>
        <v>2019-2</v>
      </c>
      <c r="D52" s="2780">
        <f>EDATE(C52,-1)</f>
        <v>43466</v>
      </c>
      <c r="E52" s="2780">
        <f t="shared" ref="E52:O52" si="16">EDATE(D52,-1)</f>
        <v>43435</v>
      </c>
      <c r="F52" s="2780">
        <f t="shared" si="16"/>
        <v>43405</v>
      </c>
      <c r="G52" s="2780">
        <f t="shared" si="16"/>
        <v>43374</v>
      </c>
      <c r="H52" s="2780">
        <f t="shared" si="16"/>
        <v>43344</v>
      </c>
      <c r="I52" s="2780">
        <f t="shared" si="16"/>
        <v>43313</v>
      </c>
      <c r="J52" s="2780">
        <f t="shared" si="16"/>
        <v>43282</v>
      </c>
      <c r="K52" s="2780">
        <f t="shared" si="16"/>
        <v>43252</v>
      </c>
      <c r="L52" s="2780">
        <f t="shared" si="16"/>
        <v>43221</v>
      </c>
      <c r="M52" s="2780">
        <f t="shared" si="16"/>
        <v>43191</v>
      </c>
      <c r="N52" s="2780">
        <f t="shared" si="16"/>
        <v>43160</v>
      </c>
      <c r="O52" s="2780">
        <f t="shared" si="16"/>
        <v>43132</v>
      </c>
      <c r="P52" s="2159"/>
      <c r="Q52" s="2160"/>
      <c r="R52" s="2160"/>
      <c r="S52" s="2160"/>
      <c r="T52" s="2160"/>
      <c r="U52" s="2160"/>
      <c r="V52" s="2160"/>
      <c r="W52" s="2160"/>
      <c r="X52" s="2160"/>
      <c r="Y52" s="2160"/>
      <c r="Z52" s="2160"/>
      <c r="AA52" s="2160"/>
      <c r="AB52" s="2160"/>
      <c r="AC52" s="2160"/>
    </row>
    <row r="53" spans="1:29" s="1218"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8"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8"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4" t="s">
        <v>2558</v>
      </c>
      <c r="C76" s="2575" t="s">
        <v>2559</v>
      </c>
      <c r="D76" s="2575" t="s">
        <v>2560</v>
      </c>
      <c r="E76" s="2575" t="s">
        <v>2561</v>
      </c>
      <c r="F76" s="2575" t="s">
        <v>2562</v>
      </c>
      <c r="G76" s="2575" t="s">
        <v>2563</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923"/>
      <c r="C1" s="504" t="s">
        <v>792</v>
      </c>
      <c r="D1" s="849"/>
      <c r="E1" s="506"/>
      <c r="F1" s="2783"/>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41" t="s">
        <v>798</v>
      </c>
      <c r="D4" s="3442"/>
      <c r="E4" s="3441" t="s">
        <v>799</v>
      </c>
      <c r="F4" s="3442"/>
      <c r="G4" s="3441" t="s">
        <v>800</v>
      </c>
      <c r="H4" s="3442"/>
      <c r="I4" s="3441" t="s">
        <v>801</v>
      </c>
      <c r="J4" s="3442"/>
      <c r="K4" s="514" t="s">
        <v>802</v>
      </c>
      <c r="L4" s="2132"/>
      <c r="M4" s="2133"/>
      <c r="N4" s="2133"/>
      <c r="O4" s="2133"/>
      <c r="P4" s="3443" t="s">
        <v>803</v>
      </c>
      <c r="Q4" s="3444"/>
      <c r="R4" s="3449" t="s">
        <v>799</v>
      </c>
      <c r="S4" s="3450"/>
      <c r="T4" s="3449" t="s">
        <v>800</v>
      </c>
      <c r="U4" s="3450"/>
      <c r="V4" s="3436" t="s">
        <v>801</v>
      </c>
      <c r="W4" s="3436"/>
      <c r="X4" s="1566"/>
      <c r="Y4" s="3449" t="s">
        <v>803</v>
      </c>
      <c r="Z4" s="3450"/>
      <c r="AA4" s="3438" t="s">
        <v>799</v>
      </c>
      <c r="AB4" s="3439" t="s">
        <v>800</v>
      </c>
      <c r="AC4" s="3438" t="s">
        <v>801</v>
      </c>
    </row>
    <row r="5" spans="1:29" ht="15">
      <c r="A5" s="515"/>
      <c r="B5" s="516"/>
      <c r="C5" s="3457" t="s">
        <v>2928</v>
      </c>
      <c r="D5" s="3458"/>
      <c r="E5" s="3457" t="s">
        <v>2929</v>
      </c>
      <c r="F5" s="3458"/>
      <c r="G5" s="3457" t="s">
        <v>2930</v>
      </c>
      <c r="H5" s="3458"/>
      <c r="I5" s="3457" t="s">
        <v>2931</v>
      </c>
      <c r="J5" s="3458"/>
      <c r="K5" s="514"/>
      <c r="L5" s="2132"/>
      <c r="M5" s="2133"/>
      <c r="N5" s="2133"/>
      <c r="O5" s="2133"/>
      <c r="P5" s="3445"/>
      <c r="Q5" s="3446"/>
      <c r="R5" s="3451"/>
      <c r="S5" s="3452"/>
      <c r="T5" s="3451"/>
      <c r="U5" s="3452"/>
      <c r="V5" s="3436"/>
      <c r="W5" s="3436"/>
      <c r="X5" s="1566"/>
      <c r="Y5" s="3451"/>
      <c r="Z5" s="3452"/>
      <c r="AA5" s="3439"/>
      <c r="AB5" s="3439"/>
      <c r="AC5" s="3439"/>
    </row>
    <row r="6" spans="1:29" ht="15.75" thickBot="1">
      <c r="A6" s="517"/>
      <c r="B6" s="518"/>
      <c r="C6" s="3455" t="s">
        <v>2932</v>
      </c>
      <c r="D6" s="3456"/>
      <c r="E6" s="3460" t="s">
        <v>2932</v>
      </c>
      <c r="F6" s="3461"/>
      <c r="G6" s="3455" t="s">
        <v>2932</v>
      </c>
      <c r="H6" s="3456"/>
      <c r="I6" s="3455" t="s">
        <v>2932</v>
      </c>
      <c r="J6" s="3456"/>
      <c r="K6" s="514" t="s">
        <v>528</v>
      </c>
      <c r="L6" s="2132"/>
      <c r="M6" s="2133"/>
      <c r="N6" s="2133"/>
      <c r="O6" s="2133"/>
      <c r="P6" s="3447"/>
      <c r="Q6" s="3448"/>
      <c r="R6" s="3451"/>
      <c r="S6" s="3452"/>
      <c r="T6" s="3453"/>
      <c r="U6" s="3454"/>
      <c r="V6" s="3436"/>
      <c r="W6" s="3436"/>
      <c r="X6" s="1566"/>
      <c r="Y6" s="3453"/>
      <c r="Z6" s="3454"/>
      <c r="AA6" s="3440"/>
      <c r="AB6" s="3440"/>
      <c r="AC6" s="3440"/>
    </row>
    <row r="7" spans="1:29" s="1218" customFormat="1" ht="15.75" thickBot="1">
      <c r="A7" s="2888"/>
      <c r="B7" s="2895" t="s">
        <v>529</v>
      </c>
      <c r="C7" s="519">
        <f>'数据-取费表'!B2</f>
        <v>43510</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67" t="s">
        <v>530</v>
      </c>
      <c r="Q7" s="3469"/>
      <c r="R7" s="1567" t="s">
        <v>8</v>
      </c>
      <c r="S7" s="1568">
        <f t="shared" ref="S7:S14" si="0">F7</f>
        <v>0</v>
      </c>
      <c r="T7" s="1567" t="s">
        <v>8</v>
      </c>
      <c r="U7" s="1568">
        <f t="shared" ref="U7:U14" si="1">H7</f>
        <v>0</v>
      </c>
      <c r="V7" s="1567" t="s">
        <v>8</v>
      </c>
      <c r="W7" s="1568">
        <f t="shared" ref="W7:W14" si="2">J7</f>
        <v>0</v>
      </c>
      <c r="X7" s="1569"/>
      <c r="Y7" s="3467" t="s">
        <v>530</v>
      </c>
      <c r="Z7" s="3468"/>
      <c r="AA7" s="1570" t="e">
        <f>D7/F7</f>
        <v>#DIV/0!</v>
      </c>
      <c r="AB7" s="1570" t="e">
        <f>D7/H7</f>
        <v>#DIV/0!</v>
      </c>
      <c r="AC7" s="1570" t="e">
        <f>D7/J7</f>
        <v>#DIV/0!</v>
      </c>
    </row>
    <row r="8" spans="1:29" s="1218" customFormat="1" ht="15.75" thickBot="1">
      <c r="A8" s="2889"/>
      <c r="B8" s="2896"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67" t="s">
        <v>533</v>
      </c>
      <c r="Q8" s="3468"/>
      <c r="R8" s="1567" t="s">
        <v>8</v>
      </c>
      <c r="S8" s="1568">
        <f t="shared" si="0"/>
        <v>0</v>
      </c>
      <c r="T8" s="1567" t="s">
        <v>8</v>
      </c>
      <c r="U8" s="1568">
        <f t="shared" si="1"/>
        <v>0</v>
      </c>
      <c r="V8" s="1567" t="s">
        <v>8</v>
      </c>
      <c r="W8" s="1568">
        <f t="shared" si="2"/>
        <v>0</v>
      </c>
      <c r="X8" s="1569"/>
      <c r="Y8" s="3467" t="s">
        <v>533</v>
      </c>
      <c r="Z8" s="3468"/>
      <c r="AA8" s="1570" t="e">
        <f t="shared" ref="AA8:AA36" si="3">D8/F8</f>
        <v>#DIV/0!</v>
      </c>
      <c r="AB8" s="1570" t="e">
        <f t="shared" ref="AB8:AB36" si="4">D8/H8</f>
        <v>#DIV/0!</v>
      </c>
      <c r="AC8" s="1570" t="e">
        <f t="shared" ref="AC8:AC36" si="5">D8/J8</f>
        <v>#DIV/0!</v>
      </c>
    </row>
    <row r="9" spans="1:29" s="1218" customFormat="1" ht="15">
      <c r="A9" s="2890"/>
      <c r="B9" s="2897" t="s">
        <v>2755</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35" t="s">
        <v>535</v>
      </c>
      <c r="Q9" s="1149" t="str">
        <f t="shared" ref="Q9:Q14" si="6">B9</f>
        <v>用途</v>
      </c>
      <c r="R9" s="1567" t="s">
        <v>8</v>
      </c>
      <c r="S9" s="1568">
        <f t="shared" si="0"/>
        <v>100</v>
      </c>
      <c r="T9" s="1567" t="s">
        <v>8</v>
      </c>
      <c r="U9" s="1568">
        <f t="shared" si="1"/>
        <v>100</v>
      </c>
      <c r="V9" s="1567" t="s">
        <v>8</v>
      </c>
      <c r="W9" s="1568">
        <f t="shared" si="2"/>
        <v>100</v>
      </c>
      <c r="X9" s="1569"/>
      <c r="Y9" s="3375" t="s">
        <v>536</v>
      </c>
      <c r="Z9" s="1148" t="str">
        <f t="shared" ref="Z9:Z14" si="7">Q9</f>
        <v>用途</v>
      </c>
      <c r="AA9" s="1570">
        <f t="shared" si="3"/>
        <v>1</v>
      </c>
      <c r="AB9" s="1570">
        <f t="shared" si="4"/>
        <v>1</v>
      </c>
      <c r="AC9" s="1570">
        <f t="shared" si="5"/>
        <v>1</v>
      </c>
    </row>
    <row r="10" spans="1:29" s="1336" customFormat="1" ht="27">
      <c r="A10" s="2891"/>
      <c r="B10" s="2896" t="s">
        <v>2756</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35"/>
      <c r="Q10" s="1149" t="str">
        <f t="shared" si="6"/>
        <v>土地使用年限（年）</v>
      </c>
      <c r="R10" s="1567" t="s">
        <v>8</v>
      </c>
      <c r="S10" s="1568">
        <f t="shared" si="0"/>
        <v>100</v>
      </c>
      <c r="T10" s="1567" t="s">
        <v>8</v>
      </c>
      <c r="U10" s="1568">
        <f t="shared" si="1"/>
        <v>100</v>
      </c>
      <c r="V10" s="1567" t="s">
        <v>8</v>
      </c>
      <c r="W10" s="1568">
        <f t="shared" si="2"/>
        <v>100</v>
      </c>
      <c r="X10" s="1569"/>
      <c r="Y10" s="3375"/>
      <c r="Z10" s="1148" t="str">
        <f t="shared" si="7"/>
        <v>土地使用年限（年）</v>
      </c>
      <c r="AA10" s="1570">
        <f t="shared" si="3"/>
        <v>1</v>
      </c>
      <c r="AB10" s="1570">
        <f t="shared" si="4"/>
        <v>1</v>
      </c>
      <c r="AC10" s="1570">
        <f t="shared" si="5"/>
        <v>1</v>
      </c>
    </row>
    <row r="11" spans="1:29" ht="15">
      <c r="A11" s="2893"/>
      <c r="B11" s="2899">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35"/>
      <c r="Q11" s="1149">
        <f t="shared" si="6"/>
        <v>111</v>
      </c>
      <c r="R11" s="1567" t="s">
        <v>8</v>
      </c>
      <c r="S11" s="1568">
        <f t="shared" si="0"/>
        <v>100</v>
      </c>
      <c r="T11" s="1567" t="s">
        <v>8</v>
      </c>
      <c r="U11" s="1568">
        <f t="shared" si="1"/>
        <v>100</v>
      </c>
      <c r="V11" s="1567" t="s">
        <v>8</v>
      </c>
      <c r="W11" s="1568">
        <f t="shared" si="2"/>
        <v>100</v>
      </c>
      <c r="X11" s="1569"/>
      <c r="Y11" s="3375"/>
      <c r="Z11" s="1148">
        <f t="shared" si="7"/>
        <v>111</v>
      </c>
      <c r="AA11" s="1570">
        <f t="shared" si="3"/>
        <v>1</v>
      </c>
      <c r="AB11" s="1570">
        <f t="shared" si="4"/>
        <v>1</v>
      </c>
      <c r="AC11" s="1570">
        <f t="shared" si="5"/>
        <v>1</v>
      </c>
    </row>
    <row r="12" spans="1:29" s="1218" customFormat="1" ht="15">
      <c r="A12" s="2893"/>
      <c r="B12" s="2899">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35"/>
      <c r="Q12" s="1149">
        <f t="shared" si="6"/>
        <v>111</v>
      </c>
      <c r="R12" s="1567" t="s">
        <v>8</v>
      </c>
      <c r="S12" s="1568">
        <f t="shared" si="0"/>
        <v>100</v>
      </c>
      <c r="T12" s="1567" t="s">
        <v>8</v>
      </c>
      <c r="U12" s="1568">
        <f t="shared" si="1"/>
        <v>100</v>
      </c>
      <c r="V12" s="1567" t="s">
        <v>8</v>
      </c>
      <c r="W12" s="1568">
        <f t="shared" si="2"/>
        <v>100</v>
      </c>
      <c r="X12" s="1569"/>
      <c r="Y12" s="3375"/>
      <c r="Z12" s="1148">
        <f t="shared" si="7"/>
        <v>111</v>
      </c>
      <c r="AA12" s="1570">
        <f>D12/F12</f>
        <v>1</v>
      </c>
      <c r="AB12" s="1570">
        <f>D12/H12</f>
        <v>1</v>
      </c>
      <c r="AC12" s="1570">
        <f>D12/J12</f>
        <v>1</v>
      </c>
    </row>
    <row r="13" spans="1:29" ht="15.75" thickBot="1">
      <c r="A13" s="2894"/>
      <c r="B13" s="2900">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35"/>
      <c r="Q13" s="1149">
        <f t="shared" si="6"/>
        <v>111</v>
      </c>
      <c r="R13" s="1567" t="s">
        <v>8</v>
      </c>
      <c r="S13" s="1568">
        <f t="shared" si="0"/>
        <v>100</v>
      </c>
      <c r="T13" s="1567" t="s">
        <v>8</v>
      </c>
      <c r="U13" s="1568">
        <f t="shared" si="1"/>
        <v>100</v>
      </c>
      <c r="V13" s="1567" t="s">
        <v>8</v>
      </c>
      <c r="W13" s="1568">
        <f t="shared" si="2"/>
        <v>100</v>
      </c>
      <c r="X13" s="1569"/>
      <c r="Y13" s="3375"/>
      <c r="Z13" s="1148">
        <f t="shared" si="7"/>
        <v>111</v>
      </c>
      <c r="AA13" s="1570">
        <f t="shared" si="3"/>
        <v>1</v>
      </c>
      <c r="AB13" s="1570">
        <f t="shared" si="4"/>
        <v>1</v>
      </c>
      <c r="AC13" s="1570">
        <f t="shared" si="5"/>
        <v>1</v>
      </c>
    </row>
    <row r="14" spans="1:29" ht="85.5">
      <c r="A14" s="288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70" t="s">
        <v>540</v>
      </c>
      <c r="Q14" s="1571" t="str">
        <f t="shared" si="6"/>
        <v>交通便捷度</v>
      </c>
      <c r="R14" s="1572" t="s">
        <v>8</v>
      </c>
      <c r="S14" s="1573">
        <f t="shared" si="0"/>
        <v>100</v>
      </c>
      <c r="T14" s="1572" t="s">
        <v>8</v>
      </c>
      <c r="U14" s="1573">
        <f t="shared" si="1"/>
        <v>100</v>
      </c>
      <c r="V14" s="1572" t="s">
        <v>8</v>
      </c>
      <c r="W14" s="1573">
        <f t="shared" si="2"/>
        <v>100</v>
      </c>
      <c r="X14" s="1566"/>
      <c r="Y14" s="3470"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1"/>
      <c r="M15" s="2133"/>
      <c r="N15" s="2133"/>
      <c r="O15" s="2140"/>
      <c r="P15" s="3471"/>
      <c r="Q15" s="1571"/>
      <c r="R15" s="1572"/>
      <c r="S15" s="1573"/>
      <c r="T15" s="1572"/>
      <c r="U15" s="1573"/>
      <c r="V15" s="1572"/>
      <c r="W15" s="1573"/>
      <c r="X15" s="1566"/>
      <c r="Y15" s="3471"/>
      <c r="Z15" s="1574"/>
      <c r="AA15" s="1575">
        <v>1</v>
      </c>
      <c r="AB15" s="1575">
        <v>1</v>
      </c>
      <c r="AC15" s="1575">
        <v>1</v>
      </c>
    </row>
    <row r="16" spans="1:29" ht="42.75">
      <c r="A16" s="515"/>
      <c r="B16" s="2580"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71"/>
      <c r="Q16" s="1571" t="str">
        <f>B16</f>
        <v>公共配套设施</v>
      </c>
      <c r="R16" s="1572" t="s">
        <v>8</v>
      </c>
      <c r="S16" s="1573">
        <f>F16</f>
        <v>100</v>
      </c>
      <c r="T16" s="1572" t="s">
        <v>8</v>
      </c>
      <c r="U16" s="1573">
        <f>H16</f>
        <v>100</v>
      </c>
      <c r="V16" s="1572" t="s">
        <v>8</v>
      </c>
      <c r="W16" s="1573">
        <f>J16</f>
        <v>100</v>
      </c>
      <c r="X16" s="1566"/>
      <c r="Y16" s="3471"/>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471"/>
      <c r="Q17" s="1571"/>
      <c r="R17" s="1572"/>
      <c r="S17" s="1573"/>
      <c r="T17" s="1572"/>
      <c r="U17" s="1573"/>
      <c r="V17" s="1572"/>
      <c r="W17" s="1573"/>
      <c r="X17" s="1566"/>
      <c r="Y17" s="3471"/>
      <c r="Z17" s="1574"/>
      <c r="AA17" s="1575">
        <v>1</v>
      </c>
      <c r="AB17" s="1575">
        <v>1</v>
      </c>
      <c r="AC17" s="1575">
        <v>1</v>
      </c>
    </row>
    <row r="18" spans="1:29" ht="28.5">
      <c r="A18" s="515"/>
      <c r="B18" s="2568"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71"/>
      <c r="Q18" s="2556" t="str">
        <f>B18</f>
        <v>基础设施水平</v>
      </c>
      <c r="R18" s="1572" t="s">
        <v>8</v>
      </c>
      <c r="S18" s="1573">
        <f>F18</f>
        <v>100</v>
      </c>
      <c r="T18" s="1572" t="s">
        <v>8</v>
      </c>
      <c r="U18" s="1573">
        <f>H18</f>
        <v>100</v>
      </c>
      <c r="V18" s="1572" t="s">
        <v>8</v>
      </c>
      <c r="W18" s="1573">
        <f>J18</f>
        <v>100</v>
      </c>
      <c r="X18" s="2558"/>
      <c r="Y18" s="3471"/>
      <c r="Z18" s="2557"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79"/>
      <c r="L19" s="2141"/>
      <c r="M19" s="2133"/>
      <c r="N19" s="2133"/>
      <c r="O19" s="2140"/>
      <c r="P19" s="3471"/>
      <c r="Q19" s="2556"/>
      <c r="R19" s="1572"/>
      <c r="S19" s="1573"/>
      <c r="T19" s="1572"/>
      <c r="U19" s="1573"/>
      <c r="V19" s="1572"/>
      <c r="W19" s="1573"/>
      <c r="X19" s="2558"/>
      <c r="Y19" s="3471"/>
      <c r="Z19" s="2557"/>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71"/>
      <c r="Q20" s="1571" t="str">
        <f>B20</f>
        <v>自然及人文环境</v>
      </c>
      <c r="R20" s="1572" t="s">
        <v>8</v>
      </c>
      <c r="S20" s="1573">
        <f>F20</f>
        <v>100</v>
      </c>
      <c r="T20" s="1572" t="s">
        <v>8</v>
      </c>
      <c r="U20" s="1573">
        <f>H20</f>
        <v>100</v>
      </c>
      <c r="V20" s="1572" t="s">
        <v>8</v>
      </c>
      <c r="W20" s="1573">
        <f>J20</f>
        <v>100</v>
      </c>
      <c r="X20" s="1566"/>
      <c r="Y20" s="3471"/>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471"/>
      <c r="Q21" s="1571"/>
      <c r="R21" s="1572"/>
      <c r="S21" s="1573"/>
      <c r="T21" s="1572"/>
      <c r="U21" s="1573"/>
      <c r="V21" s="1572"/>
      <c r="W21" s="1573"/>
      <c r="X21" s="1566"/>
      <c r="Y21" s="3471"/>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71"/>
      <c r="Q22" s="1571" t="str">
        <f>B22</f>
        <v>楼层</v>
      </c>
      <c r="R22" s="1572" t="s">
        <v>8</v>
      </c>
      <c r="S22" s="1573">
        <f>F22</f>
        <v>100</v>
      </c>
      <c r="T22" s="1572" t="s">
        <v>8</v>
      </c>
      <c r="U22" s="1573">
        <f>H22</f>
        <v>100</v>
      </c>
      <c r="V22" s="1572" t="s">
        <v>8</v>
      </c>
      <c r="W22" s="1573">
        <f>J22</f>
        <v>100</v>
      </c>
      <c r="X22" s="1566"/>
      <c r="Y22" s="347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71"/>
      <c r="Q23" s="1571">
        <f>B23</f>
        <v>111</v>
      </c>
      <c r="R23" s="1572" t="s">
        <v>8</v>
      </c>
      <c r="S23" s="1573">
        <f>F23</f>
        <v>100</v>
      </c>
      <c r="T23" s="1572" t="s">
        <v>8</v>
      </c>
      <c r="U23" s="1573">
        <f>H23</f>
        <v>100</v>
      </c>
      <c r="V23" s="1572" t="s">
        <v>8</v>
      </c>
      <c r="W23" s="1573">
        <f>J23</f>
        <v>100</v>
      </c>
      <c r="X23" s="1566"/>
      <c r="Y23" s="347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71"/>
      <c r="Q24" s="1571">
        <f t="shared" ref="Q24:Q36" si="11">B24</f>
        <v>111</v>
      </c>
      <c r="R24" s="1572" t="s">
        <v>8</v>
      </c>
      <c r="S24" s="1573">
        <f>F24</f>
        <v>100</v>
      </c>
      <c r="T24" s="1572" t="s">
        <v>8</v>
      </c>
      <c r="U24" s="1573">
        <f>H24</f>
        <v>100</v>
      </c>
      <c r="V24" s="1572" t="s">
        <v>8</v>
      </c>
      <c r="W24" s="1573">
        <f>J24</f>
        <v>100</v>
      </c>
      <c r="X24" s="1566"/>
      <c r="Y24" s="3471"/>
      <c r="Z24" s="1574">
        <f>Q24</f>
        <v>111</v>
      </c>
      <c r="AA24" s="1575">
        <f t="shared" si="3"/>
        <v>1</v>
      </c>
      <c r="AB24" s="1575">
        <f t="shared" si="4"/>
        <v>1</v>
      </c>
      <c r="AC24" s="1575">
        <f t="shared" si="5"/>
        <v>1</v>
      </c>
    </row>
    <row r="25" spans="1:29" s="1218"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71"/>
      <c r="Q25" s="1149">
        <f t="shared" si="11"/>
        <v>111</v>
      </c>
      <c r="R25" s="1567" t="s">
        <v>8</v>
      </c>
      <c r="S25" s="1568">
        <f>F25</f>
        <v>100</v>
      </c>
      <c r="T25" s="1567" t="s">
        <v>8</v>
      </c>
      <c r="U25" s="1568">
        <f>H25</f>
        <v>100</v>
      </c>
      <c r="V25" s="1567" t="s">
        <v>8</v>
      </c>
      <c r="W25" s="1568">
        <f>J25</f>
        <v>100</v>
      </c>
      <c r="X25" s="1569"/>
      <c r="Y25" s="3471"/>
      <c r="Z25" s="1148">
        <f>Q25</f>
        <v>111</v>
      </c>
      <c r="AA25" s="1575">
        <f>D25/F25</f>
        <v>1</v>
      </c>
      <c r="AB25" s="1575">
        <f>D25/H25</f>
        <v>1</v>
      </c>
      <c r="AC25" s="1575">
        <f>D25/J25</f>
        <v>1</v>
      </c>
    </row>
    <row r="26" spans="1:29" ht="15">
      <c r="A26" s="288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72"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73" t="s">
        <v>550</v>
      </c>
      <c r="Z26" s="1574" t="str">
        <f t="shared" ref="Z26:Z36" si="15">Q26</f>
        <v>配套类型</v>
      </c>
      <c r="AA26" s="1575">
        <f t="shared" si="3"/>
        <v>1</v>
      </c>
      <c r="AB26" s="1575">
        <f t="shared" si="4"/>
        <v>1</v>
      </c>
      <c r="AC26" s="1575">
        <f t="shared" si="5"/>
        <v>1</v>
      </c>
    </row>
    <row r="27" spans="1:29" s="1337"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73"/>
      <c r="Q27" s="1604" t="str">
        <f t="shared" si="11"/>
        <v>项目停车位配比</v>
      </c>
      <c r="R27" s="1576" t="s">
        <v>8</v>
      </c>
      <c r="S27" s="1577">
        <f t="shared" si="12"/>
        <v>100</v>
      </c>
      <c r="T27" s="1576" t="s">
        <v>8</v>
      </c>
      <c r="U27" s="1577">
        <f t="shared" si="13"/>
        <v>100</v>
      </c>
      <c r="V27" s="1576" t="s">
        <v>8</v>
      </c>
      <c r="W27" s="1577">
        <f t="shared" si="14"/>
        <v>100</v>
      </c>
      <c r="X27" s="1578"/>
      <c r="Y27" s="3473"/>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73"/>
      <c r="Q28" s="1571" t="str">
        <f t="shared" si="11"/>
        <v>公共部分装修</v>
      </c>
      <c r="R28" s="1572" t="s">
        <v>8</v>
      </c>
      <c r="S28" s="1573">
        <f t="shared" si="12"/>
        <v>100</v>
      </c>
      <c r="T28" s="1572" t="s">
        <v>8</v>
      </c>
      <c r="U28" s="1573">
        <f t="shared" si="13"/>
        <v>100</v>
      </c>
      <c r="V28" s="1572" t="s">
        <v>8</v>
      </c>
      <c r="W28" s="1573">
        <f t="shared" si="14"/>
        <v>100</v>
      </c>
      <c r="X28" s="1566"/>
      <c r="Y28" s="3473"/>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73"/>
      <c r="Q29" s="1571" t="str">
        <f t="shared" si="11"/>
        <v>成新率</v>
      </c>
      <c r="R29" s="1572" t="s">
        <v>8</v>
      </c>
      <c r="S29" s="1573" t="e">
        <f t="shared" si="12"/>
        <v>#N/A</v>
      </c>
      <c r="T29" s="1572" t="s">
        <v>8</v>
      </c>
      <c r="U29" s="1573" t="e">
        <f t="shared" si="13"/>
        <v>#N/A</v>
      </c>
      <c r="V29" s="1572" t="s">
        <v>8</v>
      </c>
      <c r="W29" s="1573" t="e">
        <f t="shared" si="14"/>
        <v>#N/A</v>
      </c>
      <c r="X29" s="1566"/>
      <c r="Y29" s="3473"/>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73"/>
      <c r="Q30" s="1571" t="str">
        <f t="shared" si="11"/>
        <v>物业等级</v>
      </c>
      <c r="R30" s="1572" t="s">
        <v>8</v>
      </c>
      <c r="S30" s="1573">
        <f t="shared" si="12"/>
        <v>100</v>
      </c>
      <c r="T30" s="1572" t="s">
        <v>8</v>
      </c>
      <c r="U30" s="1573">
        <f t="shared" si="13"/>
        <v>100</v>
      </c>
      <c r="V30" s="1572" t="s">
        <v>8</v>
      </c>
      <c r="W30" s="1573">
        <f t="shared" si="14"/>
        <v>100</v>
      </c>
      <c r="X30" s="1566"/>
      <c r="Y30" s="3473"/>
      <c r="Z30" s="1574" t="str">
        <f t="shared" si="15"/>
        <v>物业等级</v>
      </c>
      <c r="AA30" s="1575">
        <f t="shared" si="3"/>
        <v>1</v>
      </c>
      <c r="AB30" s="1575">
        <f t="shared" si="4"/>
        <v>1</v>
      </c>
      <c r="AC30" s="1575">
        <f t="shared" si="5"/>
        <v>1</v>
      </c>
    </row>
    <row r="31" spans="1:29" s="1218"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73"/>
      <c r="Q31" s="1149" t="str">
        <f t="shared" si="11"/>
        <v>停车位面积</v>
      </c>
      <c r="R31" s="1567" t="s">
        <v>8</v>
      </c>
      <c r="S31" s="1568" t="e">
        <f t="shared" si="12"/>
        <v>#N/A</v>
      </c>
      <c r="T31" s="1567" t="s">
        <v>8</v>
      </c>
      <c r="U31" s="1568" t="e">
        <f t="shared" si="13"/>
        <v>#N/A</v>
      </c>
      <c r="V31" s="1567" t="s">
        <v>8</v>
      </c>
      <c r="W31" s="1568" t="e">
        <f t="shared" si="14"/>
        <v>#N/A</v>
      </c>
      <c r="X31" s="1569"/>
      <c r="Y31" s="3473"/>
      <c r="Z31" s="1148"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73" t="s">
        <v>550</v>
      </c>
      <c r="Q32" s="1571" t="str">
        <f t="shared" si="11"/>
        <v>车位类型</v>
      </c>
      <c r="R32" s="1572" t="s">
        <v>8</v>
      </c>
      <c r="S32" s="1573">
        <f t="shared" si="12"/>
        <v>100</v>
      </c>
      <c r="T32" s="1572" t="s">
        <v>8</v>
      </c>
      <c r="U32" s="1573">
        <f t="shared" si="13"/>
        <v>100</v>
      </c>
      <c r="V32" s="1572" t="s">
        <v>8</v>
      </c>
      <c r="W32" s="1573">
        <f t="shared" si="14"/>
        <v>100</v>
      </c>
      <c r="X32" s="1566"/>
      <c r="Y32" s="3473"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73"/>
      <c r="Q33" s="1571" t="str">
        <f t="shared" si="11"/>
        <v>是否直接入户</v>
      </c>
      <c r="R33" s="1572" t="s">
        <v>8</v>
      </c>
      <c r="S33" s="1573">
        <f t="shared" si="12"/>
        <v>100</v>
      </c>
      <c r="T33" s="1572" t="s">
        <v>8</v>
      </c>
      <c r="U33" s="1573">
        <f t="shared" si="13"/>
        <v>100</v>
      </c>
      <c r="V33" s="1572" t="s">
        <v>8</v>
      </c>
      <c r="W33" s="1573">
        <f t="shared" si="14"/>
        <v>100</v>
      </c>
      <c r="X33" s="1566"/>
      <c r="Y33" s="347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73"/>
      <c r="Q34" s="1571">
        <f t="shared" si="11"/>
        <v>111</v>
      </c>
      <c r="R34" s="1572" t="s">
        <v>8</v>
      </c>
      <c r="S34" s="1573">
        <f t="shared" si="12"/>
        <v>100</v>
      </c>
      <c r="T34" s="1572" t="s">
        <v>8</v>
      </c>
      <c r="U34" s="1573">
        <f t="shared" si="13"/>
        <v>100</v>
      </c>
      <c r="V34" s="1572" t="s">
        <v>8</v>
      </c>
      <c r="W34" s="1573">
        <f t="shared" si="14"/>
        <v>100</v>
      </c>
      <c r="X34" s="1566"/>
      <c r="Y34" s="3473"/>
      <c r="Z34" s="1574">
        <f t="shared" si="15"/>
        <v>111</v>
      </c>
      <c r="AA34" s="1575">
        <f t="shared" si="3"/>
        <v>1</v>
      </c>
      <c r="AB34" s="1575">
        <f t="shared" si="4"/>
        <v>1</v>
      </c>
      <c r="AC34" s="1575">
        <f t="shared" si="5"/>
        <v>1</v>
      </c>
    </row>
    <row r="35" spans="1:29" s="1337"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73"/>
      <c r="Q35" s="1604">
        <f t="shared" si="11"/>
        <v>111</v>
      </c>
      <c r="R35" s="1576" t="s">
        <v>8</v>
      </c>
      <c r="S35" s="1577">
        <f t="shared" si="12"/>
        <v>100</v>
      </c>
      <c r="T35" s="1576" t="s">
        <v>8</v>
      </c>
      <c r="U35" s="1577">
        <f t="shared" si="13"/>
        <v>100</v>
      </c>
      <c r="V35" s="1576" t="s">
        <v>8</v>
      </c>
      <c r="W35" s="1577">
        <f t="shared" si="14"/>
        <v>100</v>
      </c>
      <c r="X35" s="1578"/>
      <c r="Y35" s="347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73"/>
      <c r="Q36" s="1571">
        <f t="shared" si="11"/>
        <v>111</v>
      </c>
      <c r="R36" s="1572" t="s">
        <v>8</v>
      </c>
      <c r="S36" s="1573">
        <f t="shared" si="12"/>
        <v>100</v>
      </c>
      <c r="T36" s="1572" t="s">
        <v>8</v>
      </c>
      <c r="U36" s="1573">
        <f t="shared" si="13"/>
        <v>100</v>
      </c>
      <c r="V36" s="1572" t="s">
        <v>8</v>
      </c>
      <c r="W36" s="1573">
        <f t="shared" si="14"/>
        <v>100</v>
      </c>
      <c r="X36" s="1566"/>
      <c r="Y36" s="3473"/>
      <c r="Z36" s="1574">
        <f t="shared" si="15"/>
        <v>111</v>
      </c>
      <c r="AA36" s="1575">
        <f t="shared" si="3"/>
        <v>1</v>
      </c>
      <c r="AB36" s="1575">
        <f t="shared" si="4"/>
        <v>1</v>
      </c>
      <c r="AC36" s="1575">
        <f t="shared" si="5"/>
        <v>1</v>
      </c>
    </row>
    <row r="37" spans="1:29" ht="15">
      <c r="A37" s="1845" t="s">
        <v>2077</v>
      </c>
      <c r="B37" s="1846" t="s">
        <v>2078</v>
      </c>
      <c r="C37" s="2604" t="s">
        <v>1</v>
      </c>
      <c r="D37" s="2605"/>
      <c r="E37" s="2606"/>
      <c r="F37" s="2607"/>
      <c r="G37" s="2608"/>
      <c r="H37" s="2609"/>
      <c r="I37" s="2606"/>
      <c r="J37" s="2609"/>
      <c r="K37" s="1610"/>
      <c r="L37" s="2143"/>
      <c r="M37" s="2144"/>
      <c r="N37" s="2133"/>
      <c r="O37" s="2144"/>
      <c r="P37" s="3435" t="str">
        <f>A37</f>
        <v>成交单价</v>
      </c>
      <c r="Q37" s="3435"/>
      <c r="R37" s="3550">
        <f>E37</f>
        <v>0</v>
      </c>
      <c r="S37" s="3550"/>
      <c r="T37" s="3550">
        <f>G37</f>
        <v>0</v>
      </c>
      <c r="U37" s="3550"/>
      <c r="V37" s="3550">
        <f>I37</f>
        <v>0</v>
      </c>
      <c r="W37" s="3550"/>
      <c r="X37" s="1558"/>
      <c r="Y37" s="1580"/>
      <c r="Z37" s="1558"/>
      <c r="AA37" s="1558"/>
      <c r="AB37" s="1558"/>
      <c r="AC37" s="1558"/>
    </row>
    <row r="38" spans="1:29" ht="15.75" thickBot="1">
      <c r="A38" s="615" t="s">
        <v>2759</v>
      </c>
      <c r="B38" s="888"/>
      <c r="C38" s="2610" t="e">
        <f>R39</f>
        <v>#DIV/0!</v>
      </c>
      <c r="D38" s="2611"/>
      <c r="E38" s="2612" t="e">
        <f>R38</f>
        <v>#DIV/0!</v>
      </c>
      <c r="F38" s="2612"/>
      <c r="G38" s="2610" t="e">
        <f>T38</f>
        <v>#DIV/0!</v>
      </c>
      <c r="H38" s="2611"/>
      <c r="I38" s="2612" t="e">
        <f>V38</f>
        <v>#DIV/0!</v>
      </c>
      <c r="J38" s="2611"/>
      <c r="K38" s="1611"/>
      <c r="L38" s="2143"/>
      <c r="M38" s="2144"/>
      <c r="N38" s="2144"/>
      <c r="O38" s="2144"/>
      <c r="P38" s="3435" t="str">
        <f>A38</f>
        <v>比较价格（元/平方米）</v>
      </c>
      <c r="Q38" s="3435"/>
      <c r="R38" s="3550" t="e">
        <f>IF(F1="售价",ROUND(PRODUCT(R37,AA7:AA36),0),ROUND(PRODUCT(R37,AA7:AA36),1))</f>
        <v>#DIV/0!</v>
      </c>
      <c r="S38" s="3550"/>
      <c r="T38" s="3550" t="e">
        <f>IF(F1="售价",ROUND(PRODUCT(T37,AB7:AB36),0),ROUND(PRODUCT(T37,AB7:AB36),1))</f>
        <v>#DIV/0!</v>
      </c>
      <c r="U38" s="3550"/>
      <c r="V38" s="3550" t="e">
        <f>IF(F1="售价",ROUND(PRODUCT(V37,AC7:AC36),0),ROUND(PRODUCT(V37,AC7:AC36),1))</f>
        <v>#DIV/0!</v>
      </c>
      <c r="W38" s="3550"/>
      <c r="X38" s="1558"/>
      <c r="Y38" s="1558"/>
      <c r="Z38" s="1558"/>
      <c r="AA38" s="1558"/>
      <c r="AB38" s="1558"/>
      <c r="AC38" s="1558"/>
    </row>
    <row r="39" spans="1:29" ht="15.75" thickBot="1">
      <c r="A39" s="621" t="s">
        <v>2934</v>
      </c>
      <c r="B39" s="622"/>
      <c r="C39" s="2613" t="e">
        <f>R39</f>
        <v>#DIV/0!</v>
      </c>
      <c r="D39" s="2613"/>
      <c r="E39" s="2613"/>
      <c r="F39" s="2613"/>
      <c r="G39" s="2613"/>
      <c r="H39" s="2613"/>
      <c r="I39" s="2613"/>
      <c r="J39" s="2613"/>
      <c r="K39" s="1612"/>
      <c r="L39" s="2143"/>
      <c r="M39" s="2144"/>
      <c r="N39" s="2144"/>
      <c r="O39" s="2144"/>
      <c r="P39" s="3432" t="str">
        <f>A39</f>
        <v>估价对象XX用房的比较价格（楼面单价，元/平方米）</v>
      </c>
      <c r="Q39" s="3433"/>
      <c r="R39" s="3549" t="e">
        <f>IF(F1="售价",ROUND(AVERAGE(R38:V38),0),ROUND(AVERAGE(R38:V38),1))</f>
        <v>#DIV/0!</v>
      </c>
      <c r="S39" s="3549"/>
      <c r="T39" s="3549"/>
      <c r="U39" s="3549"/>
      <c r="V39" s="3549"/>
      <c r="W39" s="3549"/>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5" t="s">
        <v>529</v>
      </c>
      <c r="B48" s="646"/>
      <c r="C48" s="2778" t="str">
        <f>YEAR(C7)&amp;"-"&amp;MONTH(C7)</f>
        <v>2019-2</v>
      </c>
      <c r="D48" s="2780">
        <f>EDATE(C48,-1)</f>
        <v>43466</v>
      </c>
      <c r="E48" s="2780">
        <f t="shared" ref="E48:O48" si="16">EDATE(D48,-1)</f>
        <v>43435</v>
      </c>
      <c r="F48" s="2780">
        <f t="shared" si="16"/>
        <v>43405</v>
      </c>
      <c r="G48" s="2780">
        <f t="shared" si="16"/>
        <v>43374</v>
      </c>
      <c r="H48" s="2780">
        <f t="shared" si="16"/>
        <v>43344</v>
      </c>
      <c r="I48" s="2780">
        <f t="shared" si="16"/>
        <v>43313</v>
      </c>
      <c r="J48" s="2780">
        <f t="shared" si="16"/>
        <v>43282</v>
      </c>
      <c r="K48" s="2780">
        <f t="shared" si="16"/>
        <v>43252</v>
      </c>
      <c r="L48" s="2780">
        <f t="shared" si="16"/>
        <v>43221</v>
      </c>
      <c r="M48" s="2780">
        <f t="shared" si="16"/>
        <v>43191</v>
      </c>
      <c r="N48" s="2780">
        <f t="shared" si="16"/>
        <v>43160</v>
      </c>
      <c r="O48" s="2780">
        <f t="shared" si="16"/>
        <v>43132</v>
      </c>
      <c r="P48" s="2159"/>
      <c r="Q48" s="2160"/>
      <c r="R48" s="2160"/>
      <c r="S48" s="2160"/>
      <c r="T48" s="2160"/>
      <c r="U48" s="2160"/>
      <c r="V48" s="2160"/>
      <c r="W48" s="2160"/>
      <c r="X48" s="2160"/>
      <c r="Y48" s="2160"/>
      <c r="Z48" s="2160"/>
      <c r="AA48" s="2160"/>
      <c r="AB48" s="2160"/>
      <c r="AC48" s="2160"/>
    </row>
    <row r="49" spans="1:29" s="1218" customFormat="1" ht="15">
      <c r="A49" s="647"/>
      <c r="B49" s="648"/>
      <c r="C49" s="2779">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8"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8"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4" t="s">
        <v>2558</v>
      </c>
      <c r="C67" s="2575" t="s">
        <v>2559</v>
      </c>
      <c r="D67" s="2575" t="s">
        <v>2560</v>
      </c>
      <c r="E67" s="2575" t="s">
        <v>2561</v>
      </c>
      <c r="F67" s="2575" t="s">
        <v>2562</v>
      </c>
      <c r="G67" s="2575" t="s">
        <v>2563</v>
      </c>
      <c r="H67" s="674"/>
      <c r="I67" s="674"/>
      <c r="J67" s="674"/>
      <c r="K67" s="674"/>
      <c r="L67" s="674"/>
      <c r="M67" s="2578"/>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7"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923"/>
      <c r="C1" s="504" t="s">
        <v>792</v>
      </c>
      <c r="D1" s="849"/>
      <c r="E1" s="506"/>
      <c r="F1" s="2783"/>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41" t="s">
        <v>798</v>
      </c>
      <c r="D4" s="3442"/>
      <c r="E4" s="3476" t="s">
        <v>799</v>
      </c>
      <c r="F4" s="3477"/>
      <c r="G4" s="3441" t="s">
        <v>800</v>
      </c>
      <c r="H4" s="3442"/>
      <c r="I4" s="3441" t="s">
        <v>801</v>
      </c>
      <c r="J4" s="3442"/>
      <c r="K4" s="514" t="s">
        <v>802</v>
      </c>
      <c r="L4" s="2132"/>
      <c r="M4" s="2133"/>
      <c r="N4" s="2133"/>
      <c r="O4" s="2133"/>
      <c r="P4" s="3443" t="s">
        <v>803</v>
      </c>
      <c r="Q4" s="3444"/>
      <c r="R4" s="3449" t="s">
        <v>799</v>
      </c>
      <c r="S4" s="3450"/>
      <c r="T4" s="3449" t="s">
        <v>800</v>
      </c>
      <c r="U4" s="3450"/>
      <c r="V4" s="3436" t="s">
        <v>801</v>
      </c>
      <c r="W4" s="3436"/>
      <c r="X4" s="1566"/>
      <c r="Y4" s="3449" t="s">
        <v>803</v>
      </c>
      <c r="Z4" s="3450"/>
      <c r="AA4" s="3438" t="s">
        <v>799</v>
      </c>
      <c r="AB4" s="3439" t="s">
        <v>800</v>
      </c>
      <c r="AC4" s="3438" t="s">
        <v>801</v>
      </c>
    </row>
    <row r="5" spans="1:29" ht="15">
      <c r="A5" s="515"/>
      <c r="B5" s="516"/>
      <c r="C5" s="3457" t="s">
        <v>2928</v>
      </c>
      <c r="D5" s="3458"/>
      <c r="E5" s="3478" t="s">
        <v>2929</v>
      </c>
      <c r="F5" s="3479"/>
      <c r="G5" s="3457" t="s">
        <v>2930</v>
      </c>
      <c r="H5" s="3458"/>
      <c r="I5" s="3457" t="s">
        <v>2931</v>
      </c>
      <c r="J5" s="3458"/>
      <c r="K5" s="514"/>
      <c r="L5" s="2132"/>
      <c r="M5" s="2133"/>
      <c r="N5" s="2133"/>
      <c r="O5" s="2133"/>
      <c r="P5" s="3445"/>
      <c r="Q5" s="3446"/>
      <c r="R5" s="3451"/>
      <c r="S5" s="3452"/>
      <c r="T5" s="3451"/>
      <c r="U5" s="3452"/>
      <c r="V5" s="3436"/>
      <c r="W5" s="3436"/>
      <c r="X5" s="1566"/>
      <c r="Y5" s="3451"/>
      <c r="Z5" s="3452"/>
      <c r="AA5" s="3439"/>
      <c r="AB5" s="3439"/>
      <c r="AC5" s="3439"/>
    </row>
    <row r="6" spans="1:29" ht="15.75" thickBot="1">
      <c r="A6" s="517"/>
      <c r="B6" s="518"/>
      <c r="C6" s="3455" t="s">
        <v>2932</v>
      </c>
      <c r="D6" s="3456"/>
      <c r="E6" s="3474" t="s">
        <v>2932</v>
      </c>
      <c r="F6" s="3475"/>
      <c r="G6" s="3455" t="s">
        <v>2932</v>
      </c>
      <c r="H6" s="3456"/>
      <c r="I6" s="3455" t="s">
        <v>2932</v>
      </c>
      <c r="J6" s="3456"/>
      <c r="K6" s="514" t="s">
        <v>528</v>
      </c>
      <c r="L6" s="2132"/>
      <c r="M6" s="2133"/>
      <c r="N6" s="2133"/>
      <c r="O6" s="2133"/>
      <c r="P6" s="3447"/>
      <c r="Q6" s="3448"/>
      <c r="R6" s="3451"/>
      <c r="S6" s="3452"/>
      <c r="T6" s="3453"/>
      <c r="U6" s="3454"/>
      <c r="V6" s="3436"/>
      <c r="W6" s="3436"/>
      <c r="X6" s="1566"/>
      <c r="Y6" s="3453"/>
      <c r="Z6" s="3454"/>
      <c r="AA6" s="3440"/>
      <c r="AB6" s="3440"/>
      <c r="AC6" s="3440"/>
    </row>
    <row r="7" spans="1:29" s="1218" customFormat="1" ht="15.75" thickBot="1">
      <c r="A7" s="2888"/>
      <c r="B7" s="2895" t="s">
        <v>529</v>
      </c>
      <c r="C7" s="519">
        <f>'数据-取费表'!B2</f>
        <v>43510</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67" t="s">
        <v>530</v>
      </c>
      <c r="Q7" s="3469"/>
      <c r="R7" s="1567" t="s">
        <v>8</v>
      </c>
      <c r="S7" s="1568">
        <f t="shared" ref="S7:S14" si="0">F7</f>
        <v>0</v>
      </c>
      <c r="T7" s="1567" t="s">
        <v>8</v>
      </c>
      <c r="U7" s="1568">
        <f t="shared" ref="U7:U14" si="1">H7</f>
        <v>0</v>
      </c>
      <c r="V7" s="1567" t="s">
        <v>8</v>
      </c>
      <c r="W7" s="1568">
        <f t="shared" ref="W7:W14" si="2">J7</f>
        <v>0</v>
      </c>
      <c r="X7" s="1569"/>
      <c r="Y7" s="3467" t="s">
        <v>530</v>
      </c>
      <c r="Z7" s="3468"/>
      <c r="AA7" s="1570" t="e">
        <f>D7/F7</f>
        <v>#DIV/0!</v>
      </c>
      <c r="AB7" s="1570" t="e">
        <f>D7/H7</f>
        <v>#DIV/0!</v>
      </c>
      <c r="AC7" s="1570" t="e">
        <f>D7/J7</f>
        <v>#DIV/0!</v>
      </c>
    </row>
    <row r="8" spans="1:29" s="1218" customFormat="1" ht="15.75" thickBot="1">
      <c r="A8" s="2889"/>
      <c r="B8" s="2896"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67" t="s">
        <v>533</v>
      </c>
      <c r="Q8" s="3468"/>
      <c r="R8" s="1567" t="s">
        <v>8</v>
      </c>
      <c r="S8" s="1568">
        <f t="shared" si="0"/>
        <v>0</v>
      </c>
      <c r="T8" s="1567" t="s">
        <v>8</v>
      </c>
      <c r="U8" s="1568">
        <f t="shared" si="1"/>
        <v>0</v>
      </c>
      <c r="V8" s="1567" t="s">
        <v>8</v>
      </c>
      <c r="W8" s="1568">
        <f t="shared" si="2"/>
        <v>0</v>
      </c>
      <c r="X8" s="1569"/>
      <c r="Y8" s="3467" t="s">
        <v>533</v>
      </c>
      <c r="Z8" s="3468"/>
      <c r="AA8" s="1570" t="e">
        <f t="shared" ref="AA8:AA34" si="3">D8/F8</f>
        <v>#DIV/0!</v>
      </c>
      <c r="AB8" s="1570" t="e">
        <f t="shared" ref="AB8:AB34" si="4">D8/H8</f>
        <v>#DIV/0!</v>
      </c>
      <c r="AC8" s="1570" t="e">
        <f t="shared" ref="AC8:AC34" si="5">D8/J8</f>
        <v>#DIV/0!</v>
      </c>
    </row>
    <row r="9" spans="1:29" s="1218" customFormat="1" ht="15">
      <c r="A9" s="2890"/>
      <c r="B9" s="2897"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35" t="s">
        <v>535</v>
      </c>
      <c r="Q9" s="1149" t="str">
        <f t="shared" ref="Q9:Q14" si="6">B9</f>
        <v>用途</v>
      </c>
      <c r="R9" s="1567" t="s">
        <v>8</v>
      </c>
      <c r="S9" s="1568">
        <f t="shared" si="0"/>
        <v>100</v>
      </c>
      <c r="T9" s="1567" t="s">
        <v>8</v>
      </c>
      <c r="U9" s="1568">
        <f t="shared" si="1"/>
        <v>100</v>
      </c>
      <c r="V9" s="1567" t="s">
        <v>8</v>
      </c>
      <c r="W9" s="1568">
        <f t="shared" si="2"/>
        <v>100</v>
      </c>
      <c r="X9" s="1569"/>
      <c r="Y9" s="3375" t="s">
        <v>536</v>
      </c>
      <c r="Z9" s="1148" t="str">
        <f t="shared" ref="Z9:Z14" si="7">Q9</f>
        <v>用途</v>
      </c>
      <c r="AA9" s="1570">
        <f t="shared" si="3"/>
        <v>1</v>
      </c>
      <c r="AB9" s="1570">
        <f t="shared" si="4"/>
        <v>1</v>
      </c>
      <c r="AC9" s="1570">
        <f t="shared" si="5"/>
        <v>1</v>
      </c>
    </row>
    <row r="10" spans="1:29" s="1336" customFormat="1" ht="27">
      <c r="A10" s="2891"/>
      <c r="B10" s="2896"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35"/>
      <c r="Q10" s="1149" t="str">
        <f t="shared" si="6"/>
        <v>土地使用年限（年）</v>
      </c>
      <c r="R10" s="1567" t="s">
        <v>8</v>
      </c>
      <c r="S10" s="1568">
        <f t="shared" si="0"/>
        <v>100</v>
      </c>
      <c r="T10" s="1567" t="s">
        <v>8</v>
      </c>
      <c r="U10" s="1568">
        <f t="shared" si="1"/>
        <v>100</v>
      </c>
      <c r="V10" s="1567" t="s">
        <v>8</v>
      </c>
      <c r="W10" s="1568">
        <f t="shared" si="2"/>
        <v>100</v>
      </c>
      <c r="X10" s="1569"/>
      <c r="Y10" s="3375"/>
      <c r="Z10" s="1148" t="str">
        <f t="shared" si="7"/>
        <v>土地使用年限（年）</v>
      </c>
      <c r="AA10" s="1570">
        <f t="shared" si="3"/>
        <v>1</v>
      </c>
      <c r="AB10" s="1570">
        <f t="shared" si="4"/>
        <v>1</v>
      </c>
      <c r="AC10" s="1570">
        <f t="shared" si="5"/>
        <v>1</v>
      </c>
    </row>
    <row r="11" spans="1:29" ht="15">
      <c r="A11" s="2893"/>
      <c r="B11" s="2899">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435"/>
      <c r="Q11" s="1149">
        <f t="shared" si="6"/>
        <v>111</v>
      </c>
      <c r="R11" s="1567" t="s">
        <v>8</v>
      </c>
      <c r="S11" s="1568">
        <f t="shared" si="0"/>
        <v>100</v>
      </c>
      <c r="T11" s="1567" t="s">
        <v>8</v>
      </c>
      <c r="U11" s="1568">
        <f t="shared" si="1"/>
        <v>100</v>
      </c>
      <c r="V11" s="1567" t="s">
        <v>8</v>
      </c>
      <c r="W11" s="1568">
        <f t="shared" si="2"/>
        <v>100</v>
      </c>
      <c r="X11" s="1569"/>
      <c r="Y11" s="3375"/>
      <c r="Z11" s="1148">
        <f t="shared" si="7"/>
        <v>111</v>
      </c>
      <c r="AA11" s="1570">
        <f t="shared" si="3"/>
        <v>1</v>
      </c>
      <c r="AB11" s="1570">
        <f t="shared" si="4"/>
        <v>1</v>
      </c>
      <c r="AC11" s="1570">
        <f t="shared" si="5"/>
        <v>1</v>
      </c>
    </row>
    <row r="12" spans="1:29" s="1218" customFormat="1" ht="15">
      <c r="A12" s="2893"/>
      <c r="B12" s="2899">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435"/>
      <c r="Q12" s="1149">
        <f t="shared" si="6"/>
        <v>111</v>
      </c>
      <c r="R12" s="1567" t="s">
        <v>8</v>
      </c>
      <c r="S12" s="1568">
        <f t="shared" si="0"/>
        <v>100</v>
      </c>
      <c r="T12" s="1567" t="s">
        <v>8</v>
      </c>
      <c r="U12" s="1568">
        <f t="shared" si="1"/>
        <v>100</v>
      </c>
      <c r="V12" s="1567" t="s">
        <v>8</v>
      </c>
      <c r="W12" s="1568">
        <f t="shared" si="2"/>
        <v>100</v>
      </c>
      <c r="X12" s="1569"/>
      <c r="Y12" s="3375"/>
      <c r="Z12" s="1148">
        <f t="shared" si="7"/>
        <v>111</v>
      </c>
      <c r="AA12" s="1570">
        <f>D12/F12</f>
        <v>1</v>
      </c>
      <c r="AB12" s="1570">
        <f>D12/H12</f>
        <v>1</v>
      </c>
      <c r="AC12" s="1570">
        <f>D12/J12</f>
        <v>1</v>
      </c>
    </row>
    <row r="13" spans="1:29" ht="15.75" thickBot="1">
      <c r="A13" s="2894"/>
      <c r="B13" s="2900">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435"/>
      <c r="Q13" s="1149">
        <f t="shared" si="6"/>
        <v>111</v>
      </c>
      <c r="R13" s="1567" t="s">
        <v>8</v>
      </c>
      <c r="S13" s="1568">
        <f t="shared" si="0"/>
        <v>100</v>
      </c>
      <c r="T13" s="1567" t="s">
        <v>8</v>
      </c>
      <c r="U13" s="1568">
        <f t="shared" si="1"/>
        <v>100</v>
      </c>
      <c r="V13" s="1567" t="s">
        <v>8</v>
      </c>
      <c r="W13" s="1568">
        <f t="shared" si="2"/>
        <v>100</v>
      </c>
      <c r="X13" s="1569"/>
      <c r="Y13" s="3375"/>
      <c r="Z13" s="1148">
        <f t="shared" si="7"/>
        <v>111</v>
      </c>
      <c r="AA13" s="1570">
        <f t="shared" si="3"/>
        <v>1</v>
      </c>
      <c r="AB13" s="1570">
        <f t="shared" si="4"/>
        <v>1</v>
      </c>
      <c r="AC13" s="1570">
        <f t="shared" si="5"/>
        <v>1</v>
      </c>
    </row>
    <row r="14" spans="1:29" ht="85.5">
      <c r="A14" s="288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70" t="s">
        <v>540</v>
      </c>
      <c r="Q14" s="1571" t="str">
        <f t="shared" si="6"/>
        <v>交通便捷度</v>
      </c>
      <c r="R14" s="1572" t="s">
        <v>8</v>
      </c>
      <c r="S14" s="1573">
        <f t="shared" si="0"/>
        <v>100</v>
      </c>
      <c r="T14" s="1572" t="s">
        <v>8</v>
      </c>
      <c r="U14" s="1573">
        <f t="shared" si="1"/>
        <v>100</v>
      </c>
      <c r="V14" s="1572" t="s">
        <v>8</v>
      </c>
      <c r="W14" s="1573">
        <f t="shared" si="2"/>
        <v>100</v>
      </c>
      <c r="X14" s="1566"/>
      <c r="Y14" s="3470"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471"/>
      <c r="Q15" s="1571"/>
      <c r="R15" s="1572"/>
      <c r="S15" s="1573"/>
      <c r="T15" s="1572"/>
      <c r="U15" s="1573"/>
      <c r="V15" s="1572"/>
      <c r="W15" s="1573"/>
      <c r="X15" s="1566"/>
      <c r="Y15" s="3471"/>
      <c r="Z15" s="1574"/>
      <c r="AA15" s="1575">
        <v>1</v>
      </c>
      <c r="AB15" s="1575">
        <v>1</v>
      </c>
      <c r="AC15" s="1575">
        <v>1</v>
      </c>
    </row>
    <row r="16" spans="1:29" ht="42.75">
      <c r="A16" s="532"/>
      <c r="B16" s="2580"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71"/>
      <c r="Q16" s="1571" t="str">
        <f>B16</f>
        <v>公共配套设施</v>
      </c>
      <c r="R16" s="1572" t="s">
        <v>8</v>
      </c>
      <c r="S16" s="1573">
        <f>F16</f>
        <v>100</v>
      </c>
      <c r="T16" s="1572" t="s">
        <v>8</v>
      </c>
      <c r="U16" s="1573">
        <f>H16</f>
        <v>100</v>
      </c>
      <c r="V16" s="1572" t="s">
        <v>8</v>
      </c>
      <c r="W16" s="1573">
        <f>J16</f>
        <v>100</v>
      </c>
      <c r="X16" s="1566"/>
      <c r="Y16" s="347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471"/>
      <c r="Q17" s="1571"/>
      <c r="R17" s="1572"/>
      <c r="S17" s="1573"/>
      <c r="T17" s="1572"/>
      <c r="U17" s="1573"/>
      <c r="V17" s="1572"/>
      <c r="W17" s="1573"/>
      <c r="X17" s="1566"/>
      <c r="Y17" s="3471"/>
      <c r="Z17" s="1574"/>
      <c r="AA17" s="1575">
        <v>1</v>
      </c>
      <c r="AB17" s="1575">
        <v>1</v>
      </c>
      <c r="AC17" s="1575">
        <v>1</v>
      </c>
    </row>
    <row r="18" spans="1:29" ht="28.5">
      <c r="A18" s="532"/>
      <c r="B18" s="2568"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71"/>
      <c r="Q18" s="2556" t="str">
        <f>B18</f>
        <v>基础设施水平</v>
      </c>
      <c r="R18" s="1572" t="s">
        <v>8</v>
      </c>
      <c r="S18" s="1573">
        <f>F18</f>
        <v>100</v>
      </c>
      <c r="T18" s="1572" t="s">
        <v>8</v>
      </c>
      <c r="U18" s="1573">
        <f>H18</f>
        <v>100</v>
      </c>
      <c r="V18" s="1572" t="s">
        <v>8</v>
      </c>
      <c r="W18" s="1573">
        <f>J18</f>
        <v>100</v>
      </c>
      <c r="X18" s="2558"/>
      <c r="Y18" s="3471"/>
      <c r="Z18" s="2557"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79"/>
      <c r="L19" s="2141"/>
      <c r="M19" s="2133"/>
      <c r="N19" s="2133"/>
      <c r="O19" s="2140"/>
      <c r="P19" s="3471"/>
      <c r="Q19" s="2556"/>
      <c r="R19" s="1572"/>
      <c r="S19" s="1573"/>
      <c r="T19" s="1572"/>
      <c r="U19" s="1573"/>
      <c r="V19" s="1572"/>
      <c r="W19" s="1573"/>
      <c r="X19" s="2558"/>
      <c r="Y19" s="3471"/>
      <c r="Z19" s="2557"/>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71"/>
      <c r="Q20" s="1571" t="str">
        <f>B20</f>
        <v>自然及人文环境</v>
      </c>
      <c r="R20" s="1572" t="s">
        <v>8</v>
      </c>
      <c r="S20" s="1573">
        <f>F20</f>
        <v>100</v>
      </c>
      <c r="T20" s="1572" t="s">
        <v>8</v>
      </c>
      <c r="U20" s="1573">
        <f>H20</f>
        <v>100</v>
      </c>
      <c r="V20" s="1572" t="s">
        <v>8</v>
      </c>
      <c r="W20" s="1573">
        <f>J20</f>
        <v>100</v>
      </c>
      <c r="X20" s="1566"/>
      <c r="Y20" s="347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471"/>
      <c r="Q21" s="1571"/>
      <c r="R21" s="1572"/>
      <c r="S21" s="1573"/>
      <c r="T21" s="1572"/>
      <c r="U21" s="1573"/>
      <c r="V21" s="1572"/>
      <c r="W21" s="1573"/>
      <c r="X21" s="1566"/>
      <c r="Y21" s="3471"/>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71"/>
      <c r="Q22" s="1571" t="str">
        <f>B22</f>
        <v>楼层</v>
      </c>
      <c r="R22" s="1572" t="s">
        <v>8</v>
      </c>
      <c r="S22" s="1573">
        <f>F22</f>
        <v>100</v>
      </c>
      <c r="T22" s="1572" t="s">
        <v>8</v>
      </c>
      <c r="U22" s="1573">
        <f>H22</f>
        <v>100</v>
      </c>
      <c r="V22" s="1572" t="s">
        <v>8</v>
      </c>
      <c r="W22" s="1573">
        <f>J22</f>
        <v>100</v>
      </c>
      <c r="X22" s="1566"/>
      <c r="Y22" s="347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71"/>
      <c r="Q23" s="1571">
        <f>B23</f>
        <v>111</v>
      </c>
      <c r="R23" s="1572" t="s">
        <v>8</v>
      </c>
      <c r="S23" s="1573">
        <f>F23</f>
        <v>100</v>
      </c>
      <c r="T23" s="1572" t="s">
        <v>8</v>
      </c>
      <c r="U23" s="1573">
        <f>H23</f>
        <v>100</v>
      </c>
      <c r="V23" s="1572" t="s">
        <v>8</v>
      </c>
      <c r="W23" s="1573">
        <f>J23</f>
        <v>100</v>
      </c>
      <c r="X23" s="1566"/>
      <c r="Y23" s="347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71"/>
      <c r="Q24" s="1571">
        <f t="shared" ref="Q24:Q34" si="11">B24</f>
        <v>111</v>
      </c>
      <c r="R24" s="1572" t="s">
        <v>8</v>
      </c>
      <c r="S24" s="1573">
        <f>F24</f>
        <v>100</v>
      </c>
      <c r="T24" s="1572" t="s">
        <v>8</v>
      </c>
      <c r="U24" s="1573">
        <f>H24</f>
        <v>100</v>
      </c>
      <c r="V24" s="1572" t="s">
        <v>8</v>
      </c>
      <c r="W24" s="1573">
        <f>J24</f>
        <v>100</v>
      </c>
      <c r="X24" s="1566"/>
      <c r="Y24" s="3471"/>
      <c r="Z24" s="1574">
        <f>Q24</f>
        <v>111</v>
      </c>
      <c r="AA24" s="1575">
        <f t="shared" si="3"/>
        <v>1</v>
      </c>
      <c r="AB24" s="1575">
        <f t="shared" si="4"/>
        <v>1</v>
      </c>
      <c r="AC24" s="1575">
        <f t="shared" si="5"/>
        <v>1</v>
      </c>
    </row>
    <row r="25" spans="1:29" s="1218"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71"/>
      <c r="Q25" s="1149">
        <f t="shared" si="11"/>
        <v>111</v>
      </c>
      <c r="R25" s="1567" t="s">
        <v>8</v>
      </c>
      <c r="S25" s="1568">
        <f>F25</f>
        <v>100</v>
      </c>
      <c r="T25" s="1567" t="s">
        <v>8</v>
      </c>
      <c r="U25" s="1568">
        <f>H25</f>
        <v>100</v>
      </c>
      <c r="V25" s="1567" t="s">
        <v>8</v>
      </c>
      <c r="W25" s="1568">
        <f>J25</f>
        <v>100</v>
      </c>
      <c r="X25" s="1569"/>
      <c r="Y25" s="3471"/>
      <c r="Z25" s="1148">
        <f>Q25</f>
        <v>111</v>
      </c>
      <c r="AA25" s="1575">
        <f>D25/F25</f>
        <v>1</v>
      </c>
      <c r="AB25" s="1575">
        <f>D25/H25</f>
        <v>1</v>
      </c>
      <c r="AC25" s="1575">
        <f>D25/J25</f>
        <v>1</v>
      </c>
    </row>
    <row r="26" spans="1:29" ht="15">
      <c r="A26" s="288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72"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73" t="s">
        <v>821</v>
      </c>
      <c r="Z26" s="1574" t="str">
        <f t="shared" ref="Z26:Z34" si="15">Q26</f>
        <v>公共部分装修</v>
      </c>
      <c r="AA26" s="1575">
        <f t="shared" si="3"/>
        <v>1</v>
      </c>
      <c r="AB26" s="1575">
        <f t="shared" si="4"/>
        <v>1</v>
      </c>
      <c r="AC26" s="1575">
        <f t="shared" si="5"/>
        <v>1</v>
      </c>
    </row>
    <row r="27" spans="1:29" s="1337"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73"/>
      <c r="Q27" s="1604" t="str">
        <f t="shared" si="11"/>
        <v>成新率</v>
      </c>
      <c r="R27" s="1576" t="s">
        <v>8</v>
      </c>
      <c r="S27" s="1577" t="e">
        <f t="shared" si="12"/>
        <v>#N/A</v>
      </c>
      <c r="T27" s="1576" t="s">
        <v>8</v>
      </c>
      <c r="U27" s="1577" t="e">
        <f t="shared" si="13"/>
        <v>#N/A</v>
      </c>
      <c r="V27" s="1576" t="s">
        <v>8</v>
      </c>
      <c r="W27" s="1577" t="e">
        <f t="shared" si="14"/>
        <v>#N/A</v>
      </c>
      <c r="X27" s="1578"/>
      <c r="Y27" s="3473"/>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73"/>
      <c r="Q28" s="1571" t="str">
        <f t="shared" si="11"/>
        <v>物业等级</v>
      </c>
      <c r="R28" s="1572" t="s">
        <v>8</v>
      </c>
      <c r="S28" s="1573">
        <f t="shared" si="12"/>
        <v>100</v>
      </c>
      <c r="T28" s="1572" t="s">
        <v>8</v>
      </c>
      <c r="U28" s="1573">
        <f t="shared" si="13"/>
        <v>100</v>
      </c>
      <c r="V28" s="1572" t="s">
        <v>8</v>
      </c>
      <c r="W28" s="1573">
        <f t="shared" si="14"/>
        <v>100</v>
      </c>
      <c r="X28" s="1566"/>
      <c r="Y28" s="3473"/>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73"/>
      <c r="Q29" s="1571" t="str">
        <f t="shared" si="11"/>
        <v>有无电梯</v>
      </c>
      <c r="R29" s="1572" t="s">
        <v>8</v>
      </c>
      <c r="S29" s="1573">
        <f t="shared" si="12"/>
        <v>100</v>
      </c>
      <c r="T29" s="1572" t="s">
        <v>8</v>
      </c>
      <c r="U29" s="1573">
        <f t="shared" si="13"/>
        <v>100</v>
      </c>
      <c r="V29" s="1572" t="s">
        <v>8</v>
      </c>
      <c r="W29" s="1573">
        <f t="shared" si="14"/>
        <v>100</v>
      </c>
      <c r="X29" s="1566"/>
      <c r="Y29" s="3473"/>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73"/>
      <c r="Q30" s="1571" t="str">
        <f t="shared" si="11"/>
        <v>建筑面积</v>
      </c>
      <c r="R30" s="1572" t="s">
        <v>8</v>
      </c>
      <c r="S30" s="1573" t="e">
        <f t="shared" si="12"/>
        <v>#N/A</v>
      </c>
      <c r="T30" s="1572" t="s">
        <v>8</v>
      </c>
      <c r="U30" s="1573" t="e">
        <f t="shared" si="13"/>
        <v>#N/A</v>
      </c>
      <c r="V30" s="1572" t="s">
        <v>8</v>
      </c>
      <c r="W30" s="1573" t="e">
        <f t="shared" si="14"/>
        <v>#N/A</v>
      </c>
      <c r="X30" s="1566"/>
      <c r="Y30" s="3473"/>
      <c r="Z30" s="1574" t="str">
        <f t="shared" si="15"/>
        <v>建筑面积</v>
      </c>
      <c r="AA30" s="1575" t="e">
        <f t="shared" si="3"/>
        <v>#N/A</v>
      </c>
      <c r="AB30" s="1575" t="e">
        <f t="shared" si="4"/>
        <v>#N/A</v>
      </c>
      <c r="AC30" s="1575" t="e">
        <f t="shared" si="5"/>
        <v>#N/A</v>
      </c>
    </row>
    <row r="31" spans="1:29" s="1218"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73"/>
      <c r="Q31" s="1149" t="str">
        <f t="shared" si="11"/>
        <v>是否封闭</v>
      </c>
      <c r="R31" s="1567" t="s">
        <v>8</v>
      </c>
      <c r="S31" s="1568">
        <f t="shared" si="12"/>
        <v>100</v>
      </c>
      <c r="T31" s="1567" t="s">
        <v>8</v>
      </c>
      <c r="U31" s="1568">
        <f t="shared" si="13"/>
        <v>100</v>
      </c>
      <c r="V31" s="1567" t="s">
        <v>8</v>
      </c>
      <c r="W31" s="1568">
        <f t="shared" si="14"/>
        <v>100</v>
      </c>
      <c r="X31" s="1569"/>
      <c r="Y31" s="3473"/>
      <c r="Z31" s="1148"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73" t="s">
        <v>550</v>
      </c>
      <c r="Q32" s="1571">
        <f t="shared" si="11"/>
        <v>111</v>
      </c>
      <c r="R32" s="1572" t="s">
        <v>8</v>
      </c>
      <c r="S32" s="1573">
        <f t="shared" si="12"/>
        <v>100</v>
      </c>
      <c r="T32" s="1572" t="s">
        <v>8</v>
      </c>
      <c r="U32" s="1573">
        <f t="shared" si="13"/>
        <v>100</v>
      </c>
      <c r="V32" s="1572" t="s">
        <v>8</v>
      </c>
      <c r="W32" s="1573">
        <f t="shared" si="14"/>
        <v>100</v>
      </c>
      <c r="X32" s="1566"/>
      <c r="Y32" s="3473"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73"/>
      <c r="Q33" s="1571">
        <f t="shared" si="11"/>
        <v>111</v>
      </c>
      <c r="R33" s="1572" t="s">
        <v>8</v>
      </c>
      <c r="S33" s="1573">
        <f t="shared" si="12"/>
        <v>100</v>
      </c>
      <c r="T33" s="1572" t="s">
        <v>8</v>
      </c>
      <c r="U33" s="1573">
        <f t="shared" si="13"/>
        <v>100</v>
      </c>
      <c r="V33" s="1572" t="s">
        <v>8</v>
      </c>
      <c r="W33" s="1573">
        <f t="shared" si="14"/>
        <v>100</v>
      </c>
      <c r="X33" s="1566"/>
      <c r="Y33" s="347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73"/>
      <c r="Q34" s="1571">
        <f t="shared" si="11"/>
        <v>111</v>
      </c>
      <c r="R34" s="1572" t="s">
        <v>8</v>
      </c>
      <c r="S34" s="1573">
        <f t="shared" si="12"/>
        <v>100</v>
      </c>
      <c r="T34" s="1572" t="s">
        <v>8</v>
      </c>
      <c r="U34" s="1573">
        <f t="shared" si="13"/>
        <v>100</v>
      </c>
      <c r="V34" s="1572" t="s">
        <v>8</v>
      </c>
      <c r="W34" s="1573">
        <f t="shared" si="14"/>
        <v>100</v>
      </c>
      <c r="X34" s="1566"/>
      <c r="Y34" s="3473"/>
      <c r="Z34" s="1574">
        <f t="shared" si="15"/>
        <v>111</v>
      </c>
      <c r="AA34" s="1575">
        <f t="shared" si="3"/>
        <v>1</v>
      </c>
      <c r="AB34" s="1575">
        <f t="shared" si="4"/>
        <v>1</v>
      </c>
      <c r="AC34" s="1575">
        <f t="shared" si="5"/>
        <v>1</v>
      </c>
    </row>
    <row r="35" spans="1:29" ht="15">
      <c r="A35" s="607" t="s">
        <v>736</v>
      </c>
      <c r="B35" s="887"/>
      <c r="C35" s="2604" t="s">
        <v>1</v>
      </c>
      <c r="D35" s="2605"/>
      <c r="E35" s="2606"/>
      <c r="F35" s="2607"/>
      <c r="G35" s="2608"/>
      <c r="H35" s="2609"/>
      <c r="I35" s="2606"/>
      <c r="J35" s="2609"/>
      <c r="K35" s="1610"/>
      <c r="L35" s="2143"/>
      <c r="M35" s="2144"/>
      <c r="N35" s="2133"/>
      <c r="O35" s="2144"/>
      <c r="P35" s="3435" t="str">
        <f>A35</f>
        <v>成交单价（元/平方米）</v>
      </c>
      <c r="Q35" s="3435"/>
      <c r="R35" s="3550">
        <f>E35</f>
        <v>0</v>
      </c>
      <c r="S35" s="3550"/>
      <c r="T35" s="3550">
        <f>G35</f>
        <v>0</v>
      </c>
      <c r="U35" s="3550"/>
      <c r="V35" s="3550">
        <f>I35</f>
        <v>0</v>
      </c>
      <c r="W35" s="3550"/>
      <c r="X35" s="1558"/>
      <c r="Y35" s="1580"/>
      <c r="Z35" s="1558"/>
      <c r="AA35" s="1558"/>
      <c r="AB35" s="1558"/>
      <c r="AC35" s="1558"/>
    </row>
    <row r="36" spans="1:29" ht="15.75" thickBot="1">
      <c r="A36" s="615" t="s">
        <v>2759</v>
      </c>
      <c r="B36" s="888"/>
      <c r="C36" s="2610" t="e">
        <f>R37</f>
        <v>#DIV/0!</v>
      </c>
      <c r="D36" s="2611"/>
      <c r="E36" s="2612" t="e">
        <f>R36</f>
        <v>#DIV/0!</v>
      </c>
      <c r="F36" s="2612"/>
      <c r="G36" s="2610" t="e">
        <f>T36</f>
        <v>#DIV/0!</v>
      </c>
      <c r="H36" s="2611"/>
      <c r="I36" s="2612" t="e">
        <f>V36</f>
        <v>#DIV/0!</v>
      </c>
      <c r="J36" s="2611"/>
      <c r="K36" s="1611"/>
      <c r="L36" s="2143"/>
      <c r="M36" s="2144"/>
      <c r="N36" s="2133"/>
      <c r="O36" s="2144"/>
      <c r="P36" s="3435" t="str">
        <f>A36</f>
        <v>比较价格（元/平方米）</v>
      </c>
      <c r="Q36" s="3435"/>
      <c r="R36" s="3550" t="e">
        <f>IF(F1="售价",ROUND(PRODUCT(R35,AA7:AA34),0),ROUND(PRODUCT(R35,AA7:AA34),1))</f>
        <v>#DIV/0!</v>
      </c>
      <c r="S36" s="3550"/>
      <c r="T36" s="3550" t="e">
        <f>IF(F1="售价",ROUND(PRODUCT(T35,AB7:AB34),0),ROUND(PRODUCT(T35,AB7:AB34),1))</f>
        <v>#DIV/0!</v>
      </c>
      <c r="U36" s="3550"/>
      <c r="V36" s="3550" t="e">
        <f>IF(F1="售价",ROUND(PRODUCT(V35,AC7:AC34),0),ROUND(PRODUCT(V35,AC7:AC34),1))</f>
        <v>#DIV/0!</v>
      </c>
      <c r="W36" s="3550"/>
      <c r="X36" s="1558"/>
      <c r="Y36" s="1558"/>
      <c r="Z36" s="1558"/>
      <c r="AA36" s="1558"/>
      <c r="AB36" s="1558"/>
      <c r="AC36" s="1558"/>
    </row>
    <row r="37" spans="1:29" ht="15.75" thickBot="1">
      <c r="A37" s="621" t="s">
        <v>2934</v>
      </c>
      <c r="B37" s="622"/>
      <c r="C37" s="2613" t="e">
        <f>R37</f>
        <v>#DIV/0!</v>
      </c>
      <c r="D37" s="2613"/>
      <c r="E37" s="2613"/>
      <c r="F37" s="2613"/>
      <c r="G37" s="2613"/>
      <c r="H37" s="2613"/>
      <c r="I37" s="2613"/>
      <c r="J37" s="2613"/>
      <c r="K37" s="1612"/>
      <c r="L37" s="2143"/>
      <c r="M37" s="2144"/>
      <c r="N37" s="2144"/>
      <c r="O37" s="2144"/>
      <c r="P37" s="3432" t="str">
        <f>A37</f>
        <v>估价对象XX用房的比较价格（楼面单价，元/平方米）</v>
      </c>
      <c r="Q37" s="3433"/>
      <c r="R37" s="3549" t="e">
        <f>IF(F1="售价",ROUND(AVERAGE(R36:V36),0),ROUND(AVERAGE(R36:V36),1))</f>
        <v>#DIV/0!</v>
      </c>
      <c r="S37" s="3549"/>
      <c r="T37" s="3549"/>
      <c r="U37" s="3549"/>
      <c r="V37" s="3549"/>
      <c r="W37" s="3549"/>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5" customFormat="1" ht="15">
      <c r="A46" s="645" t="s">
        <v>529</v>
      </c>
      <c r="B46" s="646"/>
      <c r="C46" s="2778" t="str">
        <f>YEAR(C7)&amp;"-"&amp;MONTH(C7)</f>
        <v>2019-2</v>
      </c>
      <c r="D46" s="2780">
        <f>EDATE(C46,-1)</f>
        <v>43466</v>
      </c>
      <c r="E46" s="2780">
        <f t="shared" ref="E46:O46" si="16">EDATE(D46,-1)</f>
        <v>43435</v>
      </c>
      <c r="F46" s="2780">
        <f t="shared" si="16"/>
        <v>43405</v>
      </c>
      <c r="G46" s="2780">
        <f t="shared" si="16"/>
        <v>43374</v>
      </c>
      <c r="H46" s="2780">
        <f t="shared" si="16"/>
        <v>43344</v>
      </c>
      <c r="I46" s="2780">
        <f t="shared" si="16"/>
        <v>43313</v>
      </c>
      <c r="J46" s="2780">
        <f t="shared" si="16"/>
        <v>43282</v>
      </c>
      <c r="K46" s="2780">
        <f t="shared" si="16"/>
        <v>43252</v>
      </c>
      <c r="L46" s="2780">
        <f t="shared" si="16"/>
        <v>43221</v>
      </c>
      <c r="M46" s="2780">
        <f t="shared" si="16"/>
        <v>43191</v>
      </c>
      <c r="N46" s="2780">
        <f t="shared" si="16"/>
        <v>43160</v>
      </c>
      <c r="O46" s="2780">
        <f t="shared" si="16"/>
        <v>43132</v>
      </c>
      <c r="P46" s="2159"/>
      <c r="Q46" s="2160"/>
      <c r="R46" s="2160"/>
      <c r="S46" s="2160"/>
      <c r="T46" s="2160"/>
      <c r="U46" s="2160"/>
      <c r="V46" s="2160"/>
      <c r="W46" s="2160"/>
      <c r="X46" s="2160"/>
      <c r="Y46" s="2160"/>
      <c r="Z46" s="2160"/>
      <c r="AA46" s="2160"/>
      <c r="AB46" s="2160"/>
      <c r="AC46" s="2160"/>
    </row>
    <row r="47" spans="1:29" s="1218"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8"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8"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4" t="s">
        <v>2558</v>
      </c>
      <c r="C65" s="2575" t="s">
        <v>2559</v>
      </c>
      <c r="D65" s="2575" t="s">
        <v>2560</v>
      </c>
      <c r="E65" s="2575" t="s">
        <v>2561</v>
      </c>
      <c r="F65" s="2575" t="s">
        <v>2562</v>
      </c>
      <c r="G65" s="2575" t="s">
        <v>2563</v>
      </c>
      <c r="H65" s="674"/>
      <c r="I65" s="674"/>
      <c r="J65" s="674"/>
      <c r="K65" s="674"/>
      <c r="L65" s="674"/>
      <c r="M65" s="2578"/>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7"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2787</v>
      </c>
      <c r="C1" s="2980">
        <f>项目基本情况!D3</f>
        <v>43510</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2818</v>
      </c>
      <c r="C2" s="2981">
        <f>'数据-取费表'!B22</f>
        <v>2</v>
      </c>
      <c r="D2" s="2976" t="s">
        <v>2788</v>
      </c>
      <c r="E2" s="2979">
        <f ca="1">INDIRECT("I"&amp;$I$1)/100</f>
        <v>4.7500000000000001E-2</v>
      </c>
      <c r="G2" s="2916"/>
      <c r="H2" s="2916"/>
      <c r="I2" s="2916" t="s">
        <v>2789</v>
      </c>
      <c r="K2" s="2916"/>
      <c r="L2" s="2916"/>
      <c r="M2" s="2916"/>
      <c r="N2" s="2916" t="s">
        <v>2790</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2820</v>
      </c>
      <c r="C3" s="2978">
        <f>'数据-取费表'!B19</f>
        <v>0</v>
      </c>
      <c r="D3" s="2976" t="s">
        <v>2788</v>
      </c>
      <c r="E3" s="2979">
        <f ca="1">INDIRECT("J"&amp;$J$1)/100</f>
        <v>0</v>
      </c>
      <c r="G3" s="2918" t="s">
        <v>2791</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2819</v>
      </c>
      <c r="C4" s="2979">
        <f ca="1">N4/100</f>
        <v>1.4999999999999999E-2</v>
      </c>
      <c r="G4" s="2924" t="s">
        <v>2792</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2793</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2794</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2795</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2796</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2797</v>
      </c>
      <c r="C10" s="2943"/>
      <c r="D10" s="2943"/>
      <c r="E10" s="2943"/>
      <c r="F10" s="2943"/>
      <c r="G10" s="2943"/>
      <c r="H10" s="2943"/>
      <c r="I10" s="2917"/>
      <c r="J10" s="2917"/>
      <c r="K10" s="2943"/>
      <c r="L10" s="2944" t="s">
        <v>2798</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2799</v>
      </c>
      <c r="C11" s="2948" t="s">
        <v>2800</v>
      </c>
      <c r="D11" s="2949" t="s">
        <v>2801</v>
      </c>
      <c r="E11" s="2950"/>
      <c r="F11" s="2949" t="s">
        <v>2802</v>
      </c>
      <c r="G11" s="2951"/>
      <c r="H11" s="2950"/>
      <c r="I11" s="2949" t="s">
        <v>2803</v>
      </c>
      <c r="J11" s="2950"/>
      <c r="K11" s="2946"/>
      <c r="L11" s="2947" t="s">
        <v>2799</v>
      </c>
      <c r="M11" s="2948" t="s">
        <v>2800</v>
      </c>
      <c r="N11" s="2947" t="s">
        <v>2804</v>
      </c>
      <c r="O11" s="2949" t="s">
        <v>2805</v>
      </c>
      <c r="P11" s="2951"/>
      <c r="Q11" s="2951"/>
      <c r="R11" s="2951"/>
      <c r="S11" s="2951"/>
      <c r="T11" s="2950"/>
      <c r="U11" s="2949" t="s">
        <v>2806</v>
      </c>
      <c r="V11" s="2951"/>
      <c r="W11" s="2950"/>
      <c r="X11" s="2947" t="s">
        <v>2807</v>
      </c>
      <c r="Y11" s="2947" t="s">
        <v>2808</v>
      </c>
      <c r="Z11" s="2947" t="s">
        <v>2809</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2810</v>
      </c>
      <c r="E12" s="2956" t="s">
        <v>2811</v>
      </c>
      <c r="F12" s="2956" t="s">
        <v>2812</v>
      </c>
      <c r="G12" s="2956" t="s">
        <v>2813</v>
      </c>
      <c r="H12" s="2956" t="s">
        <v>2795</v>
      </c>
      <c r="I12" s="2957" t="s">
        <v>2814</v>
      </c>
      <c r="J12" s="2957" t="s">
        <v>2814</v>
      </c>
      <c r="K12" s="2953"/>
      <c r="L12" s="2954"/>
      <c r="M12" s="2955"/>
      <c r="N12" s="2954"/>
      <c r="O12" s="2957" t="s">
        <v>2815</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2816</v>
      </c>
      <c r="C13" s="2961">
        <v>42301</v>
      </c>
      <c r="D13" s="2962">
        <v>4.3499999999999996</v>
      </c>
      <c r="E13" s="2962">
        <v>4.3499999999999996</v>
      </c>
      <c r="F13" s="2962">
        <v>4.75</v>
      </c>
      <c r="G13" s="2962">
        <v>4.75</v>
      </c>
      <c r="H13" s="2962">
        <v>4.9000000000000004</v>
      </c>
      <c r="I13" s="2962">
        <v>2.75</v>
      </c>
      <c r="J13" s="2962">
        <v>3.25</v>
      </c>
      <c r="K13" s="2959"/>
      <c r="L13" s="2960" t="s">
        <v>2816</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2817</v>
      </c>
      <c r="Y42" s="2966" t="s">
        <v>2817</v>
      </c>
      <c r="Z42" s="2966" t="s">
        <v>2817</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2817</v>
      </c>
      <c r="Y43" s="2966" t="s">
        <v>2817</v>
      </c>
      <c r="Z43" s="2966" t="s">
        <v>2817</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2817</v>
      </c>
      <c r="Y44" s="2966" t="s">
        <v>2817</v>
      </c>
      <c r="Z44" s="2966" t="s">
        <v>2817</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2817</v>
      </c>
      <c r="Y45" s="2966" t="s">
        <v>2817</v>
      </c>
      <c r="Z45" s="2966" t="s">
        <v>2817</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2817</v>
      </c>
      <c r="Y46" s="2966" t="s">
        <v>2817</v>
      </c>
      <c r="Z46" s="2966" t="s">
        <v>2817</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2817</v>
      </c>
      <c r="Y47" s="2966" t="s">
        <v>2817</v>
      </c>
      <c r="Z47" s="2966" t="s">
        <v>2817</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2817</v>
      </c>
      <c r="Y48" s="2966" t="s">
        <v>2817</v>
      </c>
      <c r="Z48" s="2966" t="s">
        <v>2817</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2817</v>
      </c>
      <c r="Y49" s="2966" t="s">
        <v>2817</v>
      </c>
      <c r="Z49" s="2966" t="s">
        <v>2817</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2817</v>
      </c>
      <c r="Y50" s="2966" t="s">
        <v>2817</v>
      </c>
      <c r="Z50" s="2966" t="s">
        <v>2817</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2817</v>
      </c>
      <c r="V51" s="2966" t="s">
        <v>2817</v>
      </c>
      <c r="W51" s="2966" t="s">
        <v>2817</v>
      </c>
      <c r="X51" s="2966" t="s">
        <v>2817</v>
      </c>
      <c r="Y51" s="2966" t="s">
        <v>2817</v>
      </c>
      <c r="Z51" s="2966" t="s">
        <v>2817</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2817</v>
      </c>
      <c r="J55" s="2966" t="s">
        <v>2817</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9" t="s">
        <v>2038</v>
      </c>
      <c r="B1" s="3259"/>
      <c r="C1" s="3259"/>
      <c r="D1" s="3259"/>
      <c r="E1" s="3259"/>
      <c r="F1" s="3259"/>
      <c r="G1" s="3259"/>
      <c r="H1" s="3259"/>
      <c r="I1" s="3259"/>
      <c r="J1" s="3259"/>
      <c r="K1" s="3259"/>
      <c r="L1" s="3259"/>
      <c r="M1" s="3259"/>
      <c r="N1" s="3259"/>
      <c r="O1" s="3259"/>
      <c r="P1" s="3259"/>
      <c r="Q1" s="3259"/>
      <c r="R1" s="3259"/>
    </row>
    <row r="2" spans="1:18">
      <c r="A2" s="1806" t="s">
        <v>2040</v>
      </c>
      <c r="B2" s="1806"/>
      <c r="C2" s="1806"/>
      <c r="D2" s="1806"/>
      <c r="E2" s="1806"/>
      <c r="F2" s="1806"/>
      <c r="G2" s="1806"/>
      <c r="H2" s="1806"/>
      <c r="I2" s="1807"/>
      <c r="J2" s="1807"/>
      <c r="K2" s="1808" t="str">
        <f>"估价期日："&amp;TEXT(项目基本情况!D3,"yyyy年m月d日;;")</f>
        <v>估价期日：2019年2月14日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60" t="s">
        <v>2029</v>
      </c>
      <c r="B3" s="3260" t="s">
        <v>2730</v>
      </c>
      <c r="C3" s="3261" t="s">
        <v>2030</v>
      </c>
      <c r="D3" s="3260" t="s">
        <v>2734</v>
      </c>
      <c r="E3" s="3255" t="s">
        <v>2031</v>
      </c>
      <c r="F3" s="3255"/>
      <c r="G3" s="3255"/>
      <c r="H3" s="3255" t="s">
        <v>2032</v>
      </c>
      <c r="I3" s="3255"/>
      <c r="J3" s="3255"/>
      <c r="K3" s="3261" t="s">
        <v>2033</v>
      </c>
      <c r="L3" s="3261" t="s">
        <v>2034</v>
      </c>
      <c r="M3" s="3260" t="s">
        <v>2731</v>
      </c>
      <c r="N3" s="3262" t="str">
        <f>"（分摊）"&amp;项目基本情况!B16&amp;"国有建设用地使用权面积/㎡"</f>
        <v>（分摊）出让国有建设用地使用权面积/㎡</v>
      </c>
      <c r="O3" s="3260" t="s">
        <v>2063</v>
      </c>
      <c r="P3" s="3261" t="s">
        <v>2043</v>
      </c>
      <c r="Q3" s="3261" t="s">
        <v>2064</v>
      </c>
      <c r="R3" s="3261" t="s">
        <v>2035</v>
      </c>
    </row>
    <row r="4" spans="1:18" ht="36.75" customHeight="1">
      <c r="A4" s="3260"/>
      <c r="B4" s="3260"/>
      <c r="C4" s="3261"/>
      <c r="D4" s="3260"/>
      <c r="E4" s="2626" t="s">
        <v>2042</v>
      </c>
      <c r="F4" s="2626" t="s">
        <v>2743</v>
      </c>
      <c r="G4" s="2626" t="s">
        <v>2036</v>
      </c>
      <c r="H4" s="2626" t="s">
        <v>2037</v>
      </c>
      <c r="I4" s="2626" t="s">
        <v>2744</v>
      </c>
      <c r="J4" s="2626" t="s">
        <v>2036</v>
      </c>
      <c r="K4" s="3261"/>
      <c r="L4" s="3261"/>
      <c r="M4" s="3260"/>
      <c r="N4" s="3262"/>
      <c r="O4" s="3260"/>
      <c r="P4" s="3261"/>
      <c r="Q4" s="3261"/>
      <c r="R4" s="3261"/>
    </row>
    <row r="5" spans="1:18" ht="135" customHeight="1">
      <c r="A5" s="1942" t="s">
        <v>2654</v>
      </c>
      <c r="B5" s="2843" t="s">
        <v>2652</v>
      </c>
      <c r="C5" s="2625">
        <v>22</v>
      </c>
      <c r="D5" s="2624" t="s">
        <v>2653</v>
      </c>
      <c r="E5" s="1809">
        <f>项目基本情况!B12</f>
        <v>0</v>
      </c>
      <c r="F5" s="2624">
        <v>258</v>
      </c>
      <c r="G5" s="1809">
        <f>项目基本情况!B13</f>
        <v>0</v>
      </c>
      <c r="H5" s="2624">
        <v>1.5</v>
      </c>
      <c r="I5" s="2624">
        <v>1.5</v>
      </c>
      <c r="J5" s="2624">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15400</v>
      </c>
      <c r="O5" s="1809">
        <f>项目基本情况!C21</f>
        <v>43120</v>
      </c>
      <c r="P5" s="1809">
        <f ca="1">结果表!E42</f>
        <v>105245</v>
      </c>
      <c r="Q5" s="1809">
        <f ca="1">结果表!D42</f>
        <v>37587</v>
      </c>
      <c r="R5" s="1810">
        <f ca="1">结果表!C42</f>
        <v>162077</v>
      </c>
    </row>
    <row r="6" spans="1:18">
      <c r="A6" s="3256" t="str">
        <f>IF(项目基本情况!B9="市场价格","——","抵押价格")</f>
        <v>——</v>
      </c>
      <c r="B6" s="3257"/>
      <c r="C6" s="3257"/>
      <c r="D6" s="3257"/>
      <c r="E6" s="3257"/>
      <c r="F6" s="3257"/>
      <c r="G6" s="3257"/>
      <c r="H6" s="3257"/>
      <c r="I6" s="3257"/>
      <c r="J6" s="3257"/>
      <c r="K6" s="3257"/>
      <c r="L6" s="3257"/>
      <c r="M6" s="3257"/>
      <c r="N6" s="3257"/>
      <c r="O6" s="3257"/>
      <c r="P6" s="3257"/>
      <c r="Q6" s="3258"/>
      <c r="R6" s="1811" t="str">
        <f>结果表!O39</f>
        <v>——</v>
      </c>
    </row>
    <row r="7" spans="1:18">
      <c r="A7" s="3256" t="str">
        <f>IF(项目基本情况!B9="市场价格","——",IF(项目基本情况!E8="已注销及未注销","抵押担保权已注销时的抵押价格","——"))</f>
        <v>——</v>
      </c>
      <c r="B7" s="3257"/>
      <c r="C7" s="3257"/>
      <c r="D7" s="3257"/>
      <c r="E7" s="3257"/>
      <c r="F7" s="3257"/>
      <c r="G7" s="3257"/>
      <c r="H7" s="3257"/>
      <c r="I7" s="3257"/>
      <c r="J7" s="3257"/>
      <c r="K7" s="3257"/>
      <c r="L7" s="3257"/>
      <c r="M7" s="3257"/>
      <c r="N7" s="3257"/>
      <c r="O7" s="3257"/>
      <c r="P7" s="3257"/>
      <c r="Q7" s="3258"/>
      <c r="R7" s="1811" t="str">
        <f>结果表!O40</f>
        <v>——</v>
      </c>
    </row>
    <row r="8" spans="1:18">
      <c r="A8" s="3256" t="str">
        <f>IF(项目基本情况!B9="市场价格","——",项目基本情况!E9)</f>
        <v>——</v>
      </c>
      <c r="B8" s="3257"/>
      <c r="C8" s="3257"/>
      <c r="D8" s="3257"/>
      <c r="E8" s="3257"/>
      <c r="F8" s="3257"/>
      <c r="G8" s="3257"/>
      <c r="H8" s="3257"/>
      <c r="I8" s="3257"/>
      <c r="J8" s="3257"/>
      <c r="K8" s="3257"/>
      <c r="L8" s="3257"/>
      <c r="M8" s="3257"/>
      <c r="N8" s="3257"/>
      <c r="O8" s="3257"/>
      <c r="P8" s="3257"/>
      <c r="Q8" s="3258"/>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64" t="s">
        <v>2065</v>
      </c>
      <c r="B1" s="3264"/>
      <c r="C1" s="3264"/>
      <c r="D1" s="3264"/>
    </row>
    <row r="2" spans="1:4" ht="47.25" customHeight="1">
      <c r="A2" s="3265" t="str">
        <f>"1.权利限制："&amp;项目基本情况!L24&amp;"未设定租赁等其他他项权利。"</f>
        <v>1.权利限制：根据估价对象《不动产权证书》原件、《国有土地使用权》复印件，截至估价期日，估价对象抵押权未见登记。未设定租赁等其他他项权利。</v>
      </c>
      <c r="B2" s="3265"/>
      <c r="C2" s="3265"/>
      <c r="D2" s="3265"/>
    </row>
    <row r="3" spans="1:4" ht="48" customHeight="1">
      <c r="A3" s="326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4"/>
      <c r="C3" s="3264"/>
      <c r="D3" s="3264"/>
    </row>
    <row r="4" spans="1:4" ht="36.75" customHeight="1">
      <c r="A4" s="3264" t="str">
        <f>"3.估价规划限制条件：详见"&amp;项目基本情况!E21&amp;"。"</f>
        <v>3.估价规划限制条件：详见《建设工程规划许可证》[]、《出让合同》[]。</v>
      </c>
      <c r="B4" s="3264"/>
      <c r="C4" s="3264"/>
      <c r="D4" s="3264"/>
    </row>
    <row r="5" spans="1:4">
      <c r="A5" s="3263" t="s">
        <v>2066</v>
      </c>
      <c r="B5" s="3263"/>
      <c r="C5" s="3263"/>
      <c r="D5" s="3263"/>
    </row>
    <row r="6" spans="1:4">
      <c r="A6" s="3264" t="s">
        <v>2044</v>
      </c>
      <c r="B6" s="3264"/>
      <c r="C6" s="3264"/>
      <c r="D6" s="3264"/>
    </row>
    <row r="7" spans="1:4" ht="33" customHeight="1">
      <c r="A7" s="3264" t="s">
        <v>2575</v>
      </c>
      <c r="B7" s="3264"/>
      <c r="C7" s="3264"/>
      <c r="D7" s="3264"/>
    </row>
    <row r="8" spans="1:4" ht="32.25" customHeight="1">
      <c r="A8" s="32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4"/>
      <c r="C8" s="3264"/>
      <c r="D8" s="3264"/>
    </row>
    <row r="9" spans="1:4" ht="33.75" customHeight="1">
      <c r="A9" s="3264" t="str">
        <f>IF(项目基本情况!B8="抵押","3.抵押双方在办理抵押登记手续时，应使用本公司出具的正式《土地估价报告》，特提请报告使用者注意。","——")</f>
        <v>——</v>
      </c>
      <c r="B9" s="3264"/>
      <c r="C9" s="3264"/>
      <c r="D9" s="3264"/>
    </row>
    <row r="10" spans="1:4">
      <c r="A10" s="3264" t="str">
        <f>IF(项目基本情况!B8="抵押","4.估价师所知悉的法定优先受偿款情况为：","——")</f>
        <v>——</v>
      </c>
      <c r="B10" s="3264"/>
      <c r="C10" s="3264"/>
      <c r="D10" s="3264"/>
    </row>
    <row r="11" spans="1:4" ht="37.5" customHeight="1">
      <c r="A11" s="3266" t="str">
        <f>IF(项目基本情况!B8="抵押","（1）"&amp;CONCATENATE(项目基本情况!L24,项目基本情况!L25,项目基本情况!L26),"——")</f>
        <v>——</v>
      </c>
      <c r="B11" s="3266"/>
      <c r="C11" s="3266"/>
      <c r="D11" s="3266"/>
    </row>
    <row r="12" spans="1:4" ht="168" customHeight="1">
      <c r="A12" s="3263" t="s">
        <v>2068</v>
      </c>
      <c r="B12" s="3263"/>
      <c r="C12" s="3263"/>
      <c r="D12" s="3263"/>
    </row>
    <row r="13" spans="1:4">
      <c r="A13" s="3267" t="s">
        <v>2745</v>
      </c>
      <c r="B13" s="3267"/>
      <c r="C13" s="3267"/>
      <c r="D13" s="3267"/>
    </row>
    <row r="14" spans="1:4">
      <c r="A14" s="3266" t="str">
        <f>IF(项目基本情况!B8="抵押","综上，"&amp;结果表!K47,"——")</f>
        <v>——</v>
      </c>
      <c r="B14" s="3266"/>
      <c r="C14" s="3266"/>
      <c r="D14" s="3266"/>
    </row>
    <row r="15" spans="1:4" ht="58.5" customHeight="1">
      <c r="A15" s="32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4"/>
      <c r="C15" s="3264"/>
      <c r="D15" s="3264"/>
    </row>
    <row r="16" spans="1:4" ht="70.5" customHeight="1">
      <c r="A16" s="32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4"/>
      <c r="C16" s="3264"/>
      <c r="D16" s="3264"/>
    </row>
    <row r="17" spans="1:4">
      <c r="A17" s="3264" t="s">
        <v>2701</v>
      </c>
      <c r="B17" s="3264"/>
      <c r="C17" s="3264"/>
      <c r="D17" s="3264"/>
    </row>
    <row r="18" spans="1:4">
      <c r="A18" s="3264" t="s">
        <v>2693</v>
      </c>
      <c r="B18" s="3264"/>
      <c r="C18" s="3264"/>
      <c r="D18" s="3264"/>
    </row>
    <row r="19" spans="1:4">
      <c r="A19" s="2844" t="s">
        <v>2694</v>
      </c>
      <c r="B19" s="2844" t="s">
        <v>2695</v>
      </c>
      <c r="C19" s="2844" t="s">
        <v>2696</v>
      </c>
      <c r="D19" s="2844" t="s">
        <v>2697</v>
      </c>
    </row>
    <row r="20" spans="1:4">
      <c r="A20" s="2844" t="str">
        <f>项目基本情况!B4</f>
        <v>王鹏</v>
      </c>
      <c r="B20" s="2844">
        <f ca="1">项目基本情况!C4</f>
        <v>2002110030</v>
      </c>
      <c r="C20" s="2846"/>
      <c r="D20" s="1799" t="s">
        <v>2702</v>
      </c>
    </row>
    <row r="21" spans="1:4">
      <c r="A21" s="2844" t="str">
        <f>项目基本情况!D4</f>
        <v>郑燚</v>
      </c>
      <c r="B21" s="2844">
        <f ca="1">项目基本情况!E4</f>
        <v>2014110011</v>
      </c>
      <c r="C21" s="2846"/>
      <c r="D21" s="1799" t="s">
        <v>2703</v>
      </c>
    </row>
    <row r="23" spans="1:4">
      <c r="A23" s="3264" t="s">
        <v>2698</v>
      </c>
      <c r="B23" s="3264"/>
      <c r="C23" s="3264"/>
      <c r="D23" s="3264"/>
    </row>
    <row r="24" spans="1:4">
      <c r="A24" s="2844" t="s">
        <v>2694</v>
      </c>
      <c r="B24" s="2844" t="s">
        <v>2699</v>
      </c>
      <c r="C24" s="2844" t="s">
        <v>2696</v>
      </c>
      <c r="D24" s="2844" t="s">
        <v>2697</v>
      </c>
    </row>
    <row r="25" spans="1:4">
      <c r="A25" s="2847" t="s">
        <v>2700</v>
      </c>
      <c r="B25" s="2844" t="s">
        <v>951</v>
      </c>
      <c r="C25" s="2846"/>
      <c r="D25" s="1799" t="s">
        <v>2703</v>
      </c>
    </row>
    <row r="29" spans="1:4">
      <c r="D29" s="2845" t="s">
        <v>2039</v>
      </c>
    </row>
    <row r="30" spans="1:4">
      <c r="D30" s="284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75" t="s">
        <v>53</v>
      </c>
      <c r="B15" s="3276" t="s">
        <v>845</v>
      </c>
      <c r="C15" s="3272"/>
    </row>
    <row r="16" spans="1:7" ht="14.25">
      <c r="A16" s="3275"/>
      <c r="B16" s="3273" t="s">
        <v>54</v>
      </c>
      <c r="C16" s="1170" t="s">
        <v>53</v>
      </c>
    </row>
    <row r="17" spans="1:3" ht="14.25">
      <c r="A17" s="3275"/>
      <c r="B17" s="3273"/>
      <c r="C17" s="1170" t="s">
        <v>55</v>
      </c>
    </row>
    <row r="18" spans="1:3" ht="14.25">
      <c r="A18" s="3275"/>
      <c r="B18" s="3273"/>
      <c r="C18" s="1170" t="s">
        <v>56</v>
      </c>
    </row>
    <row r="19" spans="1:3" ht="14.25">
      <c r="A19" s="3275"/>
      <c r="B19" s="3271" t="s">
        <v>57</v>
      </c>
      <c r="C19" s="3272"/>
    </row>
    <row r="20" spans="1:3" ht="14.25">
      <c r="A20" s="1171" t="s">
        <v>58</v>
      </c>
      <c r="B20" s="1172"/>
      <c r="C20" s="1173"/>
    </row>
    <row r="21" spans="1:3" ht="14.25">
      <c r="A21" s="3274" t="s">
        <v>59</v>
      </c>
      <c r="B21" s="3271" t="s">
        <v>60</v>
      </c>
      <c r="C21" s="3272"/>
    </row>
    <row r="22" spans="1:3" ht="14.25">
      <c r="A22" s="3274"/>
      <c r="B22" s="3271" t="s">
        <v>61</v>
      </c>
      <c r="C22" s="3272"/>
    </row>
    <row r="23" spans="1:3" ht="14.25">
      <c r="A23" s="3274"/>
      <c r="B23" s="3271" t="s">
        <v>62</v>
      </c>
      <c r="C23" s="3272"/>
    </row>
    <row r="24" spans="1:3" ht="14.25">
      <c r="A24" s="3274"/>
      <c r="B24" s="3277" t="s">
        <v>63</v>
      </c>
      <c r="C24" s="1174" t="s">
        <v>836</v>
      </c>
    </row>
    <row r="25" spans="1:3" ht="14.25">
      <c r="A25" s="3274"/>
      <c r="B25" s="3278"/>
      <c r="C25" s="1174" t="s">
        <v>837</v>
      </c>
    </row>
    <row r="26" spans="1:3" ht="14.25">
      <c r="A26" s="3274"/>
      <c r="B26" s="3278"/>
      <c r="C26" s="1174" t="s">
        <v>838</v>
      </c>
    </row>
    <row r="27" spans="1:3" ht="14.25">
      <c r="A27" s="3274"/>
      <c r="B27" s="3278"/>
      <c r="C27" s="1174" t="s">
        <v>839</v>
      </c>
    </row>
    <row r="28" spans="1:3" ht="14.25">
      <c r="A28" s="3274"/>
      <c r="B28" s="3278"/>
      <c r="C28" s="1174" t="s">
        <v>840</v>
      </c>
    </row>
    <row r="29" spans="1:3" ht="14.25">
      <c r="A29" s="3274"/>
      <c r="B29" s="3278"/>
      <c r="C29" s="1174" t="s">
        <v>841</v>
      </c>
    </row>
    <row r="30" spans="1:3" ht="14.25">
      <c r="A30" s="3274"/>
      <c r="B30" s="3278"/>
      <c r="C30" s="1174" t="s">
        <v>842</v>
      </c>
    </row>
    <row r="31" spans="1:3" ht="14.25">
      <c r="A31" s="3274"/>
      <c r="B31" s="3278"/>
      <c r="C31" s="1174" t="s">
        <v>843</v>
      </c>
    </row>
    <row r="32" spans="1:3" ht="14.25">
      <c r="A32" s="3274"/>
      <c r="B32" s="3278"/>
      <c r="C32" s="1174" t="s">
        <v>1646</v>
      </c>
    </row>
    <row r="33" spans="1:3" ht="14.25">
      <c r="A33" s="3274"/>
      <c r="B33" s="3268" t="s">
        <v>1652</v>
      </c>
      <c r="C33" s="1174" t="s">
        <v>1647</v>
      </c>
    </row>
    <row r="34" spans="1:3" ht="14.25">
      <c r="A34" s="3274"/>
      <c r="B34" s="3269"/>
      <c r="C34" s="1179" t="s">
        <v>1648</v>
      </c>
    </row>
    <row r="35" spans="1:3" ht="14.25">
      <c r="A35" s="3274"/>
      <c r="B35" s="3269"/>
      <c r="C35" s="1180" t="s">
        <v>1649</v>
      </c>
    </row>
    <row r="36" spans="1:3" ht="14.25">
      <c r="A36" s="3274"/>
      <c r="B36" s="3269"/>
      <c r="C36" s="1180" t="s">
        <v>1650</v>
      </c>
    </row>
    <row r="37" spans="1:3" ht="14.25">
      <c r="A37" s="3274"/>
      <c r="B37" s="3270"/>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1907</v>
      </c>
      <c r="B2" s="3150">
        <f ca="1">TODAY()</f>
        <v>43529</v>
      </c>
      <c r="C2" s="3151" t="s">
        <v>1908</v>
      </c>
      <c r="D2" s="3151"/>
    </row>
    <row r="3" spans="1:6" ht="20.25" customHeight="1">
      <c r="A3" s="3153" t="s">
        <v>1909</v>
      </c>
      <c r="B3" s="3154" t="s">
        <v>1910</v>
      </c>
      <c r="C3" s="3154" t="s">
        <v>1911</v>
      </c>
      <c r="D3" s="3155" t="s">
        <v>1912</v>
      </c>
      <c r="E3" s="3154" t="s">
        <v>1913</v>
      </c>
      <c r="F3" s="3154" t="s">
        <v>1911</v>
      </c>
    </row>
    <row r="4" spans="1:6" ht="20.25" customHeight="1">
      <c r="A4" s="3154" t="s">
        <v>1914</v>
      </c>
      <c r="B4" s="3154">
        <f ca="1">IF(C4&lt;B2,"已过期",1119970066)</f>
        <v>1119970066</v>
      </c>
      <c r="C4" s="3156">
        <v>43849</v>
      </c>
      <c r="D4" s="3154" t="s">
        <v>1914</v>
      </c>
      <c r="E4" s="3154">
        <f ca="1">IF(F4&lt;B2,"已过期",96010014)</f>
        <v>96010014</v>
      </c>
      <c r="F4" s="3157">
        <v>47118</v>
      </c>
    </row>
    <row r="5" spans="1:6" ht="20.25" customHeight="1">
      <c r="A5" s="3154" t="s">
        <v>1915</v>
      </c>
      <c r="B5" s="3154">
        <f ca="1">IF(C5&lt;B2,"已过期",1119970074)</f>
        <v>1119970074</v>
      </c>
      <c r="C5" s="3156">
        <v>43849</v>
      </c>
      <c r="D5" s="3154" t="s">
        <v>1915</v>
      </c>
      <c r="E5" s="3154">
        <f ca="1">IF(F5&lt;B2,"已过期",2002110027)</f>
        <v>2002110027</v>
      </c>
      <c r="F5" s="3157">
        <v>46752</v>
      </c>
    </row>
    <row r="6" spans="1:6" ht="20.25" customHeight="1">
      <c r="A6" s="3154" t="s">
        <v>1916</v>
      </c>
      <c r="B6" s="3154">
        <f ca="1">IF(C6&lt;B2,"已过期",1119970111)</f>
        <v>1119970111</v>
      </c>
      <c r="C6" s="3156">
        <v>43849</v>
      </c>
      <c r="D6" s="3154" t="s">
        <v>1916</v>
      </c>
      <c r="E6" s="3154">
        <f ca="1">IF(F6&lt;B2,"已过期",94010078)</f>
        <v>94010078</v>
      </c>
      <c r="F6" s="3157">
        <v>46387</v>
      </c>
    </row>
    <row r="7" spans="1:6" ht="20.25" customHeight="1">
      <c r="A7" s="3154" t="s">
        <v>1917</v>
      </c>
      <c r="B7" s="3154">
        <f ca="1">IF(C7&lt;B2,"已过期",1120050019)</f>
        <v>1120050019</v>
      </c>
      <c r="C7" s="3156">
        <v>44395</v>
      </c>
      <c r="D7" s="3154" t="s">
        <v>1917</v>
      </c>
      <c r="E7" s="3154">
        <f ca="1">IF(F7&lt;B2,"已过期",2002110030)</f>
        <v>2002110030</v>
      </c>
      <c r="F7" s="3157">
        <v>46387</v>
      </c>
    </row>
    <row r="8" spans="1:6" ht="20.25" customHeight="1">
      <c r="A8" s="3154" t="s">
        <v>1918</v>
      </c>
      <c r="B8" s="3154">
        <f ca="1">IF(C8&lt;B2,"已过期",1120000080)</f>
        <v>1120000080</v>
      </c>
      <c r="C8" s="3156">
        <v>43849</v>
      </c>
      <c r="D8" s="3154" t="s">
        <v>1918</v>
      </c>
      <c r="E8" s="3154">
        <f ca="1">IF(F8&lt;B2,"已过期",2000110082)</f>
        <v>2000110082</v>
      </c>
      <c r="F8" s="3157">
        <v>46387</v>
      </c>
    </row>
    <row r="9" spans="1:6" ht="20.25" customHeight="1">
      <c r="A9" s="3154" t="s">
        <v>1919</v>
      </c>
      <c r="B9" s="3154">
        <f ca="1">IF(C9&lt;B2,"已过期",1419970001)</f>
        <v>1419970001</v>
      </c>
      <c r="C9" s="3156">
        <v>43867</v>
      </c>
      <c r="D9" s="3154" t="s">
        <v>1919</v>
      </c>
      <c r="E9" s="3154">
        <f ca="1">IF(F9&lt;B2,"已过期",2002110125)</f>
        <v>2002110125</v>
      </c>
      <c r="F9" s="3157">
        <v>47118</v>
      </c>
    </row>
    <row r="10" spans="1:6" ht="20.25" customHeight="1">
      <c r="A10" s="3154" t="s">
        <v>1920</v>
      </c>
      <c r="B10" s="3154" t="str">
        <f ca="1">IF(C10&lt;B2,"已过期",1120060040)</f>
        <v>已过期</v>
      </c>
      <c r="C10" s="3156">
        <v>43483</v>
      </c>
      <c r="D10" s="3154" t="s">
        <v>1920</v>
      </c>
      <c r="E10" s="3154">
        <f ca="1">IF(F10&lt;B2,"已过期",2004110096)</f>
        <v>2004110096</v>
      </c>
      <c r="F10" s="3157">
        <v>47118</v>
      </c>
    </row>
    <row r="11" spans="1:6" ht="20.25" customHeight="1">
      <c r="A11" s="3154" t="s">
        <v>1921</v>
      </c>
      <c r="B11" s="3154">
        <f ca="1">IF(C11&lt;B2,"已过期",1120100036)</f>
        <v>1120100036</v>
      </c>
      <c r="C11" s="3156">
        <v>43622</v>
      </c>
      <c r="D11" s="3154" t="s">
        <v>1921</v>
      </c>
      <c r="E11" s="3154">
        <f ca="1">IF(F11&lt;B2,"已过期",2010110070)</f>
        <v>2010110070</v>
      </c>
      <c r="F11" s="3157">
        <v>47907</v>
      </c>
    </row>
    <row r="12" spans="1:6" ht="20.25" customHeight="1">
      <c r="A12" s="3154"/>
      <c r="B12" s="3154"/>
      <c r="C12" s="3156"/>
      <c r="D12" s="3154"/>
      <c r="E12" s="3154"/>
      <c r="F12" s="3157"/>
    </row>
    <row r="13" spans="1:6" ht="20.25" customHeight="1">
      <c r="A13" s="3154" t="s">
        <v>1922</v>
      </c>
      <c r="B13" s="3154">
        <f ca="1">IF(C13&lt;B2,"已过期",1120070131)</f>
        <v>1120070131</v>
      </c>
      <c r="C13" s="3156">
        <v>43814</v>
      </c>
      <c r="D13" s="3154" t="s">
        <v>1922</v>
      </c>
      <c r="E13" s="3154">
        <f ca="1">IF(F13&lt;B2,"已过期",2014110011)</f>
        <v>2014110011</v>
      </c>
      <c r="F13" s="3157">
        <v>49302</v>
      </c>
    </row>
    <row r="14" spans="1:6" ht="20.25" customHeight="1">
      <c r="A14" s="3154" t="s">
        <v>2982</v>
      </c>
      <c r="B14" s="3154">
        <f ca="1">IF(C14&lt;B2,"已过期",1120040230)</f>
        <v>1120040230</v>
      </c>
      <c r="C14" s="3158">
        <v>43835</v>
      </c>
      <c r="D14" s="3159" t="s">
        <v>2983</v>
      </c>
      <c r="E14" s="3154">
        <f ca="1">IF(F14&lt;B2,"已过期",98030020)</f>
        <v>98030020</v>
      </c>
      <c r="F14" s="3157">
        <v>47118</v>
      </c>
    </row>
    <row r="15" spans="1:6" ht="20.25" customHeight="1">
      <c r="A15" s="3154" t="s">
        <v>2574</v>
      </c>
      <c r="B15" s="3154">
        <f ca="1">IF(C15&lt;B2,"已过期",1120070085)</f>
        <v>1120070085</v>
      </c>
      <c r="C15" s="3158">
        <v>43814</v>
      </c>
      <c r="D15" s="3154" t="s">
        <v>2984</v>
      </c>
      <c r="E15" s="3154">
        <f ca="1">IF(F15&lt;B2,"已过期",2004110128)</f>
        <v>2004110128</v>
      </c>
      <c r="F15" s="3160">
        <v>47118</v>
      </c>
    </row>
    <row r="16" spans="1:6" ht="20.25" customHeight="1">
      <c r="A16" s="3154" t="s">
        <v>1923</v>
      </c>
      <c r="B16" s="3154">
        <f ca="1">IF(C16&lt;B2,"已过期",1120140022)</f>
        <v>1120140022</v>
      </c>
      <c r="C16" s="3156">
        <v>44029</v>
      </c>
      <c r="D16" s="3154" t="s">
        <v>2985</v>
      </c>
      <c r="E16" s="3154">
        <f ca="1">IF(F16&lt;B2,"已过期",2008110059)</f>
        <v>2008110059</v>
      </c>
      <c r="F16" s="3157">
        <v>47177</v>
      </c>
    </row>
    <row r="17" spans="1:7" ht="20.25" customHeight="1">
      <c r="A17" s="3154"/>
      <c r="B17" s="3154"/>
      <c r="C17" s="3156"/>
      <c r="D17" s="3159" t="s">
        <v>2986</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1924</v>
      </c>
      <c r="E21" s="3154">
        <f ca="1">IF(F21&lt;B2,"已过期",2011110090)</f>
        <v>2011110090</v>
      </c>
      <c r="F21" s="3157">
        <v>48302</v>
      </c>
    </row>
    <row r="22" spans="1:7" ht="20.25" customHeight="1">
      <c r="A22" s="3154" t="s">
        <v>1925</v>
      </c>
      <c r="B22" s="3154">
        <f ca="1">IF(C22&lt;B2,"已过期",1120020033)</f>
        <v>1120020033</v>
      </c>
      <c r="C22" s="3156">
        <v>44339</v>
      </c>
      <c r="D22" s="3154" t="s">
        <v>1925</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2053</v>
      </c>
      <c r="B24" s="3153" t="s">
        <v>2053</v>
      </c>
      <c r="C24" s="3156"/>
      <c r="D24" s="3161" t="s">
        <v>2053</v>
      </c>
      <c r="E24" s="3153" t="s">
        <v>2053</v>
      </c>
      <c r="F24" s="3160"/>
    </row>
    <row r="25" spans="1:7" ht="20.25" customHeight="1">
      <c r="A25" s="3279" t="s">
        <v>1926</v>
      </c>
      <c r="B25" s="3279"/>
      <c r="C25" s="3279"/>
      <c r="D25" s="3279"/>
      <c r="E25" s="3279"/>
      <c r="F25" s="3279"/>
      <c r="G25" s="3279"/>
    </row>
    <row r="26" spans="1:7" ht="20.25" customHeight="1">
      <c r="A26" s="3280" t="s">
        <v>1927</v>
      </c>
      <c r="B26" s="3280"/>
      <c r="C26" s="3280"/>
      <c r="D26" s="3280" t="s">
        <v>1928</v>
      </c>
      <c r="E26" s="3280"/>
      <c r="F26" s="3280"/>
    </row>
    <row r="27" spans="1:7" s="3149" customFormat="1" ht="20.25" customHeight="1">
      <c r="A27" s="3163" t="s">
        <v>1929</v>
      </c>
      <c r="B27" s="3164" t="s">
        <v>1930</v>
      </c>
      <c r="C27" s="3164" t="s">
        <v>1931</v>
      </c>
      <c r="D27" s="3154" t="s">
        <v>1929</v>
      </c>
      <c r="E27" s="3164" t="s">
        <v>1930</v>
      </c>
      <c r="F27" s="3164" t="s">
        <v>1931</v>
      </c>
    </row>
    <row r="28" spans="1:7" s="3149" customFormat="1" ht="20.25" customHeight="1">
      <c r="A28" s="3165" t="s">
        <v>1932</v>
      </c>
      <c r="B28" s="3165" t="s">
        <v>1933</v>
      </c>
      <c r="C28" s="3157">
        <v>43725</v>
      </c>
      <c r="D28" s="3165" t="s">
        <v>1934</v>
      </c>
      <c r="E28" s="3165" t="s">
        <v>1935</v>
      </c>
      <c r="F28" s="3166">
        <v>44377</v>
      </c>
    </row>
    <row r="29" spans="1:7" s="3149" customFormat="1" ht="20.25" customHeight="1">
      <c r="A29" s="3165"/>
      <c r="B29" s="3165"/>
      <c r="C29" s="3167"/>
      <c r="D29" s="3165" t="s">
        <v>1936</v>
      </c>
      <c r="E29" s="3168" t="s">
        <v>2944</v>
      </c>
      <c r="F29" s="3169">
        <v>43281</v>
      </c>
    </row>
    <row r="30" spans="1:7" ht="20.25" customHeight="1">
      <c r="C30" s="3170"/>
      <c r="D30" s="3170"/>
    </row>
  </sheetData>
  <sheetProtection password="C66D" sheet="1" objects="1" scenarios="1"/>
  <mergeCells count="3">
    <mergeCell ref="A25:G25"/>
    <mergeCell ref="A26:C26"/>
    <mergeCell ref="D26:F26"/>
  </mergeCells>
  <phoneticPr fontId="4"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2545</v>
      </c>
      <c r="R1" s="2559" t="s">
        <v>2539</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875</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6" t="s">
        <v>2956</v>
      </c>
      <c r="C18" s="1553"/>
    </row>
    <row r="19" spans="1:3">
      <c r="A19" s="8" t="s">
        <v>120</v>
      </c>
      <c r="B19" s="3086" t="s">
        <v>2964</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FXX0-0401-6016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81"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c r="D53" s="1766"/>
      <c r="E53" s="1766"/>
    </row>
    <row r="54" spans="1:5">
      <c r="A54" s="3281"/>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81"/>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81"/>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81"/>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7"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原本土地信息</vt:lpstr>
      <vt:lpstr>面积指标</vt:lpstr>
      <vt:lpstr>面积指标最新版</vt:lpstr>
      <vt:lpstr>综合考虑后规划指标（测算用）</vt:lpstr>
      <vt:lpstr>数据-汇总表</vt:lpstr>
      <vt:lpstr>数据-取费表</vt:lpstr>
      <vt:lpstr>估价对象房地状况</vt:lpstr>
      <vt:lpstr>系统读取表</vt:lpstr>
      <vt:lpstr>结果表</vt:lpstr>
      <vt:lpstr>典型户型修正</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wangyang</cp:lastModifiedBy>
  <cp:lastPrinted>2017-03-09T08:11:21Z</cp:lastPrinted>
  <dcterms:created xsi:type="dcterms:W3CDTF">2015-07-13T07:17:23Z</dcterms:created>
  <dcterms:modified xsi:type="dcterms:W3CDTF">2019-03-05T02:09:28Z</dcterms:modified>
</cp:coreProperties>
</file>