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75" yWindow="-105" windowWidth="14325" windowHeight="124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办公" sheetId="15" r:id="rId23"/>
    <sheet name="收益法 (元)" sheetId="67" state="hidden" r:id="rId24"/>
    <sheet name="收益法-酒店" sheetId="81"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租赁台账" sheetId="82" r:id="rId48"/>
    <sheet name="酒店经营"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47" hidden="1">租赁台账!$A$1:$N$129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4">'收益法-酒店'!$A$1:$F$43,'收益法-酒店'!$H$3:$M$29,'收益法-酒店'!$A$46:$F$71,'收益法-酒店'!$I$46:$N$65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129" i="82" l="1"/>
  <c r="N127" i="82"/>
  <c r="N124" i="82"/>
  <c r="N123" i="82"/>
  <c r="N120" i="82"/>
  <c r="N118" i="82"/>
  <c r="N116" i="82"/>
  <c r="N115" i="82"/>
  <c r="N110" i="82"/>
  <c r="N107" i="82"/>
  <c r="N106" i="82"/>
  <c r="N105" i="82"/>
  <c r="N102" i="82"/>
  <c r="N95" i="82"/>
  <c r="N89" i="82"/>
  <c r="N85" i="82"/>
  <c r="N82" i="82"/>
  <c r="N81" i="82"/>
  <c r="N73" i="82"/>
  <c r="N70" i="82"/>
  <c r="N64" i="82"/>
  <c r="N59" i="82"/>
  <c r="N53" i="82"/>
  <c r="N52" i="82"/>
  <c r="N50" i="82"/>
  <c r="N49" i="82"/>
  <c r="N48" i="82"/>
  <c r="N45" i="82"/>
  <c r="N46" i="82"/>
  <c r="N44" i="82"/>
  <c r="N37" i="82"/>
  <c r="N38" i="82"/>
  <c r="N36" i="82"/>
  <c r="N16" i="82"/>
  <c r="N17" i="82"/>
  <c r="N15" i="82"/>
  <c r="N13" i="82"/>
  <c r="N8" i="82"/>
  <c r="N7" i="82"/>
  <c r="N5" i="82"/>
  <c r="N4" i="82"/>
  <c r="D33" i="43" l="1"/>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C36" i="77"/>
  <c r="B5" i="77"/>
  <c r="B4" i="77"/>
  <c r="U20" i="1"/>
  <c r="Y7" i="1"/>
  <c r="Y6" i="1"/>
  <c r="N14" i="1"/>
  <c r="N7" i="1"/>
  <c r="N6" i="1"/>
  <c r="N19" i="1"/>
  <c r="J7" i="1"/>
  <c r="G19" i="6"/>
  <c r="F20" i="6"/>
  <c r="F19" i="6"/>
  <c r="AN15" i="3"/>
  <c r="AL15" i="3"/>
  <c r="M16" i="3"/>
  <c r="M13" i="3"/>
  <c r="K14" i="3"/>
  <c r="I16" i="3"/>
  <c r="I13" i="3"/>
  <c r="D3" i="4"/>
  <c r="C13" i="80"/>
  <c r="E4" i="80" s="1"/>
  <c r="F4" i="80" s="1"/>
  <c r="C12" i="80"/>
  <c r="C11" i="80"/>
  <c r="C7" i="80"/>
  <c r="I7" i="80" s="1"/>
  <c r="C3" i="80"/>
  <c r="C5" i="80" s="1"/>
  <c r="E2" i="80"/>
  <c r="E5" i="80" s="1"/>
  <c r="C76" i="81"/>
  <c r="Q71" i="81" l="1"/>
  <c r="P61" i="81"/>
  <c r="C8" i="80"/>
  <c r="G7" i="80" s="1"/>
  <c r="F2" i="80"/>
  <c r="F5" i="80" s="1"/>
  <c r="I5" i="80" s="1"/>
  <c r="M23" i="81"/>
  <c r="L48" i="81"/>
  <c r="M8" i="81"/>
  <c r="F37" i="81"/>
  <c r="M9" i="81"/>
  <c r="M29" i="81"/>
  <c r="M24" i="81"/>
  <c r="F40" i="81"/>
  <c r="F26" i="81"/>
  <c r="F42" i="81"/>
  <c r="J15" i="81"/>
  <c r="M28" i="81"/>
  <c r="F16" i="81"/>
  <c r="F38" i="81"/>
  <c r="F8" i="81"/>
  <c r="C14" i="81"/>
  <c r="F36" i="81"/>
  <c r="F43" i="81"/>
  <c r="F6" i="81"/>
  <c r="M27" i="81"/>
  <c r="L47" i="81"/>
  <c r="M26" i="81"/>
  <c r="M22" i="81"/>
  <c r="F7" i="81"/>
  <c r="F9" i="81"/>
  <c r="M6" i="81"/>
  <c r="F13" i="81"/>
  <c r="L57" i="81" l="1"/>
  <c r="L56" i="81"/>
  <c r="J53" i="81"/>
  <c r="J57" i="81"/>
  <c r="J55" i="81" s="1"/>
  <c r="J58" i="81" s="1"/>
  <c r="Q50" i="81" s="1"/>
  <c r="I54" i="81"/>
  <c r="L60" i="81"/>
  <c r="F71" i="81"/>
  <c r="F66" i="81"/>
  <c r="F64" i="81"/>
  <c r="C18" i="81"/>
  <c r="C15" i="81"/>
  <c r="N59" i="81"/>
  <c r="L59" i="81"/>
  <c r="L58" i="81"/>
  <c r="M59" i="81"/>
  <c r="F51" i="81"/>
  <c r="F65" i="81"/>
  <c r="C27" i="81"/>
  <c r="C6" i="81"/>
  <c r="F68" i="81"/>
  <c r="F50" i="81"/>
  <c r="M7" i="81"/>
  <c r="J6" i="81" s="1"/>
  <c r="G5" i="80"/>
  <c r="C16" i="81"/>
  <c r="C17" i="81"/>
  <c r="C19" i="81" l="1"/>
  <c r="J19" i="81"/>
  <c r="J18" i="81"/>
  <c r="C33" i="81"/>
  <c r="C32" i="81"/>
  <c r="Q61" i="81"/>
  <c r="Q74" i="81"/>
  <c r="F1" i="81"/>
  <c r="Q52" i="81"/>
  <c r="C49" i="81"/>
  <c r="Q60" i="81"/>
  <c r="Q73" i="81"/>
  <c r="Q66" i="81"/>
  <c r="Q57" i="81"/>
  <c r="C61" i="81" l="1"/>
  <c r="C20" i="81"/>
  <c r="C26" i="81" s="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c r="D17" i="77"/>
  <c r="D16" i="77"/>
  <c r="C23" i="77"/>
  <c r="D15" i="77"/>
  <c r="D10" i="77"/>
  <c r="D9"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9" i="77"/>
  <c r="D26" i="77"/>
  <c r="D32" i="77" s="1"/>
  <c r="D38" i="77" s="1"/>
  <c r="D39" i="77" s="1"/>
  <c r="AH12" i="71"/>
  <c r="AG12" i="71"/>
  <c r="AE12" i="71"/>
  <c r="AF12" i="71" s="1"/>
  <c r="AD12" i="71"/>
  <c r="Q12" i="71"/>
  <c r="P12" i="71"/>
  <c r="O12" i="71"/>
  <c r="N12" i="71"/>
  <c r="E26" i="77" l="1"/>
  <c r="E29" i="77"/>
  <c r="E32" i="77" s="1"/>
  <c r="E38" i="77" s="1"/>
  <c r="E39"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B11" i="76"/>
  <c r="F7" i="73"/>
  <c r="M28" i="67"/>
  <c r="F36" i="67"/>
  <c r="C76" i="15"/>
  <c r="M6" i="67"/>
  <c r="C76" i="67"/>
  <c r="D3" i="73"/>
  <c r="J15" i="15"/>
  <c r="B7" i="76"/>
  <c r="F20" i="31"/>
  <c r="M22" i="67"/>
  <c r="M23" i="67"/>
  <c r="M26" i="67"/>
  <c r="L47" i="15"/>
  <c r="D7" i="73"/>
  <c r="F8" i="67"/>
  <c r="E9" i="76"/>
  <c r="F42" i="15"/>
  <c r="F13" i="67"/>
  <c r="F40" i="15"/>
  <c r="M8" i="67"/>
  <c r="F37" i="67"/>
  <c r="L48" i="67"/>
  <c r="J15" i="67"/>
  <c r="F7" i="15"/>
  <c r="F38" i="67"/>
  <c r="E2" i="69"/>
  <c r="B8" i="76"/>
  <c r="F43" i="15"/>
  <c r="M6" i="15"/>
  <c r="F6" i="15"/>
  <c r="M29" i="15"/>
  <c r="F13" i="15"/>
  <c r="M26" i="15"/>
  <c r="AO13" i="1"/>
  <c r="F5" i="73"/>
  <c r="D5" i="73"/>
  <c r="M8" i="15"/>
  <c r="L47" i="67"/>
  <c r="F3" i="73"/>
  <c r="E7" i="76"/>
  <c r="E2" i="68"/>
  <c r="B12" i="76"/>
  <c r="F38" i="15"/>
  <c r="F9" i="67"/>
  <c r="M23" i="15"/>
  <c r="F43" i="67"/>
  <c r="F16" i="15"/>
  <c r="F7" i="67"/>
  <c r="F4" i="73"/>
  <c r="F6" i="67"/>
  <c r="M9" i="67"/>
  <c r="D4" i="73"/>
  <c r="E10" i="76"/>
  <c r="B13" i="76"/>
  <c r="M22" i="15"/>
  <c r="F36" i="15"/>
  <c r="F37" i="15"/>
  <c r="B9" i="76"/>
  <c r="L48" i="15"/>
  <c r="F8" i="15"/>
  <c r="F16" i="67"/>
  <c r="E13" i="76"/>
  <c r="F40" i="67"/>
  <c r="M24" i="67"/>
  <c r="F6" i="73"/>
  <c r="E8" i="76"/>
  <c r="F9" i="15"/>
  <c r="M28" i="15"/>
  <c r="B10" i="76"/>
  <c r="E12" i="76"/>
  <c r="D6" i="73"/>
  <c r="M24" i="15"/>
  <c r="E11" i="76"/>
  <c r="F42" i="67"/>
  <c r="F26" i="15"/>
  <c r="M9" i="15"/>
  <c r="M29" i="67"/>
  <c r="H69" i="43" l="1"/>
  <c r="C28" i="67"/>
  <c r="C21" i="68"/>
  <c r="C40" i="69"/>
  <c r="O7" i="1"/>
  <c r="P7" i="1" s="1"/>
  <c r="K3" i="80"/>
  <c r="AC5" i="3"/>
  <c r="G5" i="3"/>
  <c r="B3" i="3" s="1"/>
  <c r="I3" i="6" s="1"/>
  <c r="E374" i="3"/>
  <c r="E459" i="3"/>
  <c r="E416" i="3"/>
  <c r="E398" i="3"/>
  <c r="E487" i="3"/>
  <c r="E464" i="3"/>
  <c r="E421" i="3"/>
  <c r="E552" i="3"/>
  <c r="E542" i="3"/>
  <c r="AD6" i="3"/>
  <c r="E312" i="3"/>
  <c r="E141" i="3"/>
  <c r="E167" i="3"/>
  <c r="E149" i="3"/>
  <c r="E244" i="3"/>
  <c r="E165" i="3"/>
  <c r="BA5" i="3"/>
  <c r="BL5" i="3"/>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F11" i="81" l="1"/>
  <c r="M11" i="81"/>
  <c r="J10" i="81" s="1"/>
  <c r="J5" i="81" s="1"/>
  <c r="O6" i="1"/>
  <c r="P6" i="1" s="1"/>
  <c r="C13" i="12" s="1"/>
  <c r="K2" i="80"/>
  <c r="E539" i="3"/>
  <c r="E536" i="3"/>
  <c r="E148" i="3"/>
  <c r="E212" i="3"/>
  <c r="E199" i="3"/>
  <c r="E286" i="3"/>
  <c r="E575" i="3"/>
  <c r="E499" i="3"/>
  <c r="R6" i="3"/>
  <c r="E502" i="3"/>
  <c r="E442" i="3"/>
  <c r="E466" i="3"/>
  <c r="E541" i="3"/>
  <c r="E430" i="3"/>
  <c r="E449" i="3"/>
  <c r="E255" i="3"/>
  <c r="E510" i="3"/>
  <c r="E329" i="3"/>
  <c r="E16" i="3"/>
  <c r="E188" i="3"/>
  <c r="E223" i="3"/>
  <c r="E116" i="3"/>
  <c r="E105" i="3"/>
  <c r="E393" i="3"/>
  <c r="E493" i="3"/>
  <c r="E564" i="3"/>
  <c r="E543" i="3"/>
  <c r="E427" i="3"/>
  <c r="E486"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5" i="3"/>
  <c r="E140" i="3"/>
  <c r="E173" i="3"/>
  <c r="E525" i="3"/>
  <c r="T6" i="3"/>
  <c r="E456" i="3"/>
  <c r="E512" i="3"/>
  <c r="E451"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197" i="3"/>
  <c r="E534" i="3"/>
  <c r="E469" i="3"/>
  <c r="E360" i="3"/>
  <c r="J6" i="3"/>
  <c r="E419" i="3"/>
  <c r="E401" i="3"/>
  <c r="E40" i="3"/>
  <c r="E108" i="3"/>
  <c r="E119" i="3"/>
  <c r="E242" i="3"/>
  <c r="E276" i="3"/>
  <c r="E333" i="3"/>
  <c r="L6" i="3"/>
  <c r="E43" i="3"/>
  <c r="E473" i="3"/>
  <c r="E455" i="3"/>
  <c r="E38" i="3"/>
  <c r="E170" i="3"/>
  <c r="E194" i="3"/>
  <c r="E209" i="3"/>
  <c r="E266" i="3"/>
  <c r="E307" i="3"/>
  <c r="E386" i="3"/>
  <c r="E354" i="3"/>
  <c r="E584" i="3"/>
  <c r="E66" i="3"/>
  <c r="E24" i="3"/>
  <c r="E48" i="3"/>
  <c r="E87" i="3"/>
  <c r="E127" i="3"/>
  <c r="E250" i="3"/>
  <c r="E284" i="3"/>
  <c r="E341" i="3"/>
  <c r="Y6" i="3"/>
  <c r="E51" i="3"/>
  <c r="E154" i="3"/>
  <c r="E179" i="3"/>
  <c r="E222" i="3"/>
  <c r="E323" i="3"/>
  <c r="E373" i="3"/>
  <c r="E22" i="3"/>
  <c r="E101" i="3"/>
  <c r="E83" i="3"/>
  <c r="E296" i="3"/>
  <c r="E369" i="3"/>
  <c r="E405" i="3"/>
  <c r="E408" i="3"/>
  <c r="AH6" i="3"/>
  <c r="E498" i="3"/>
  <c r="E483" i="3"/>
  <c r="E463" i="3"/>
  <c r="E25" i="3"/>
  <c r="E178" i="3"/>
  <c r="E202" i="3"/>
  <c r="E226" i="3"/>
  <c r="E346" i="3"/>
  <c r="E372" i="3"/>
  <c r="E60" i="3"/>
  <c r="E540" i="3"/>
  <c r="E15" i="3"/>
  <c r="E79" i="3"/>
  <c r="E100" i="3"/>
  <c r="E137" i="3"/>
  <c r="E234" i="3"/>
  <c r="E249" i="3"/>
  <c r="E300" i="3"/>
  <c r="E371" i="3"/>
  <c r="E310" i="3"/>
  <c r="E492" i="3"/>
  <c r="E23" i="3"/>
  <c r="E84" i="3"/>
  <c r="E67" i="3"/>
  <c r="E33" i="3"/>
  <c r="E144" i="3"/>
  <c r="E184" i="3"/>
  <c r="E233" i="3"/>
  <c r="E355" i="3"/>
  <c r="E381" i="3"/>
  <c r="E68" i="3"/>
  <c r="E63" i="3"/>
  <c r="E81" i="3"/>
  <c r="E118" i="3"/>
  <c r="E264" i="3"/>
  <c r="E283" i="3"/>
  <c r="E309" i="3"/>
  <c r="E513" i="3"/>
  <c r="E82" i="3"/>
  <c r="E21" i="3"/>
  <c r="E19"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K4" i="80" s="1"/>
  <c r="K5" i="80" s="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L36" i="43" l="1"/>
  <c r="L37"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Q36" i="43" l="1"/>
  <c r="M36" i="43"/>
  <c r="P36" i="43"/>
  <c r="O36" i="43"/>
  <c r="N36" i="43"/>
  <c r="C38" i="81"/>
  <c r="B1" i="74"/>
  <c r="B14" i="74"/>
  <c r="C66" i="81"/>
  <c r="C60" i="81"/>
  <c r="C24" i="81"/>
  <c r="C23"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29" i="81" l="1"/>
  <c r="D13" i="77" s="1"/>
  <c r="D12" i="77" s="1"/>
  <c r="D11" i="77" s="1"/>
  <c r="C14" i="74"/>
  <c r="B2" i="74" s="1"/>
  <c r="C57" i="81"/>
  <c r="C64" i="8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Q49" i="81"/>
  <c r="J14" i="81"/>
  <c r="J22" i="81" s="1"/>
  <c r="J59" i="81"/>
  <c r="J60" i="81" s="1"/>
  <c r="Q48" i="81" s="1"/>
  <c r="C13" i="81"/>
  <c r="C75" i="81" s="1"/>
  <c r="C36" i="81"/>
  <c r="D7" i="77"/>
  <c r="C26" i="77" s="1"/>
  <c r="C32" i="77" s="1"/>
  <c r="C38" i="77" s="1"/>
  <c r="C39" i="77" s="1"/>
  <c r="C40" i="77" s="1"/>
  <c r="E11" i="77"/>
  <c r="E7" i="77" s="1"/>
  <c r="D7" i="74"/>
  <c r="D8" i="74"/>
  <c r="J13" i="81"/>
  <c r="J23" i="81"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56" i="81"/>
  <c r="C65" i="81" s="1"/>
  <c r="Q70" i="81"/>
  <c r="L46" i="81"/>
  <c r="E2" i="77" s="1"/>
  <c r="B2" i="77" s="1"/>
  <c r="B3" i="77" s="1"/>
  <c r="C37" i="81"/>
  <c r="C27" i="77"/>
  <c r="C41" i="77"/>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7" i="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41" i="81"/>
  <c r="F35" i="15"/>
  <c r="M21" i="15"/>
  <c r="M21" i="67"/>
  <c r="F35" i="81"/>
  <c r="F35" i="67"/>
  <c r="M21" i="81"/>
  <c r="C25" i="68" l="1"/>
  <c r="C22" i="68" s="1"/>
  <c r="C31" i="68" s="1"/>
  <c r="J29" i="81"/>
  <c r="F69" i="81"/>
  <c r="J20" i="81"/>
  <c r="J17" i="81" s="1"/>
  <c r="J16" i="81" s="1"/>
  <c r="J25" i="81" s="1"/>
  <c r="F63" i="81"/>
  <c r="C62" i="81" s="1"/>
  <c r="C59" i="81" s="1"/>
  <c r="C58" i="81" s="1"/>
  <c r="C67" i="81" s="1"/>
  <c r="C68" i="81" s="1"/>
  <c r="C34" i="81"/>
  <c r="C31" i="81" s="1"/>
  <c r="C30" i="81" s="1"/>
  <c r="C39" i="81"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1" i="81"/>
  <c r="Q69" i="81"/>
  <c r="Q68" i="81" s="1"/>
  <c r="C40" i="8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L51" i="81"/>
  <c r="C102" i="9" l="1"/>
  <c r="C21" i="9"/>
  <c r="C57" i="68"/>
  <c r="C56" i="68" s="1"/>
  <c r="B3" i="68"/>
  <c r="Q67" i="81"/>
  <c r="Q47" i="81"/>
  <c r="Q53" i="81" s="1"/>
  <c r="B2" i="81"/>
  <c r="B3" i="81" s="1"/>
  <c r="Q65" i="81"/>
  <c r="Q75" i="81" s="1"/>
  <c r="Q56" i="81"/>
  <c r="Q62" i="81" s="1"/>
  <c r="C43" i="81"/>
  <c r="C83" i="81"/>
  <c r="C82" i="81" s="1"/>
  <c r="C46" i="8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2" i="33"/>
  <c r="D35" i="9"/>
  <c r="D34" i="9"/>
  <c r="C103" i="9"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6" i="1"/>
  <c r="AO8"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F118" i="9"/>
  <c r="M10" i="80" s="1"/>
  <c r="H118" i="9"/>
  <c r="K10" i="80" l="1"/>
  <c r="D14" i="74"/>
  <c r="D4" i="52"/>
  <c r="B47" i="72" s="1"/>
  <c r="F119" i="9"/>
  <c r="F5" i="52" s="1"/>
  <c r="B53" i="72" s="1"/>
  <c r="G118" i="9"/>
  <c r="G4" i="52" s="1"/>
  <c r="B52" i="72" s="1"/>
  <c r="L2" i="80"/>
  <c r="L3" i="80"/>
  <c r="L4" i="80"/>
  <c r="H101" i="9"/>
  <c r="I118" i="9"/>
  <c r="L10" i="80"/>
  <c r="F4" i="52"/>
  <c r="B51" i="72" s="1"/>
  <c r="H4" i="52"/>
  <c r="C104" i="9"/>
  <c r="H119" i="9"/>
  <c r="H5" i="52" s="1"/>
  <c r="E14" i="74" l="1"/>
  <c r="B5" i="74"/>
  <c r="D5" i="74" s="1"/>
  <c r="F14" i="74"/>
  <c r="M2" i="80"/>
  <c r="M3" i="80"/>
  <c r="N2" i="80"/>
  <c r="M48" i="9"/>
  <c r="H107" i="9"/>
  <c r="D5" i="53"/>
  <c r="D45" i="9"/>
  <c r="I4" i="52"/>
  <c r="C105" i="9"/>
  <c r="H102" i="9"/>
  <c r="E118" i="9"/>
  <c r="E4" i="52" s="1"/>
  <c r="B48" i="72" s="1"/>
  <c r="L5" i="80"/>
  <c r="N4" i="80"/>
  <c r="M5" i="80" l="1"/>
  <c r="C5" i="74"/>
  <c r="D7" i="53"/>
  <c r="B21" i="72" s="1"/>
  <c r="B20" i="72"/>
  <c r="D6" i="53"/>
  <c r="B22" i="72" s="1"/>
  <c r="D53" i="9"/>
  <c r="C93" i="9"/>
  <c r="C86" i="9" s="1"/>
  <c r="D52" i="9"/>
  <c r="C78" i="9"/>
  <c r="C73" i="9" s="1"/>
  <c r="D55" i="9"/>
  <c r="M53" i="9" s="1"/>
  <c r="C85" i="9"/>
  <c r="C72" i="9"/>
  <c r="C64" i="9"/>
  <c r="C63" i="9" s="1"/>
  <c r="C67" i="9" s="1"/>
  <c r="D13" i="53"/>
  <c r="D122" i="9"/>
  <c r="G14" i="74" s="1"/>
  <c r="B6" i="74" s="1"/>
  <c r="D6" i="74" s="1"/>
  <c r="H108" i="9"/>
  <c r="M49" i="9"/>
  <c r="N3" i="80"/>
  <c r="N5" i="80" s="1"/>
  <c r="C95" i="9" l="1"/>
  <c r="C79" i="9"/>
  <c r="C80" i="9" s="1"/>
  <c r="E80" i="9" s="1"/>
  <c r="E81" i="9" s="1"/>
  <c r="D15" i="53"/>
  <c r="B31" i="72" s="1"/>
  <c r="C6" i="74"/>
  <c r="B30" i="72"/>
  <c r="D14" i="53"/>
  <c r="B32" i="72" s="1"/>
  <c r="L68" i="9"/>
  <c r="M68" i="9" s="1"/>
  <c r="L65" i="9"/>
  <c r="M65" i="9" s="1"/>
  <c r="L66" i="9"/>
  <c r="M66" i="9" s="1"/>
  <c r="L67" i="9"/>
  <c r="M67" i="9" s="1"/>
  <c r="L64" i="9"/>
  <c r="M64" i="9" s="1"/>
  <c r="L63" i="9"/>
  <c r="M63" i="9" s="1"/>
  <c r="D8" i="52"/>
  <c r="D123" i="9"/>
  <c r="D9" i="52" s="1"/>
  <c r="C68" i="9"/>
  <c r="D54" i="9" s="1"/>
  <c r="D59" i="9"/>
  <c r="M55" i="9" s="1"/>
  <c r="C96" i="9"/>
  <c r="E96" i="9" s="1"/>
  <c r="E97" i="9"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<sst xmlns="http://schemas.openxmlformats.org/spreadsheetml/2006/main" count="9180" uniqueCount="3885">
  <si>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</si>
  <si>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</si>
  <si>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</si>
  <si>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</si>
  <si>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</si>
  <si>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</si>
  <si>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</si>
  <si>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</si>
  <si>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</si>
  <si>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</si>
  <si>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</si>
  <si>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</si>
  <si>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</si>
  <si>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</si>
  <si>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</si>
  <si>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</si>
  <si>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</si>
  <si>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</si>
  <si>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</si>
  <si>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</si>
  <si>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</si>
  <si>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</si>
  <si>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</si>
  <si>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</si>
  <si>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</si>
  <si>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</si>
  <si>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</si>
  <si>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</si>
  <si>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</si>
  <si>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</si>
  <si>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</si>
  <si>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</si>
  <si>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</si>
  <si>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</si>
  <si>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</si>
  <si>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</si>
  <si>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</si>
  <si>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</si>
  <si>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</si>
  <si>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</si>
  <si>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</si>
  <si>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</si>
  <si>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</si>
  <si>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</si>
  <si>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</si>
  <si>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</si>
  <si>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</si>
  <si>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</si>
  <si>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</si>
  <si>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</si>
  <si>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</si>
  <si>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</si>
  <si>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</si>
  <si>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</si>
  <si>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</si>
  <si>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</si>
  <si>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</si>
  <si>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</si>
  <si>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</si>
  <si>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</si>
  <si>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</si>
  <si>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</si>
  <si>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</si>
  <si>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</si>
  <si>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</si>
  <si>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</si>
  <si>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</si>
  <si>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</si>
  <si>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</si>
  <si>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</si>
  <si>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</si>
  <si>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</si>
  <si>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</si>
  <si>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</si>
  <si>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</si>
  <si>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</si>
  <si>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</si>
  <si>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</si>
  <si>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</si>
  <si>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</si>
  <si>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</si>
  <si>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</si>
  <si>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</si>
  <si>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</si>
  <si>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</si>
  <si>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</si>
  <si>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</si>
  <si>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</si>
  <si>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</si>
  <si>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</si>
  <si>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</si>
  <si>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</si>
  <si>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</si>
  <si>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</si>
  <si>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</si>
  <si>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</si>
  <si>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</si>
  <si>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</si>
  <si>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</si>
  <si>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</si>
  <si>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</si>
  <si>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</si>
  <si>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</si>
  <si>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</si>
  <si>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</si>
  <si>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</si>
  <si>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</si>
  <si>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</si>
  <si>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</si>
  <si>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</si>
  <si>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</si>
  <si>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</si>
  <si>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</si>
  <si>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</si>
  <si>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</si>
  <si>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</si>
  <si>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</si>
  <si>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</si>
  <si>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</si>
  <si>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</si>
  <si>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</si>
  <si>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</si>
  <si>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</si>
  <si>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</si>
  <si>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</si>
  <si>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</si>
  <si>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</si>
  <si>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</si>
  <si>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</si>
  <si>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</si>
  <si>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</si>
  <si>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</si>
  <si>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</si>
  <si>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</si>
  <si>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</si>
  <si>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</si>
  <si>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</si>
  <si>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</si>
  <si>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</si>
  <si>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</si>
  <si>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</si>
  <si>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</si>
  <si>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</si>
  <si>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</si>
  <si>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</si>
  <si>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</si>
  <si>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</si>
  <si>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</si>
  <si>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</si>
  <si>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</si>
  <si>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</si>
  <si>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</si>
  <si>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</si>
  <si>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</si>
  <si>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</si>
  <si>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</si>
  <si>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</si>
  <si>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</si>
  <si>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</si>
  <si>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</si>
  <si>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</si>
  <si>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</si>
  <si>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</si>
  <si>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</si>
  <si>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</si>
  <si>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</si>
  <si>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</si>
  <si>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</si>
  <si>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</si>
  <si>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</si>
  <si>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</si>
  <si>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</si>
  <si>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</si>
  <si>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</si>
  <si>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</si>
  <si>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</si>
  <si>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</si>
  <si>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</si>
  <si>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</si>
  <si>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</si>
  <si>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</si>
  <si>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</si>
  <si>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</si>
  <si>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</si>
  <si>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</si>
  <si>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</si>
  <si>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</si>
  <si>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</si>
  <si>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</si>
  <si>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</si>
  <si>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</si>
  <si>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</si>
  <si>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</si>
  <si>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</si>
  <si>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</si>
  <si>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</si>
  <si>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</si>
  <si>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</si>
  <si>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</si>
  <si>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</si>
  <si>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</si>
  <si>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</si>
  <si>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</si>
  <si>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</si>
  <si>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</si>
  <si>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</si>
  <si>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</si>
  <si>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</si>
  <si>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</si>
  <si>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</si>
  <si>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</si>
  <si>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</si>
  <si>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</si>
  <si>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</si>
  <si>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</si>
  <si>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</si>
  <si>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</si>
  <si>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</si>
  <si>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</si>
  <si>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</si>
  <si>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</si>
  <si>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</si>
  <si>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</si>
  <si>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</si>
  <si>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</si>
  <si>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</si>
  <si>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</si>
  <si>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</si>
  <si>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</si>
  <si>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</si>
  <si>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</si>
  <si>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</si>
  <si>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</si>
  <si>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</si>
  <si>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</si>
  <si>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</si>
  <si>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</si>
  <si>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</si>
  <si>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</si>
  <si>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</si>
  <si>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</si>
  <si>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</si>
  <si>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</si>
  <si>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</si>
  <si>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</si>
  <si>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</si>
  <si>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</si>
  <si>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</si>
  <si>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</si>
  <si>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</si>
  <si>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</si>
  <si>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</si>
  <si>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</si>
  <si>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</si>
  <si>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</si>
  <si>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</si>
  <si>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</si>
  <si>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</si>
  <si>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</si>
  <si>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</si>
  <si>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</si>
  <si>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</si>
  <si>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</si>
  <si>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</si>
  <si>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</si>
  <si>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</si>
  <si>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</si>
  <si>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</si>
  <si>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</si>
  <si>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</si>
  <si>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</si>
  <si>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</si>
  <si>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</si>
  <si>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</si>
  <si>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</si>
  <si>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</si>
  <si>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</si>
  <si>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</si>
  <si>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</si>
  <si>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</si>
  <si>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</si>
  <si>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</si>
  <si>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</si>
  <si>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</si>
  <si>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</si>
  <si>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</si>
  <si>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</si>
  <si>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</si>
  <si>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</si>
  <si>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</si>
  <si>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</si>
  <si>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</si>
  <si>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</si>
  <si>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</si>
  <si>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</si>
  <si>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</si>
  <si>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</si>
  <si>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</si>
  <si>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</si>
  <si>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</si>
  <si>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</si>
  <si>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</si>
  <si>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</si>
  <si>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</si>
  <si>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</si>
  <si>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</si>
  <si>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</si>
  <si>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</si>
  <si>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</si>
  <si>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</si>
  <si>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</si>
  <si>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</si>
  <si>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</si>
  <si>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</si>
  <si>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</si>
  <si>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</si>
  <si>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</si>
  <si>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</si>
  <si>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</si>
  <si>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</si>
  <si>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</si>
  <si>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</si>
  <si>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</si>
  <si>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</si>
  <si>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</si>
  <si>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</si>
  <si>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</si>
  <si>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</si>
  <si>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</si>
  <si>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</si>
  <si>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</si>
  <si>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</si>
  <si>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</si>
  <si>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</si>
  <si>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</si>
  <si>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</si>
  <si>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</si>
  <si>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</si>
  <si>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</si>
  <si>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</si>
  <si>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</si>
  <si>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</si>
  <si>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</si>
  <si>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</si>
  <si>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</si>
  <si>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</si>
  <si>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</si>
  <si>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</si>
  <si>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</si>
  <si>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</si>
  <si>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</si>
  <si>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</si>
  <si>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</si>
  <si>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</si>
  <si>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</si>
  <si>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</si>
  <si>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</si>
  <si>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</si>
  <si>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</si>
  <si>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</si>
  <si>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</si>
  <si>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</si>
  <si>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</si>
  <si>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</si>
  <si>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</si>
  <si>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</si>
  <si>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</si>
  <si>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</si>
  <si>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</si>
  <si>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</si>
  <si>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</si>
  <si>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</si>
  <si>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</si>
  <si>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</si>
  <si>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</si>
  <si>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</si>
  <si>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</si>
  <si>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</si>
  <si>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</si>
  <si>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</si>
  <si>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</si>
  <si>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</si>
  <si>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</si>
  <si>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</si>
  <si>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</si>
  <si>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</si>
  <si>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</si>
  <si>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</si>
  <si>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</si>
  <si>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</si>
  <si>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</si>
  <si>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</si>
  <si>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</si>
  <si>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</si>
  <si>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</si>
  <si>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</si>
  <si>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</si>
  <si>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</si>
  <si>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</si>
  <si>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</si>
  <si>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</si>
  <si>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</si>
  <si>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</si>
  <si>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</si>
  <si>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</si>
  <si>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</si>
  <si>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</si>
  <si>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</si>
  <si>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</si>
  <si>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</si>
  <si>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</si>
  <si>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</si>
  <si>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</si>
  <si>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</si>
  <si>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</si>
  <si>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</si>
  <si>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</si>
  <si>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</si>
  <si>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</si>
  <si>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</si>
  <si>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</si>
  <si>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</si>
  <si>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</si>
  <si>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</si>
  <si>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</si>
  <si>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</si>
  <si>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</si>
  <si>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</si>
  <si>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</si>
  <si>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</si>
  <si>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</si>
  <si>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</si>
  <si>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</si>
  <si>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</si>
  <si>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</si>
  <si>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</si>
  <si>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</si>
  <si>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</si>
  <si>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</si>
  <si>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</si>
  <si>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</si>
  <si>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</si>
  <si>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</si>
  <si>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</si>
  <si>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</si>
  <si>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</si>
  <si>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</si>
  <si>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</si>
  <si>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</si>
  <si>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</si>
  <si>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</si>
  <si>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</si>
  <si>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</si>
  <si>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</si>
  <si>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</si>
  <si>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</si>
  <si>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</si>
  <si>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</si>
  <si>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</si>
  <si>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</si>
  <si>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</si>
  <si>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</si>
  <si>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</si>
  <si>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</si>
  <si>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</si>
  <si>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</si>
  <si>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</si>
  <si>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</si>
  <si>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</si>
  <si>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</si>
  <si>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</si>
  <si>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</si>
  <si>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</si>
  <si>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</si>
  <si>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</si>
  <si>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</si>
  <si>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</si>
  <si>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</si>
  <si>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</si>
  <si>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</si>
  <si>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</si>
  <si>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</si>
  <si>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</si>
  <si>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</si>
  <si>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</si>
  <si>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</si>
  <si>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</si>
  <si>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</si>
  <si>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</si>
  <si>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</si>
  <si>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</si>
  <si>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</si>
  <si>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</si>
  <si>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</si>
  <si>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</si>
  <si>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</si>
  <si>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</si>
  <si>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</si>
  <si>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</si>
  <si>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</si>
  <si>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</si>
  <si>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</si>
  <si>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</si>
  <si>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</si>
  <si>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</si>
  <si>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</si>
  <si>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</si>
  <si>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</si>
  <si>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</si>
  <si>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</si>
  <si>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</si>
  <si>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</si>
  <si>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</si>
  <si>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</si>
  <si>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</si>
  <si>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</si>
  <si>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</si>
  <si>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</si>
  <si>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</si>
  <si>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</si>
  <si>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</si>
  <si>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</si>
  <si>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</si>
  <si>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</si>
  <si>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</si>
  <si>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</si>
  <si>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</si>
  <si>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</si>
  <si>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</si>
  <si>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</si>
  <si>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</si>
  <si>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</si>
  <si>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</si>
  <si>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</si>
  <si>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</si>
  <si>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</si>
  <si>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</si>
  <si>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</si>
  <si>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</si>
  <si>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</si>
  <si>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</si>
  <si>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</si>
  <si>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</si>
  <si>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</si>
  <si>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</si>
  <si>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</si>
  <si>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</si>
  <si>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</si>
  <si>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</si>
  <si>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</si>
  <si>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</si>
  <si>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</si>
  <si>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</si>
  <si>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</si>
  <si>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</si>
  <si>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</si>
  <si>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</si>
  <si>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</si>
  <si>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</si>
  <si>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</si>
  <si>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</si>
  <si>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</si>
  <si>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</si>
  <si>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</si>
  <si>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</si>
  <si>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</si>
  <si>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</si>
  <si>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</si>
  <si>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</si>
  <si>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</si>
  <si>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</si>
  <si>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</si>
  <si>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</si>
  <si>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</si>
  <si>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</si>
  <si>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</si>
  <si>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</si>
  <si>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</si>
  <si>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</si>
  <si>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</si>
  <si>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</si>
  <si>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</si>
  <si>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</si>
  <si>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</si>
  <si>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</si>
  <si>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</si>
  <si>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</si>
  <si>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</si>
  <si>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</si>
  <si>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</si>
  <si>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</si>
  <si>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</si>
  <si>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</si>
  <si>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</si>
  <si>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</si>
  <si>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</si>
  <si>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</si>
  <si>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</si>
  <si>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</si>
  <si>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</si>
  <si>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</si>
  <si>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</si>
  <si>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</si>
  <si>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</si>
  <si>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</si>
  <si>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</si>
  <si>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</si>
  <si>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</si>
  <si>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</si>
  <si>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</si>
  <si>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</si>
  <si>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</si>
  <si>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</si>
  <si>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</si>
  <si>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</si>
  <si>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</si>
  <si>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</si>
  <si>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</si>
  <si>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</si>
  <si>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</si>
  <si>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</si>
  <si>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</si>
  <si>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</si>
  <si>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</si>
  <si>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</si>
  <si>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</si>
  <si>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</si>
  <si>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</si>
  <si>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</si>
  <si>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</si>
  <si>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</si>
  <si>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</si>
  <si>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</si>
  <si>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</si>
  <si>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</si>
  <si>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</si>
  <si>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</si>
  <si>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</si>
  <si>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</si>
  <si>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</si>
  <si>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</si>
  <si>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</si>
  <si>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</si>
  <si>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</si>
  <si>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</si>
  <si>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</si>
  <si>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</si>
  <si>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</si>
  <si>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</si>
  <si>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</si>
  <si>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</si>
  <si>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</si>
  <si>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</si>
  <si>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</si>
  <si>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</si>
  <si>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</si>
  <si>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</si>
  <si>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</si>
  <si>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</si>
  <si>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</si>
  <si>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</si>
  <si>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</si>
  <si>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</si>
  <si>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</si>
  <si>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</si>
  <si>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</si>
  <si>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</si>
  <si>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</si>
  <si>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</si>
  <si>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</si>
  <si>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</si>
  <si>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</si>
  <si>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</si>
  <si>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</si>
  <si>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</si>
  <si>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</si>
  <si>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</si>
  <si>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</si>
  <si>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</si>
  <si>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</si>
  <si>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</si>
  <si>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</si>
  <si>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</si>
  <si>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</si>
  <si>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</si>
  <si>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</si>
  <si>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</si>
  <si>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</si>
  <si>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</si>
  <si>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</si>
  <si>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</si>
  <si>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</si>
  <si>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</si>
  <si>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</si>
  <si>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</si>
  <si>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</si>
  <si>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</si>
  <si>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</si>
  <si>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</si>
  <si>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</si>
  <si>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</si>
  <si>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</si>
  <si>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</si>
  <si>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</si>
  <si>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</si>
  <si>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</si>
  <si>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</si>
  <si>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</si>
  <si>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</si>
  <si>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</si>
  <si>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</si>
  <si>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</si>
  <si>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</si>
  <si>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</si>
  <si>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</si>
  <si>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</si>
  <si>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</si>
  <si>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</si>
  <si>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</si>
  <si>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</si>
  <si>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</si>
  <si>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</si>
  <si>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</si>
  <si>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</si>
  <si>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</si>
  <si>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</si>
  <si>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</si>
  <si>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</si>
  <si>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</si>
  <si>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</si>
  <si>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</si>
  <si>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</si>
  <si>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</si>
  <si>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</si>
  <si>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</si>
  <si>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</si>
  <si>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</si>
  <si>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</si>
  <si>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</si>
  <si>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</si>
  <si>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</si>
  <si>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</si>
  <si>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</si>
  <si>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</si>
  <si>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</si>
  <si>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</si>
  <si>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</si>
  <si>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</si>
  <si>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</si>
  <si>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</si>
  <si>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</si>
  <si>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</si>
  <si>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</si>
  <si>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</si>
  <si>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</si>
  <si>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</si>
  <si>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</si>
  <si>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</si>
  <si>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</si>
  <si>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</si>
  <si>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</si>
  <si>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</si>
  <si>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</si>
  <si>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</si>
  <si>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</si>
  <si>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</si>
  <si>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</si>
  <si>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</si>
  <si>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</si>
  <si>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</si>
  <si>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</si>
  <si>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</si>
  <si>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</si>
  <si>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</si>
  <si>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</si>
  <si>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</si>
  <si>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</si>
  <si>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</si>
  <si>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</si>
  <si>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</si>
  <si>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</si>
  <si>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</si>
  <si>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</si>
  <si>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</si>
  <si>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</si>
  <si>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</si>
  <si>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</si>
  <si>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</si>
  <si>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</si>
  <si>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</si>
  <si>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</si>
  <si>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</si>
  <si>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</si>
  <si>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</si>
  <si>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</si>
  <si>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</si>
  <si>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</si>
  <si>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</si>
  <si>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</si>
  <si>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</si>
  <si>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</si>
  <si>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</si>
  <si>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</si>
  <si>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</si>
  <si>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</si>
  <si>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</si>
  <si>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</si>
  <si>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</si>
  <si>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</si>
  <si>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</si>
  <si>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</si>
  <si>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</si>
  <si>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</si>
  <si>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</si>
  <si>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</si>
  <si>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</si>
  <si>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</si>
  <si>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</si>
  <si>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</si>
  <si>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</si>
  <si>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</si>
  <si>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</si>
  <si>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</si>
  <si>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</si>
  <si>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</si>
  <si>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</si>
  <si>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</si>
  <si>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</si>
  <si>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</si>
  <si>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</si>
  <si>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</si>
  <si>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</si>
  <si>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</si>
  <si>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</si>
  <si>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</si>
  <si>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</si>
  <si>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</si>
  <si>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</si>
  <si>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</si>
  <si>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</si>
  <si>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</si>
  <si>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</si>
  <si>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</si>
  <si>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</si>
  <si>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</si>
  <si>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</si>
  <si>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</si>
  <si>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</si>
  <si>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</si>
  <si>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</si>
  <si>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</si>
  <si>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</si>
  <si>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</si>
  <si>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</si>
  <si>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</si>
  <si>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</si>
  <si>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</si>
  <si>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</si>
  <si>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</si>
  <si>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</si>
  <si>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</si>
  <si>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</si>
  <si>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</si>
  <si>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</si>
  <si>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</si>
  <si>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</si>
  <si>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</si>
  <si>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</si>
  <si>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</si>
  <si>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</si>
  <si>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</si>
  <si>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</si>
  <si>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</si>
  <si>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</si>
  <si>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</si>
  <si>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</si>
  <si>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</si>
  <si>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</si>
  <si>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</si>
  <si>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</si>
  <si>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</si>
  <si>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</si>
  <si>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</si>
  <si>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</si>
  <si>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</si>
  <si>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</si>
  <si>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</si>
  <si>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</si>
  <si>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</si>
  <si>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</si>
  <si>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</si>
  <si>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</si>
  <si>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</si>
  <si>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</si>
  <si>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</si>
  <si>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</si>
  <si>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</si>
  <si>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</si>
  <si>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</si>
  <si>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</si>
  <si>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</si>
  <si>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</si>
  <si>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</si>
  <si>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</si>
  <si>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</si>
  <si>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</si>
  <si>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</si>
  <si>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</si>
  <si>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</si>
  <si>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</si>
  <si>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</si>
  <si>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</si>
  <si>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</si>
  <si>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</si>
  <si>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</si>
  <si>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</si>
  <si>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</si>
  <si>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</si>
  <si>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</si>
  <si>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</si>
  <si>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</si>
  <si>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</si>
  <si>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</si>
  <si>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</si>
  <si>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</si>
  <si>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</si>
  <si>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</si>
  <si>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</si>
  <si>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</si>
  <si>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</si>
  <si>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</si>
  <si>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</si>
  <si>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</si>
  <si>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</si>
  <si>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</si>
  <si>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</si>
  <si>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</si>
  <si>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</si>
  <si>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</si>
  <si>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</si>
  <si>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</si>
  <si>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</si>
  <si>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</si>
  <si>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</si>
  <si>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</si>
  <si>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</si>
  <si>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</si>
  <si>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</si>
  <si>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</si>
  <si>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</si>
  <si>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</si>
  <si>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</si>
  <si>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</si>
  <si>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</si>
  <si>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</si>
  <si>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</si>
  <si>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</si>
  <si>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</si>
  <si>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</si>
  <si>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</si>
  <si>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</si>
  <si>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</si>
  <si>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</si>
  <si>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</si>
  <si>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</si>
  <si>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</si>
  <si>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</si>
  <si>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</si>
  <si>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</si>
  <si>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</si>
  <si>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</si>
  <si>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</si>
  <si>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</si>
  <si>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</si>
  <si>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</si>
  <si>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</si>
  <si>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</si>
  <si>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</si>
  <si>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</si>
  <si>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</si>
  <si>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</si>
  <si>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</si>
  <si>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</si>
  <si>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</si>
  <si>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</si>
  <si>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</si>
  <si>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</si>
  <si>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</si>
  <si>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</si>
  <si>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</si>
  <si>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</si>
  <si>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</si>
  <si>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</si>
  <si>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</si>
  <si>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</si>
  <si>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</si>
  <si>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</si>
  <si>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</si>
  <si>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</si>
  <si>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</si>
  <si>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</si>
  <si>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</si>
  <si>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</si>
  <si>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</si>
  <si>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</si>
  <si>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</si>
  <si>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</si>
  <si>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</si>
  <si>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</si>
  <si>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</si>
  <si>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</si>
  <si>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</si>
  <si>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</si>
  <si>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</si>
  <si>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</si>
  <si>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</si>
  <si>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</si>
  <si>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</si>
  <si>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</si>
  <si>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</si>
  <si>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</si>
  <si>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</si>
  <si>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</si>
  <si>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</si>
  <si>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</si>
  <si>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</si>
  <si>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</si>
  <si>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</si>
  <si>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</si>
  <si>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</si>
  <si>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</si>
  <si>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</si>
  <si>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</si>
  <si>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</si>
  <si>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</si>
  <si>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</si>
  <si>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</si>
  <si>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</si>
  <si>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</si>
  <si>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</si>
  <si>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</si>
  <si>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</si>
  <si>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</si>
  <si>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</si>
  <si>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</si>
  <si>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</si>
  <si>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</si>
  <si>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</si>
  <si>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</si>
  <si>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</si>
  <si>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</si>
  <si>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</si>
  <si>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</si>
  <si>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</si>
  <si>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</si>
  <si>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</si>
  <si>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</si>
  <si>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</si>
  <si>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</si>
  <si>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</si>
  <si>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</si>
  <si>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</si>
  <si>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</si>
  <si>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</si>
  <si>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</si>
  <si>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</si>
  <si>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</si>
  <si>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</si>
  <si>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</si>
  <si>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</si>
  <si>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</si>
  <si>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</si>
  <si>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</si>
  <si>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</si>
  <si>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</si>
  <si>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</si>
  <si>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</si>
  <si>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</si>
  <si>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</si>
  <si>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</si>
  <si>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</si>
  <si>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</si>
  <si>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</si>
  <si>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</si>
  <si>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</si>
  <si>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</si>
  <si>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</si>
  <si>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</si>
  <si>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</si>
  <si>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</si>
  <si>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</si>
  <si>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</si>
  <si>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</si>
  <si>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</si>
  <si>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</si>
  <si>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</si>
  <si>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</si>
  <si>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</si>
  <si>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</si>
  <si>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</si>
  <si>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</si>
  <si>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</si>
  <si>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</si>
  <si>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</si>
  <si>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</si>
  <si>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</si>
  <si>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</si>
  <si>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</si>
  <si>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</si>
  <si>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</si>
  <si>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</si>
  <si>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</si>
  <si>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</si>
  <si>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</si>
  <si>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</si>
  <si>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</si>
  <si>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</si>
  <si>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</si>
  <si>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</si>
  <si>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</si>
  <si>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</si>
  <si>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</si>
  <si>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</si>
  <si>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</si>
  <si>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</si>
  <si>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</si>
  <si>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</si>
  <si>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</si>
  <si>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</si>
  <si>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</si>
  <si>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</si>
  <si>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</si>
  <si>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</si>
  <si>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</si>
  <si>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</si>
  <si>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</si>
  <si>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</si>
  <si>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</si>
  <si>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</si>
  <si>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</si>
  <si>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</si>
  <si>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</si>
  <si>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</si>
  <si>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</si>
  <si>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</si>
  <si>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</si>
  <si>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</si>
  <si>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</si>
  <si>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</si>
  <si>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</si>
  <si>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</si>
  <si>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</si>
  <si>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</si>
  <si>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</si>
  <si>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</si>
  <si>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</si>
  <si>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</si>
  <si>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</si>
  <si>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</si>
  <si>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</si>
  <si>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</si>
  <si>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</si>
  <si>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</si>
  <si>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</si>
  <si>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</si>
  <si>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</si>
  <si>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</si>
  <si>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</si>
  <si>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</si>
  <si>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</si>
  <si>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</si>
  <si>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</si>
  <si>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</si>
  <si>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</si>
  <si>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</si>
  <si>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</si>
  <si>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</si>
  <si>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</si>
  <si>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</si>
  <si>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</si>
  <si>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</si>
  <si>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</si>
  <si>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</si>
  <si>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</si>
  <si>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</si>
  <si>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</si>
  <si>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</si>
  <si>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</si>
  <si>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</si>
  <si>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</si>
  <si>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</si>
  <si>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</si>
  <si>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</si>
  <si>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</si>
  <si>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</si>
  <si>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</si>
  <si>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</si>
  <si>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</si>
  <si>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</si>
  <si>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</si>
  <si>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</si>
  <si>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</si>
  <si>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</si>
  <si>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</si>
  <si>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</si>
  <si>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</si>
  <si>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</si>
  <si>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</si>
  <si>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</si>
  <si>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</si>
  <si>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</si>
  <si>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</si>
  <si>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</si>
  <si>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</si>
  <si>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</si>
  <si>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</si>
  <si>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</si>
  <si>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</si>
  <si>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</si>
  <si>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</si>
  <si>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</si>
  <si>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</si>
  <si>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</si>
  <si>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</si>
  <si>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</si>
  <si>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</si>
  <si>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</si>
  <si>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</si>
  <si>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</si>
  <si>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</si>
  <si>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</si>
  <si>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</si>
  <si>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</si>
  <si>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</si>
  <si>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</si>
  <si>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</si>
  <si>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</si>
  <si>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</si>
  <si>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</si>
  <si>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</si>
  <si>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</si>
  <si>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</si>
  <si>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</si>
  <si>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</si>
  <si>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</si>
  <si>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</si>
  <si>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</si>
  <si>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</si>
  <si>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</si>
  <si>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</si>
  <si>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</si>
  <si>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</si>
  <si>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</si>
  <si>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</si>
  <si>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</si>
  <si>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</si>
  <si>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</si>
  <si>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</si>
  <si>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</si>
  <si>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</si>
  <si>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</si>
  <si>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</si>
  <si>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</si>
  <si>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</si>
  <si>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</si>
  <si>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</si>
  <si>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</si>
  <si>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</si>
  <si>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</si>
  <si>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</si>
  <si>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</si>
  <si>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</si>
  <si>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</si>
  <si>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</si>
  <si>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</si>
  <si>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</si>
  <si>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</si>
  <si>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</si>
  <si>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</si>
  <si>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</si>
  <si>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</si>
  <si>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</si>
  <si>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</si>
  <si>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</si>
  <si>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</si>
  <si>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</si>
  <si>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</si>
  <si>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</si>
  <si>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</si>
  <si>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</si>
  <si>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</si>
  <si>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</si>
  <si>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</si>
  <si>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</si>
  <si>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</si>
  <si>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</si>
  <si>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</si>
  <si>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</si>
  <si>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</si>
  <si>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</si>
  <si>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</si>
  <si>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</si>
  <si>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</si>
  <si>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</si>
  <si>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</si>
  <si>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</si>
  <si>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</si>
  <si>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</si>
  <si>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</si>
  <si>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</si>
  <si>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</si>
  <si>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</si>
  <si>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</si>
  <si>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</si>
  <si>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</si>
  <si>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</si>
  <si>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</si>
  <si>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</si>
  <si>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</si>
  <si>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</si>
  <si>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</si>
  <si>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</si>
  <si>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</si>
  <si>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</si>
  <si>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</si>
  <si>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</si>
  <si>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</si>
  <si>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</si>
  <si>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</si>
  <si>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</si>
  <si>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</si>
  <si>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</si>
  <si>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</si>
  <si>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</si>
  <si>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</si>
  <si>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</si>
  <si>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</si>
  <si>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</si>
  <si>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</si>
  <si>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</si>
  <si>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</si>
  <si>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</si>
  <si>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</si>
  <si>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</si>
  <si>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</si>
  <si>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</si>
  <si>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</si>
  <si>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</si>
  <si>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</si>
  <si>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</si>
  <si>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</si>
  <si>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</si>
  <si>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</si>
  <si>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</si>
  <si>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</si>
  <si>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</si>
  <si>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</si>
  <si>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</si>
  <si>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</si>
  <si>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</si>
  <si>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</si>
  <si>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</si>
  <si>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</si>
  <si>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</si>
  <si>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</si>
  <si>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</si>
  <si>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</si>
  <si>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</si>
  <si>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</si>
  <si>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</si>
  <si>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</si>
  <si>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</si>
  <si>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</si>
  <si>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</si>
  <si>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</si>
  <si>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</si>
  <si>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</si>
  <si>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</si>
  <si>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</si>
  <si>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</si>
  <si>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</si>
  <si>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</si>
  <si>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</si>
  <si>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</si>
  <si>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</si>
  <si>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</si>
  <si>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</si>
  <si>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</si>
  <si>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</si>
  <si>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</si>
  <si>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</si>
  <si>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</si>
  <si>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</si>
  <si>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</si>
  <si>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</si>
  <si>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</si>
  <si>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</si>
  <si>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</si>
  <si>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</si>
  <si>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</si>
  <si>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</si>
  <si>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</si>
  <si>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</si>
  <si>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</si>
  <si>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</si>
  <si>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</si>
  <si>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</si>
  <si>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</si>
  <si>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</si>
  <si>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</si>
  <si>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</si>
  <si>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</si>
  <si>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</si>
  <si>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</si>
  <si>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</si>
  <si>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</si>
  <si>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</si>
  <si>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</si>
  <si>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</si>
  <si>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</si>
  <si>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</si>
  <si>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</si>
  <si>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</si>
  <si>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</si>
  <si>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</si>
  <si>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</si>
  <si>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</si>
  <si>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</si>
  <si>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</si>
  <si>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</si>
  <si>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</si>
  <si>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</si>
  <si>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</si>
  <si>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</si>
  <si>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</si>
  <si>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</si>
  <si>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</si>
  <si>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</si>
  <si>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</si>
  <si>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</si>
  <si>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</si>
  <si>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</si>
  <si>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</si>
  <si>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</si>
  <si>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</si>
  <si>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</si>
  <si>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</si>
  <si>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</si>
  <si>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</si>
  <si>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</si>
  <si>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</si>
  <si>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</si>
  <si>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</si>
  <si>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</si>
  <si>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</si>
  <si>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</si>
  <si>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</si>
  <si>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</si>
  <si>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</si>
  <si>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</si>
  <si>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</si>
  <si>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</si>
  <si>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</si>
  <si>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</si>
  <si>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</si>
  <si>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</si>
  <si>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</si>
  <si>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</si>
  <si>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</si>
  <si>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</si>
  <si>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</si>
  <si>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</si>
  <si>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</si>
  <si>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</si>
  <si>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</si>
  <si>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</si>
  <si>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</si>
  <si>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</si>
  <si>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</si>
  <si>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</si>
  <si>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</si>
  <si>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</si>
  <si>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</si>
  <si>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</si>
  <si>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</si>
  <si>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</si>
  <si>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</si>
  <si>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</si>
  <si>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</si>
  <si>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</si>
  <si>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</si>
  <si>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</si>
  <si>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</si>
  <si>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</si>
  <si>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</si>
  <si>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</si>
  <si>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</si>
  <si>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</si>
  <si>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</si>
  <si>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</si>
  <si>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</si>
  <si>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</si>
  <si>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</si>
  <si>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</si>
  <si>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</si>
  <si>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</si>
  <si>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</si>
  <si>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</si>
  <si>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</si>
  <si>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</si>
  <si>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</si>
  <si>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</si>
  <si>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</si>
  <si>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</si>
  <si>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</si>
  <si>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</si>
  <si>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</si>
  <si>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</si>
  <si>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</si>
  <si>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</si>
  <si>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</si>
  <si>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</si>
  <si>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</si>
  <si>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</si>
  <si>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</si>
  <si>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</si>
  <si>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</si>
  <si>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</si>
  <si>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</si>
  <si>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</si>
  <si>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</si>
  <si>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</si>
  <si>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</si>
  <si>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</si>
  <si>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</si>
  <si>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</si>
  <si>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</si>
  <si>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</si>
  <si>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</si>
  <si>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</si>
  <si>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</si>
  <si>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</si>
  <si>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</si>
  <si>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</si>
  <si>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</si>
  <si>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</si>
  <si>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</si>
  <si>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</si>
  <si>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</si>
  <si>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</si>
  <si>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</si>
  <si>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</si>
  <si>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</si>
  <si>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</si>
  <si>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</si>
  <si>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</si>
  <si>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</si>
  <si>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</si>
  <si>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</si>
  <si>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</si>
  <si>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</si>
  <si>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</si>
  <si>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</si>
  <si>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</si>
  <si>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</si>
  <si>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</si>
  <si>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</si>
  <si>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</si>
  <si>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</si>
  <si>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</si>
  <si>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</si>
  <si>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</si>
  <si>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</si>
  <si>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</si>
  <si>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</si>
  <si>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</si>
  <si>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</si>
  <si>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</si>
  <si>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</si>
  <si>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</si>
  <si>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</si>
  <si>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</si>
  <si>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</si>
  <si>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</si>
  <si>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</si>
  <si>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</si>
  <si>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</si>
  <si>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</si>
  <si>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</si>
  <si>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</si>
  <si>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</si>
  <si>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</si>
  <si>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</si>
  <si>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</si>
  <si>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</si>
  <si>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</si>
  <si>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</si>
  <si>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</si>
  <si>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</si>
  <si>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</si>
  <si>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</si>
  <si>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</si>
  <si>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</si>
  <si>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</si>
  <si>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</si>
  <si>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</si>
  <si>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</si>
  <si>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</si>
  <si>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</si>
  <si>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</si>
  <si>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</si>
  <si>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</si>
  <si>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</si>
  <si>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</si>
  <si>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</si>
  <si>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</si>
  <si>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</si>
  <si>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</si>
  <si>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</si>
  <si>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</si>
  <si>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</si>
  <si>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</si>
  <si>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</si>
  <si>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</si>
  <si>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</si>
  <si>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</si>
  <si>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</si>
  <si>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</si>
  <si>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</si>
  <si>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</si>
  <si>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</si>
  <si>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</si>
  <si>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</si>
  <si>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</si>
  <si>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</si>
  <si>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</si>
  <si>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</si>
  <si>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</si>
  <si>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</si>
  <si>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</si>
  <si>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</si>
  <si>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</si>
  <si>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</si>
  <si>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</si>
  <si>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</si>
  <si>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</si>
  <si>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</si>
  <si>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</si>
  <si>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</si>
  <si>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</si>
  <si>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</si>
  <si>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</si>
  <si>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</si>
  <si>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</si>
  <si>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</si>
  <si>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</si>
  <si>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</si>
  <si>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</si>
  <si>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</si>
  <si>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</si>
  <si>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</si>
  <si>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</si>
  <si>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</si>
  <si>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</si>
  <si>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</si>
  <si>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</si>
  <si>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</si>
  <si>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</si>
  <si>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</si>
  <si>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</si>
  <si>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</si>
  <si>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</si>
  <si>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</si>
  <si>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</si>
  <si>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</si>
  <si>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</si>
  <si>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</si>
  <si>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</si>
  <si>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</si>
  <si>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</si>
  <si>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</si>
  <si>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</si>
  <si>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</si>
  <si>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</si>
  <si>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</si>
  <si>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</si>
  <si>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</si>
  <si>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</si>
  <si>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</si>
  <si>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</si>
  <si>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</si>
  <si>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</si>
  <si>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</si>
  <si>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</si>
  <si>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</si>
  <si>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</si>
  <si>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</si>
  <si>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</si>
  <si>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</si>
  <si>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</si>
  <si>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</si>
  <si>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</si>
  <si>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</si>
  <si>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</si>
  <si>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</si>
  <si>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</si>
  <si>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</si>
  <si>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</si>
  <si>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</si>
  <si>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</si>
  <si>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</si>
  <si>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</si>
  <si>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</si>
  <si>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</si>
  <si>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</si>
  <si>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</si>
  <si>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</si>
  <si>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</si>
  <si>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</si>
  <si>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</si>
  <si>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</si>
  <si>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</si>
  <si>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</si>
  <si>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</si>
  <si>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</si>
  <si>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</si>
  <si>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</si>
  <si>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</si>
  <si>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</si>
  <si>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</si>
  <si>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</si>
  <si>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</si>
  <si>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</si>
  <si>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</si>
  <si>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</si>
  <si>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</si>
  <si>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</si>
  <si>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</si>
  <si>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</si>
  <si>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</si>
  <si>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</si>
  <si>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</si>
  <si>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</si>
  <si>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</si>
  <si>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</si>
  <si>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</si>
  <si>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</si>
  <si>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</si>
  <si>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</si>
  <si>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</si>
  <si>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</si>
  <si>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</si>
  <si>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</si>
  <si>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</si>
  <si>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</si>
  <si>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</si>
  <si>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</si>
  <si>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</si>
  <si>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</si>
  <si>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</si>
  <si>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</si>
  <si>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</si>
  <si>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</si>
  <si>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</si>
  <si>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</si>
  <si>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</si>
  <si>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</si>
  <si>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</si>
  <si>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</si>
  <si>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</si>
  <si>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</si>
  <si>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</si>
  <si>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</si>
  <si>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</si>
  <si>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</si>
  <si>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</si>
  <si>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</si>
  <si>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</si>
  <si>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</si>
  <si>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</si>
  <si>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</si>
  <si>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</si>
  <si>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</si>
  <si>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</si>
  <si>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</si>
  <si>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</si>
  <si>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</si>
  <si>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</si>
  <si>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</si>
  <si>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</si>
  <si>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</si>
  <si>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</si>
  <si>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</si>
  <si>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</si>
  <si>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</si>
  <si>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</si>
  <si>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</si>
  <si>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</si>
  <si>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</si>
  <si>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</si>
  <si>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</si>
  <si>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</si>
  <si>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</si>
  <si>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</si>
  <si>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</si>
  <si>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</si>
  <si>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</si>
  <si>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</si>
  <si>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</si>
  <si>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</si>
  <si>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</si>
  <si>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</si>
  <si>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</si>
  <si>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</si>
  <si>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</si>
  <si>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</si>
  <si>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</si>
  <si>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</si>
  <si>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</si>
  <si>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</si>
  <si>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</si>
  <si>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</si>
  <si>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</si>
  <si>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</si>
  <si>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</si>
  <si>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</si>
  <si>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</si>
  <si>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</si>
  <si>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</si>
  <si>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</si>
  <si>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</si>
  <si>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</si>
  <si>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</si>
  <si>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</si>
  <si>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</si>
  <si>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</si>
  <si>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</si>
  <si>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</si>
  <si>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</si>
  <si>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</si>
  <si>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</si>
  <si>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</si>
  <si>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</si>
  <si>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</si>
  <si>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</si>
  <si>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</si>
  <si>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</si>
  <si>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</si>
  <si>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</si>
  <si>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</si>
  <si>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</si>
  <si>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</si>
  <si>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</si>
  <si>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</si>
  <si>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</si>
  <si>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</si>
  <si>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</si>
  <si>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</si>
  <si>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</si>
  <si>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</si>
  <si>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</si>
  <si>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</si>
  <si>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</si>
  <si>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</si>
  <si>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</si>
  <si>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</si>
  <si>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</si>
  <si>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</si>
  <si>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</si>
  <si>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</si>
  <si>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</si>
  <si>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</si>
  <si>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</si>
  <si>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</si>
  <si>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</si>
  <si>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</si>
  <si>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</si>
  <si>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</si>
  <si>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</si>
  <si>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</si>
  <si>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</si>
  <si>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</si>
  <si>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</si>
  <si>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</si>
  <si>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</si>
  <si>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</si>
  <si>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</si>
  <si>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</si>
  <si>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</si>
  <si>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</si>
  <si>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</si>
  <si>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</si>
  <si>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</si>
  <si>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</si>
  <si>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</si>
  <si>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</si>
  <si>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</si>
  <si>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</si>
  <si>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</si>
  <si>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</si>
  <si>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</si>
  <si>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</si>
  <si>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</si>
  <si>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</si>
  <si>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</si>
  <si>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</si>
  <si>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</si>
  <si>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</si>
  <si>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</si>
  <si>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</si>
  <si>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</si>
  <si>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</si>
  <si>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</si>
  <si>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</si>
  <si>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</si>
  <si>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</si>
  <si>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</si>
  <si>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</si>
  <si>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</si>
  <si>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</si>
  <si>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</si>
  <si>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</si>
  <si>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</si>
  <si>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</si>
  <si>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</si>
  <si>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</si>
  <si>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</si>
  <si>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</si>
  <si>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</si>
  <si>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</si>
  <si>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</si>
  <si>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</si>
  <si>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</si>
  <si>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</si>
  <si>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</si>
  <si>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</si>
  <si>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</si>
  <si>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</si>
  <si>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</si>
  <si>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</si>
  <si>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</si>
  <si>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</si>
  <si>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</si>
  <si>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</si>
  <si>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</si>
  <si>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</si>
  <si>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</si>
  <si>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</si>
  <si>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</si>
  <si>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</si>
  <si>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</si>
  <si>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</si>
  <si>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</si>
  <si>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</si>
  <si>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</si>
  <si>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</si>
  <si>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</si>
  <si>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</si>
  <si>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</si>
  <si>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</si>
  <si>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</si>
  <si>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</si>
  <si>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</si>
  <si>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</si>
  <si>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</si>
  <si>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</si>
  <si>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</si>
  <si>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</si>
  <si>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</si>
  <si>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</si>
  <si>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</si>
  <si>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</si>
  <si>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</si>
  <si>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</si>
  <si>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</si>
  <si>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</si>
  <si>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</si>
  <si>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</si>
  <si>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</si>
  <si>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</si>
  <si>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</si>
  <si>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</si>
  <si>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</si>
  <si>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</si>
  <si>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</si>
  <si>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</si>
  <si>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</si>
  <si>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</si>
  <si>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</si>
  <si>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</si>
  <si>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</si>
  <si>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</si>
  <si>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</si>
  <si>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</si>
  <si>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</si>
  <si>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</si>
  <si>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</si>
  <si>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</si>
  <si>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</si>
  <si>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</si>
  <si>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</si>
  <si>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</si>
  <si>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</si>
  <si>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</si>
  <si>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</si>
  <si>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</si>
  <si>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</si>
  <si>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</si>
  <si>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</si>
  <si>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</si>
  <si>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</si>
  <si>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</si>
  <si>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</si>
  <si>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</si>
  <si>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</si>
  <si>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</si>
  <si>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</si>
  <si>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</si>
  <si>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</si>
  <si>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</si>
  <si>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</si>
  <si>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</si>
  <si>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</si>
  <si>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</si>
  <si>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</si>
  <si>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</si>
  <si>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</si>
  <si>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</si>
  <si>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</si>
  <si>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</si>
  <si>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</si>
  <si>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</si>
  <si>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</si>
  <si>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</si>
  <si>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</si>
  <si>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</si>
  <si>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</si>
  <si>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</si>
  <si>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</si>
  <si>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</si>
  <si>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</si>
  <si>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</si>
  <si>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</si>
  <si>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</si>
  <si>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</si>
  <si>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</si>
  <si>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</si>
  <si>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</si>
  <si>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</si>
  <si>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</si>
  <si>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</si>
  <si>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</si>
  <si>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</si>
  <si>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</si>
  <si>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</si>
  <si>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</si>
  <si>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</si>
  <si>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</si>
  <si>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</si>
  <si>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</si>
  <si>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</si>
  <si>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</si>
  <si>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</si>
  <si>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</si>
  <si>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</si>
  <si>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</si>
  <si>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</si>
  <si>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</si>
  <si>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</si>
  <si>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</si>
  <si>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</si>
  <si>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</si>
  <si>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</si>
  <si>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</si>
  <si>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</si>
  <si>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</si>
  <si>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</si>
  <si>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</si>
  <si>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</si>
  <si>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</si>
  <si>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</si>
  <si>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</si>
  <si>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</si>
  <si>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</si>
  <si>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</si>
  <si>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</si>
  <si>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</si>
  <si>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</si>
  <si>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</si>
  <si>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</si>
  <si>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</si>
  <si>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</si>
  <si>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</si>
  <si>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</si>
  <si>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</si>
  <si>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</si>
  <si>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</si>
  <si>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</si>
  <si>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</si>
  <si>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</si>
  <si>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</si>
  <si>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</si>
  <si>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</si>
  <si>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</si>
  <si>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</si>
  <si>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</si>
  <si>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</si>
  <si>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</si>
  <si>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</si>
  <si>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</si>
  <si>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</si>
  <si>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</si>
  <si>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</si>
  <si>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</si>
  <si>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</si>
  <si>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</si>
  <si>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</si>
  <si>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</si>
  <si>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</si>
  <si>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</si>
  <si>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</si>
  <si>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</si>
  <si>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</si>
  <si>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</si>
  <si>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</si>
  <si>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</si>
  <si>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</si>
  <si>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</si>
  <si>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</si>
  <si>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</si>
  <si>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</si>
  <si>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</si>
  <si>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</si>
  <si>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</si>
  <si>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</si>
  <si>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</si>
  <si>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</si>
  <si>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</si>
  <si>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</si>
  <si>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</si>
  <si>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</si>
  <si>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</si>
  <si>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</si>
  <si>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</si>
  <si>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</si>
  <si>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</si>
  <si>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</si>
  <si>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</si>
  <si>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</si>
  <si>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</si>
  <si>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</si>
  <si>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</si>
  <si>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</si>
  <si>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</si>
  <si>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</si>
  <si>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</si>
  <si>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</si>
  <si>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</si>
  <si>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</si>
  <si>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</si>
  <si>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</si>
  <si>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</si>
  <si>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</si>
  <si>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</si>
  <si>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</si>
  <si>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</si>
  <si>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</si>
  <si>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</si>
  <si>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</si>
  <si>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</si>
  <si>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</si>
  <si>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</si>
  <si>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</si>
  <si>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</si>
  <si>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</si>
  <si>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</si>
  <si>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</si>
  <si>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</si>
  <si>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</si>
  <si>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</si>
  <si>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</si>
  <si>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</si>
  <si>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</si>
  <si>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</si>
  <si>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</si>
  <si>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</si>
  <si>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</si>
  <si>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</si>
  <si>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</si>
  <si>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</si>
  <si>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</si>
  <si>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</si>
  <si>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</si>
  <si>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</si>
  <si>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</si>
  <si>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</si>
  <si>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</si>
  <si>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</si>
  <si>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</si>
  <si>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</si>
  <si>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</si>
  <si>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</si>
  <si>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</si>
  <si>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</si>
  <si>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</si>
  <si>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</si>
  <si>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</si>
  <si>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</si>
  <si>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</si>
  <si>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</si>
  <si>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</si>
  <si>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</si>
  <si>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</si>
  <si>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</si>
  <si>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</si>
  <si>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</si>
  <si>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</si>
  <si>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</si>
  <si>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</si>
  <si>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</si>
  <si>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</si>
  <si>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</si>
  <si>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</si>
  <si>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</si>
  <si>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</si>
  <si>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</si>
  <si>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</si>
  <si>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</si>
  <si>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</si>
  <si>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</si>
  <si>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</si>
  <si>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</si>
  <si>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</si>
  <si>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</si>
  <si>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</si>
  <si>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</si>
  <si>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</si>
  <si>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</si>
  <si>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</si>
  <si>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</si>
  <si>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</si>
  <si>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</si>
  <si>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</si>
  <si>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</si>
  <si>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</si>
  <si>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</si>
  <si>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</si>
  <si>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</si>
  <si>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</si>
  <si>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</si>
  <si>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</si>
  <si>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</si>
  <si>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</si>
  <si>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</si>
  <si>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</si>
  <si>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</si>
  <si>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</si>
  <si>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</si>
  <si>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</si>
  <si>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</si>
  <si>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</si>
  <si>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</si>
  <si>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</si>
  <si>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</si>
  <si>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</si>
  <si>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</si>
  <si>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</si>
  <si>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</si>
  <si>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</si>
  <si>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</si>
  <si>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</si>
  <si>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</si>
  <si>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</si>
  <si>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</si>
  <si>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</si>
  <si>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</si>
  <si>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</si>
  <si>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</si>
  <si>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</si>
  <si>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</si>
  <si>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</si>
  <si>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</si>
  <si>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</si>
  <si>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</si>
  <si>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</si>
  <si>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</si>
  <si>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</si>
  <si>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</si>
  <si>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</si>
  <si>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</si>
  <si>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</si>
  <si>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</si>
  <si>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</si>
  <si>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</si>
  <si>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</si>
  <si>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</si>
  <si>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</si>
  <si>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</si>
  <si>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</si>
  <si>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</si>
  <si>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</si>
  <si>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</si>
  <si>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</si>
  <si>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</si>
  <si>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</si>
  <si>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</si>
  <si>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</si>
  <si>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</si>
  <si>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</si>
  <si>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</si>
  <si>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</si>
  <si>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</si>
  <si>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</si>
  <si>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</si>
  <si>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</si>
  <si>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</si>
  <si>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</si>
  <si>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</si>
  <si>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</si>
  <si>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</si>
  <si>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</si>
  <si>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</si>
  <si>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</si>
  <si>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</si>
  <si>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</si>
  <si>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</si>
  <si>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</si>
  <si>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</si>
  <si>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</si>
  <si>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</si>
  <si>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</si>
  <si>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</si>
  <si>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</si>
  <si>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</si>
  <si>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</si>
  <si>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</si>
  <si>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</si>
  <si>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</si>
  <si>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</si>
  <si>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</si>
  <si>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</si>
  <si>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</si>
  <si>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</si>
  <si>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</si>
  <si>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</si>
  <si>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</si>
  <si>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</si>
  <si>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</si>
  <si>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</si>
  <si>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</si>
  <si>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</si>
  <si>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</si>
  <si>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</si>
  <si>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</si>
  <si>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</si>
  <si>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</si>
  <si>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</si>
  <si>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</si>
  <si>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</si>
  <si>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</si>
  <si>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</si>
  <si>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</si>
  <si>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</si>
  <si>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</si>
  <si>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</si>
  <si>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</si>
  <si>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</si>
  <si>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</si>
  <si>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</si>
  <si>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</si>
  <si>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</si>
  <si>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</si>
  <si>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</si>
  <si>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</si>
  <si>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</si>
  <si>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</si>
  <si>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</si>
  <si>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</si>
  <si>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</si>
  <si>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</si>
  <si>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</si>
  <si>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</si>
  <si>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</si>
  <si>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</si>
  <si>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</si>
  <si>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</si>
  <si>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</si>
  <si>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</si>
  <si>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</si>
  <si>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</si>
  <si>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</si>
  <si>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</si>
  <si>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</si>
  <si>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</si>
  <si>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</si>
  <si>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</si>
  <si>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</si>
  <si>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</si>
  <si>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</si>
  <si>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</si>
  <si>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</si>
  <si>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</si>
  <si>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</si>
  <si>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</si>
  <si>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</si>
  <si>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</si>
  <si>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</si>
  <si>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</si>
  <si>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</si>
  <si>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</si>
  <si>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</si>
  <si>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</si>
  <si>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</si>
  <si>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</si>
  <si>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</si>
  <si>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</si>
  <si>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</si>
  <si>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</si>
  <si>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</si>
  <si>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</si>
  <si>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</si>
  <si>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</si>
  <si>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</si>
  <si>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</si>
  <si>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</si>
  <si>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</si>
  <si>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</si>
  <si>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</si>
  <si>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</si>
  <si>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</si>
  <si>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</si>
  <si>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</si>
  <si>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</si>
  <si>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</si>
  <si>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</si>
  <si>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</si>
  <si>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</si>
  <si>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</si>
  <si>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</si>
  <si>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</si>
  <si>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</si>
  <si>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</si>
  <si>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</si>
  <si>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</si>
  <si>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</si>
  <si>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</si>
  <si>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</si>
  <si>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</si>
  <si>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</si>
  <si>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</si>
  <si>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</si>
  <si>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</si>
  <si>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</si>
  <si>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</si>
  <si>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</si>
  <si>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</si>
  <si>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</si>
  <si>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</si>
  <si>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</si>
  <si>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</si>
  <si>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</si>
  <si>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</si>
  <si>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</si>
  <si>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</si>
  <si>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</si>
  <si>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</si>
  <si>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</si>
  <si>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</si>
  <si>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</si>
  <si>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</si>
  <si>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</si>
  <si>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</si>
  <si>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</si>
  <si>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</si>
  <si>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</si>
  <si>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</si>
  <si>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</si>
  <si>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</si>
  <si>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</si>
  <si>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</si>
  <si>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</si>
  <si>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</si>
  <si>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</si>
  <si>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</si>
  <si>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</si>
  <si>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</si>
  <si>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</si>
  <si>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</si>
  <si>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</si>
  <si>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</si>
  <si>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</si>
  <si>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</si>
  <si>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</si>
  <si>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</si>
  <si>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</si>
  <si>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</si>
  <si>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</si>
  <si>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</si>
  <si>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</si>
  <si>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</si>
  <si>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</si>
  <si>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</si>
  <si>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</si>
  <si>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</si>
  <si>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</si>
  <si>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</si>
  <si>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</si>
  <si>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</si>
  <si>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</si>
  <si>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</si>
  <si>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</si>
  <si>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</si>
  <si>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</si>
  <si>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</si>
  <si>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</si>
  <si>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</si>
  <si>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</si>
  <si>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</si>
  <si>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</si>
  <si>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</si>
  <si>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</si>
  <si>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</si>
  <si>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</si>
  <si>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</si>
  <si>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</si>
  <si>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</si>
  <si>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</si>
  <si>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</si>
  <si>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</si>
  <si>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</si>
  <si>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</si>
  <si>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</si>
  <si>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</si>
  <si>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</si>
  <si>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</si>
  <si>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</si>
  <si>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</si>
  <si>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</si>
  <si>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</si>
  <si>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</si>
  <si>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</si>
  <si>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</si>
  <si>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</si>
  <si>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</si>
  <si>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</si>
  <si>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</si>
  <si>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</si>
  <si>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</si>
  <si>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</si>
  <si>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</si>
  <si>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</si>
  <si>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</si>
  <si>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</si>
  <si>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</si>
  <si>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</si>
  <si>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</si>
  <si>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</si>
  <si>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</si>
  <si>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</si>
  <si>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</si>
  <si>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</si>
  <si>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</si>
  <si>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</si>
  <si>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</si>
  <si>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</si>
  <si>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</si>
  <si>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</si>
  <si>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</si>
  <si>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</si>
  <si>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</si>
  <si>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</si>
  <si>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</si>
  <si>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</si>
  <si>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</si>
  <si>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</si>
  <si>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</si>
  <si>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</si>
  <si>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</si>
  <si>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</si>
  <si>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</si>
  <si>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</si>
  <si>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</si>
  <si>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</si>
  <si>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</si>
  <si>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</si>
  <si>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</si>
  <si>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</si>
  <si>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</si>
  <si>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</si>
  <si>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</si>
  <si>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</si>
  <si>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</si>
  <si>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</si>
  <si>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</si>
  <si>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</si>
  <si>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</si>
  <si>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</si>
  <si>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</si>
  <si>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</si>
  <si>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</si>
  <si>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</si>
  <si>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</si>
  <si>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</si>
  <si>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</si>
  <si>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</si>
  <si>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</si>
  <si>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</si>
  <si>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</si>
  <si>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</si>
  <si>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</si>
  <si>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</si>
  <si>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</si>
  <si>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</si>
  <si>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</si>
  <si>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</si>
  <si>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</si>
  <si>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</si>
  <si>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</si>
  <si>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</si>
  <si>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</si>
  <si>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</si>
  <si>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</si>
  <si>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</si>
  <si>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</si>
  <si>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</si>
  <si>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</si>
  <si>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</si>
  <si>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</si>
  <si>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</si>
  <si>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</si>
  <si>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</si>
  <si>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</si>
  <si>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</si>
  <si>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</si>
  <si>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</si>
  <si>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</si>
  <si>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</si>
  <si>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</si>
  <si>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</si>
  <si>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</si>
  <si>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</si>
  <si>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</si>
  <si>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</si>
  <si>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</si>
  <si>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</si>
  <si>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</si>
  <si>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</si>
  <si>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</si>
  <si>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</si>
  <si>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</si>
  <si>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</si>
  <si>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</si>
  <si>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</si>
  <si>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</si>
  <si>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</si>
  <si>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</si>
  <si>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</si>
  <si>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</si>
  <si>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</si>
  <si>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</si>
  <si>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</si>
  <si>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</si>
  <si>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</si>
  <si>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</si>
  <si>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</si>
  <si>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</si>
  <si>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</si>
  <si>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</si>
  <si>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</si>
  <si>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</si>
  <si>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</si>
  <si>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</si>
  <si>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</si>
  <si>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</si>
  <si>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</si>
  <si>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</si>
  <si>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</si>
  <si>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</si>
  <si>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</si>
  <si>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</si>
  <si>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</si>
  <si>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</si>
  <si>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</si>
  <si>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</si>
  <si>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</si>
  <si>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</si>
  <si>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</si>
  <si>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</si>
  <si>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</si>
  <si>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</si>
  <si>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</si>
  <si>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</si>
  <si>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</si>
  <si>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</si>
  <si>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</si>
  <si>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</si>
  <si>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</si>
  <si>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</si>
  <si>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</si>
  <si>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</si>
  <si>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</si>
  <si>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</si>
  <si>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</si>
  <si>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</si>
  <si>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</si>
  <si>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</si>
  <si>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</si>
  <si>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</si>
  <si>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</si>
  <si>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</si>
  <si>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</si>
  <si>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</si>
  <si>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</si>
  <si>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</si>
  <si>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</si>
  <si>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</si>
  <si>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</si>
  <si>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</si>
  <si>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</si>
  <si>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</si>
  <si>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</si>
  <si>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</si>
  <si>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</si>
  <si>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</si>
  <si>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</si>
  <si>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</si>
  <si>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</si>
  <si>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</si>
  <si>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</si>
  <si>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</si>
  <si>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</si>
  <si>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</si>
  <si>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</si>
  <si>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</si>
  <si>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</si>
  <si>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</si>
  <si>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</si>
  <si>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</si>
  <si>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</si>
  <si>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</si>
  <si>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</si>
  <si>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</si>
  <si>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</si>
  <si>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</si>
  <si>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</si>
  <si>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</si>
  <si>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</si>
  <si>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</si>
  <si>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</si>
  <si>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</si>
  <si>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</si>
  <si>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</si>
  <si>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</si>
  <si>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</si>
  <si>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</si>
  <si>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</si>
  <si>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</si>
  <si>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</si>
  <si>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</si>
  <si>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</si>
  <si>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</si>
  <si>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</si>
  <si>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</si>
  <si>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</si>
  <si>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</si>
  <si>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</si>
  <si>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</si>
  <si>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</si>
  <si>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</si>
  <si>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</si>
  <si>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</si>
  <si>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</si>
  <si>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</si>
  <si>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</si>
  <si>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</si>
  <si>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</si>
  <si>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</si>
  <si>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</si>
  <si>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</si>
  <si>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</si>
  <si>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</si>
  <si>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</si>
  <si>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</si>
  <si>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</si>
  <si>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</si>
  <si>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</si>
  <si>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</si>
  <si>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</si>
  <si>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</si>
  <si>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</si>
  <si>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</si>
  <si>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</si>
  <si>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</si>
  <si>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</si>
  <si>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</si>
  <si>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</si>
  <si>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</si>
  <si>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</si>
  <si>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</si>
  <si>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</si>
  <si>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</si>
  <si>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</si>
  <si>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</si>
  <si>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</si>
  <si>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</si>
  <si>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</si>
  <si>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</si>
  <si>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</si>
  <si>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</si>
  <si>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</si>
  <si>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</si>
  <si>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</si>
  <si>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</si>
  <si>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</si>
  <si>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</si>
  <si>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</si>
  <si>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</si>
  <si>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</si>
  <si>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</si>
  <si>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</si>
  <si>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</si>
  <si>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</si>
  <si>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</si>
  <si>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</si>
  <si>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</si>
  <si>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</si>
  <si>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</si>
  <si>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</si>
  <si>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</si>
  <si>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</si>
  <si>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</si>
  <si>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</si>
  <si>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</si>
  <si>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</si>
  <si>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</si>
  <si>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</si>
  <si>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</si>
  <si>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</si>
  <si>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</si>
  <si>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</si>
  <si>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</si>
  <si>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</si>
  <si>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</si>
  <si>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</si>
  <si>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</si>
  <si>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</si>
  <si>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</si>
  <si>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</si>
  <si>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</si>
  <si>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</si>
  <si>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</si>
  <si>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</si>
  <si>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</si>
  <si>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</si>
  <si>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</si>
  <si>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</si>
  <si>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</si>
  <si>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</si>
  <si>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</si>
  <si>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</si>
  <si>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</si>
  <si>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</si>
  <si>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</si>
  <si>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</si>
  <si>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</si>
  <si>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</si>
  <si>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</si>
  <si>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</si>
  <si>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</si>
  <si>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</si>
  <si>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</si>
  <si>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</si>
  <si>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</si>
  <si>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</si>
  <si>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</si>
  <si>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</si>
  <si>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</si>
  <si>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</si>
  <si>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</si>
  <si>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</si>
  <si>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</si>
  <si>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</si>
  <si>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</si>
  <si>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</si>
  <si>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</si>
  <si>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</si>
  <si>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</si>
  <si>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</si>
  <si>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</si>
  <si>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</si>
  <si>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</si>
  <si>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</si>
  <si>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</si>
  <si>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</si>
  <si>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</si>
  <si>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</si>
  <si>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</si>
  <si>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</si>
  <si>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</si>
  <si>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</si>
  <si>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</si>
  <si>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</si>
  <si>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</si>
  <si>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</si>
  <si>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</si>
  <si>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</si>
  <si>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</si>
  <si>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</si>
  <si>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</si>
  <si>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</si>
  <si>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</si>
  <si>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</si>
  <si>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</si>
  <si>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</si>
  <si>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</si>
  <si>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</si>
  <si>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</si>
  <si>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</si>
  <si>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</si>
  <si>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</si>
  <si>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</si>
  <si>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</si>
  <si>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</si>
  <si>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</si>
  <si>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</si>
  <si>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</si>
  <si>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</si>
  <si>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</si>
  <si>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</si>
  <si>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</si>
  <si>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</si>
  <si>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</si>
  <si>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</si>
  <si>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</si>
  <si>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</si>
  <si>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</si>
  <si>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</si>
  <si>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</si>
  <si>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</si>
  <si>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</si>
  <si>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</si>
  <si>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</si>
  <si>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</si>
  <si>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</si>
  <si>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</si>
  <si>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</si>
  <si>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</si>
  <si>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</si>
  <si>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</si>
  <si>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</si>
  <si>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</si>
  <si>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</si>
  <si>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</si>
  <si>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</si>
  <si>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</si>
  <si>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</si>
  <si>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</si>
  <si>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</si>
  <si>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</si>
  <si>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</si>
  <si>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</si>
  <si>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</si>
  <si>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</si>
  <si>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</si>
  <si>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</si>
  <si>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</si>
  <si>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</si>
  <si>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</si>
  <si>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</si>
  <si>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</si>
  <si>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</si>
  <si>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</si>
  <si>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</si>
  <si>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</si>
  <si>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</si>
  <si>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</si>
  <si>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</si>
  <si>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</si>
  <si>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</si>
  <si>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</si>
  <si>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</si>
  <si>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</si>
  <si>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</si>
  <si>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</si>
  <si>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</si>
  <si>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</si>
  <si>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</si>
  <si>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</si>
  <si>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</si>
  <si>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</si>
  <si>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</si>
  <si>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</si>
  <si>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</si>
  <si>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</si>
  <si>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</si>
  <si>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</si>
  <si>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</si>
  <si>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</si>
  <si>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</si>
  <si>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</si>
  <si>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</si>
  <si>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</si>
  <si>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</si>
  <si>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</si>
  <si>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</si>
  <si>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</si>
  <si>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</si>
  <si>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</si>
  <si>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</si>
  <si>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</si>
  <si>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</si>
  <si>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</si>
  <si>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</si>
  <si>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</si>
  <si>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</si>
  <si>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</si>
  <si>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</si>
  <si>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</si>
  <si>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</si>
  <si>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</si>
  <si>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</si>
  <si>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</si>
  <si>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</si>
  <si>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</si>
  <si>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</si>
  <si>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</si>
  <si>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</si>
  <si>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</si>
  <si>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</si>
  <si>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</si>
  <si>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</si>
  <si>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</si>
  <si>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</si>
  <si>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</si>
  <si>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</si>
  <si>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</si>
  <si>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</si>
  <si>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</si>
  <si>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</si>
  <si>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</si>
  <si>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</si>
  <si>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</si>
  <si>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</si>
  <si>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</si>
  <si>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</si>
  <si>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</si>
  <si>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</si>
  <si>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</si>
  <si>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</si>
  <si>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</si>
  <si>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</si>
  <si>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</si>
  <si>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</si>
  <si>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</si>
  <si>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</si>
  <si>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</si>
  <si>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</si>
  <si>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</si>
  <si>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</si>
  <si>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</si>
  <si>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</si>
  <si>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</si>
  <si>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</si>
  <si>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</si>
  <si>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</si>
  <si>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</si>
  <si>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</si>
  <si>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</si>
  <si>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</si>
  <si>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</si>
  <si>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</si>
  <si>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</si>
  <si>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</si>
  <si>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</si>
  <si>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</si>
  <si>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</si>
  <si>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</si>
  <si>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</si>
  <si>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</si>
  <si>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</si>
  <si>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</si>
  <si>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</si>
  <si>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</si>
  <si>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</si>
  <si>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</si>
  <si>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</si>
  <si>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</si>
  <si>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</si>
  <si>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</si>
  <si>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</si>
  <si>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</si>
  <si>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</si>
  <si>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</si>
  <si>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</si>
  <si>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</si>
  <si>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</si>
  <si>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</si>
  <si>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</si>
  <si>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</si>
  <si>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</si>
  <si>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</si>
  <si>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</si>
  <si>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</si>
  <si>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</si>
  <si>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</si>
  <si>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</si>
  <si>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</si>
  <si>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</si>
  <si>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</si>
  <si>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</si>
  <si>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</si>
  <si>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</si>
  <si>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</si>
  <si>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</si>
  <si>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</si>
  <si>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</si>
  <si>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</si>
  <si>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</si>
  <si>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</si>
  <si>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</si>
  <si>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</si>
  <si>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</si>
  <si>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</si>
  <si>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</si>
  <si>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</si>
  <si>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</si>
  <si>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</si>
  <si>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</si>
  <si>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</si>
  <si>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</si>
  <si>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</si>
  <si>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</si>
  <si>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</si>
  <si>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</si>
  <si>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</si>
  <si>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</si>
  <si>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</si>
  <si>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</si>
  <si>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</si>
  <si>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</si>
  <si>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</si>
  <si>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</si>
  <si>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</si>
  <si>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</si>
  <si>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</si>
  <si>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</si>
  <si>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</si>
  <si>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</si>
  <si>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</si>
  <si>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</si>
  <si>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</si>
  <si>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</si>
  <si>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</si>
  <si>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</si>
  <si>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</si>
  <si>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</si>
  <si>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</si>
  <si>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</si>
  <si>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</si>
  <si>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</si>
  <si>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</si>
  <si>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</si>
  <si>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</si>
  <si>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</si>
  <si>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</si>
  <si>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</si>
  <si>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</si>
  <si>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</si>
  <si>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</si>
  <si>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</si>
  <si>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</si>
  <si>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</si>
  <si>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</si>
  <si>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</si>
  <si>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</si>
  <si>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</si>
  <si>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</si>
  <si>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</si>
  <si>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</si>
  <si>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</si>
  <si>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</si>
  <si>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</si>
  <si>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</si>
  <si>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</si>
  <si>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</si>
  <si>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</si>
  <si>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</si>
  <si>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</si>
  <si>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</si>
  <si>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</si>
  <si>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</si>
  <si>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</si>
  <si>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</si>
  <si>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</si>
  <si>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</si>
  <si>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</si>
  <si>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</si>
  <si>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</si>
  <si>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</si>
  <si>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</si>
  <si>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</si>
  <si>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</si>
  <si>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</si>
  <si>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</si>
  <si>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</si>
  <si>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</si>
  <si>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</si>
  <si>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</si>
  <si>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</si>
  <si>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</si>
  <si>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</si>
  <si>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</si>
  <si>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</si>
  <si>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</si>
  <si>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</si>
  <si>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</si>
  <si>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</si>
  <si>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</si>
  <si>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</si>
  <si>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</si>
  <si>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</si>
  <si>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</si>
  <si>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</si>
  <si>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</si>
  <si>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</si>
  <si>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</si>
  <si>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</si>
  <si>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</si>
  <si>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</si>
  <si>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</si>
  <si>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</si>
  <si>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</si>
  <si>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</si>
  <si>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</si>
  <si>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</si>
  <si>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</si>
  <si>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</si>
  <si>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</si>
  <si>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</si>
  <si>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</si>
  <si>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</si>
  <si>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</si>
  <si>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</si>
  <si>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</si>
  <si>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</si>
  <si>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</si>
  <si>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</si>
  <si>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</si>
  <si>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</si>
  <si>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</si>
  <si>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</si>
  <si>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</si>
  <si>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</si>
  <si>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</si>
  <si>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</si>
  <si>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</si>
  <si>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</si>
  <si>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</si>
  <si>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</si>
  <si>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</si>
  <si>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</si>
  <si>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</si>
  <si>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</si>
  <si>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</si>
  <si>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</si>
  <si>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</si>
  <si>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</si>
  <si>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</si>
  <si>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</si>
  <si>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</si>
  <si>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</si>
  <si>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</si>
  <si>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</si>
  <si>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</si>
  <si>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</si>
  <si>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</si>
  <si>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</si>
  <si>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</si>
  <si>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</si>
  <si>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</si>
  <si>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</si>
  <si>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</si>
  <si>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</si>
  <si>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</si>
  <si>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</si>
  <si>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</si>
  <si>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</si>
  <si>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</si>
  <si>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</si>
  <si>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</si>
  <si>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</si>
  <si>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</si>
  <si>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</si>
  <si>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</si>
  <si>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</si>
  <si>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</si>
  <si>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</si>
  <si>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</si>
  <si>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</si>
  <si>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</si>
  <si>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</si>
  <si>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</si>
  <si>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</si>
  <si>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</si>
  <si>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</si>
  <si>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</si>
  <si>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</si>
  <si>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</si>
  <si>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</si>
  <si>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</si>
  <si>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</si>
  <si>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</si>
  <si>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</si>
  <si>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</si>
  <si>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</si>
  <si>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</si>
  <si>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</si>
  <si>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</si>
  <si>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</si>
  <si>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</si>
  <si>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</si>
  <si>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</si>
  <si>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</si>
  <si>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</si>
  <si>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</si>
  <si>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</si>
  <si>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</si>
  <si>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</si>
  <si>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</si>
  <si>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</si>
  <si>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</si>
  <si>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</si>
  <si>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</si>
  <si>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</si>
  <si>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</si>
  <si>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</si>
  <si>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</si>
  <si>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</si>
  <si>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</si>
  <si>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</si>
  <si>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</si>
  <si>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</si>
  <si>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</si>
  <si>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</si>
  <si>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</si>
  <si>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</si>
  <si>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</si>
  <si>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</si>
  <si>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</si>
  <si>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</si>
  <si>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</si>
  <si>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</si>
  <si>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</si>
  <si>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</si>
  <si>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</si>
  <si>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</si>
  <si>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</si>
  <si>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</si>
  <si>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</si>
  <si>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</si>
  <si>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</si>
  <si>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</si>
  <si>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</si>
  <si>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</si>
  <si>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</si>
  <si>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</si>
  <si>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</si>
  <si>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</si>
  <si>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</si>
  <si>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</si>
  <si>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</si>
  <si>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</si>
  <si>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不动产权证书</t>
    <phoneticPr fontId="135" type="noConversion"/>
  </si>
  <si>
    <t>一期</t>
    <phoneticPr fontId="135" type="noConversion"/>
  </si>
  <si>
    <t>建筑面积</t>
    <phoneticPr fontId="135" type="noConversion"/>
  </si>
  <si>
    <t>楼层</t>
    <phoneticPr fontId="135" type="noConversion"/>
  </si>
  <si>
    <t>地上</t>
    <phoneticPr fontId="4" type="noConversion"/>
  </si>
  <si>
    <t>地下</t>
    <phoneticPr fontId="4" type="noConversion"/>
  </si>
  <si>
    <t>土地面积</t>
    <phoneticPr fontId="135" type="noConversion"/>
  </si>
  <si>
    <t>终止日期</t>
    <phoneticPr fontId="135" type="noConversion"/>
  </si>
  <si>
    <t>地下占比</t>
    <phoneticPr fontId="135" type="noConversion"/>
  </si>
  <si>
    <t>建安总价</t>
    <phoneticPr fontId="135" type="noConversion"/>
  </si>
  <si>
    <t>建筑物价值</t>
    <phoneticPr fontId="135" type="noConversion"/>
  </si>
  <si>
    <t>土地价值</t>
    <phoneticPr fontId="135" type="noConversion"/>
  </si>
  <si>
    <t>房地产价值</t>
    <phoneticPr fontId="135" type="noConversion"/>
  </si>
  <si>
    <t>京（2020）通不动产权第0016690号</t>
    <phoneticPr fontId="135" type="noConversion"/>
  </si>
  <si>
    <r>
      <t>1</t>
    </r>
    <r>
      <rPr>
        <sz val="10"/>
        <color indexed="8"/>
        <rFont val="宋体"/>
        <family val="3"/>
        <charset val="134"/>
      </rPr>
      <t>幢</t>
    </r>
    <phoneticPr fontId="4" type="noConversion"/>
  </si>
  <si>
    <r>
      <t>B1-8</t>
    </r>
    <r>
      <rPr>
        <sz val="10"/>
        <color indexed="8"/>
        <rFont val="宋体"/>
        <family val="3"/>
        <charset val="134"/>
      </rPr>
      <t>层</t>
    </r>
    <phoneticPr fontId="4" type="noConversion"/>
  </si>
  <si>
    <t>京（2020）通不动产权第0016689号</t>
    <phoneticPr fontId="135" type="noConversion"/>
  </si>
  <si>
    <r>
      <t>2</t>
    </r>
    <r>
      <rPr>
        <sz val="10"/>
        <color indexed="8"/>
        <rFont val="宋体"/>
        <family val="3"/>
        <charset val="134"/>
      </rPr>
      <t>幢</t>
    </r>
    <phoneticPr fontId="4" type="noConversion"/>
  </si>
  <si>
    <r>
      <t>1-6</t>
    </r>
    <r>
      <rPr>
        <sz val="10"/>
        <color indexed="8"/>
        <rFont val="宋体"/>
        <family val="3"/>
        <charset val="134"/>
      </rPr>
      <t>层</t>
    </r>
    <phoneticPr fontId="4" type="noConversion"/>
  </si>
  <si>
    <t>土地面积</t>
    <phoneticPr fontId="135" type="noConversion"/>
  </si>
  <si>
    <t>京（2020）通不动产权第0016690号</t>
  </si>
  <si>
    <r>
      <t>3</t>
    </r>
    <r>
      <rPr>
        <sz val="10"/>
        <color indexed="8"/>
        <rFont val="宋体"/>
        <family val="3"/>
        <charset val="134"/>
      </rPr>
      <t>幢</t>
    </r>
    <phoneticPr fontId="4" type="noConversion"/>
  </si>
  <si>
    <r>
      <t>B1-1</t>
    </r>
    <r>
      <rPr>
        <sz val="10"/>
        <color indexed="8"/>
        <rFont val="宋体"/>
        <family val="3"/>
        <charset val="134"/>
      </rPr>
      <t>层</t>
    </r>
    <phoneticPr fontId="4" type="noConversion"/>
  </si>
  <si>
    <t>小计</t>
    <phoneticPr fontId="135" type="noConversion"/>
  </si>
  <si>
    <t>二期</t>
    <phoneticPr fontId="135" type="noConversion"/>
  </si>
  <si>
    <t>2022规自（开）建字0028号</t>
    <phoneticPr fontId="135" type="noConversion"/>
  </si>
  <si>
    <t>土地</t>
    <phoneticPr fontId="135" type="noConversion"/>
  </si>
  <si>
    <t>B2-6层</t>
    <phoneticPr fontId="135" type="noConversion"/>
  </si>
  <si>
    <t>合计</t>
    <phoneticPr fontId="135" type="noConversion"/>
  </si>
  <si>
    <t>评估总值</t>
    <phoneticPr fontId="135" type="noConversion"/>
  </si>
  <si>
    <t>土地价值</t>
    <phoneticPr fontId="135" type="noConversion"/>
  </si>
  <si>
    <t>建筑物价值</t>
    <phoneticPr fontId="135" type="noConversion"/>
  </si>
  <si>
    <t>规证附图</t>
    <phoneticPr fontId="135" type="noConversion"/>
  </si>
  <si>
    <t>一期</t>
    <phoneticPr fontId="135" type="noConversion"/>
  </si>
  <si>
    <t>建筑面积</t>
    <phoneticPr fontId="135" type="noConversion"/>
  </si>
  <si>
    <t>地上</t>
    <phoneticPr fontId="4" type="noConversion"/>
  </si>
  <si>
    <t>地下</t>
    <phoneticPr fontId="4" type="noConversion"/>
  </si>
  <si>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</si>
  <si>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</si>
  <si>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</si>
  <si>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t>吴薇</t>
  </si>
  <si>
    <t>崔锴</t>
  </si>
  <si>
    <t>抵押</t>
  </si>
  <si>
    <t>房地产抵押价值</t>
  </si>
  <si>
    <t>北京市</t>
  </si>
  <si>
    <t>企业</t>
  </si>
  <si>
    <t>现房</t>
    <phoneticPr fontId="4" type="noConversion"/>
  </si>
  <si>
    <t>1号办公</t>
    <phoneticPr fontId="4" type="noConversion"/>
  </si>
  <si>
    <t>是</t>
  </si>
  <si>
    <t>2号酒店</t>
    <phoneticPr fontId="4" type="noConversion"/>
  </si>
  <si>
    <t>3号机房</t>
    <phoneticPr fontId="4" type="noConversion"/>
  </si>
  <si>
    <t>土地</t>
    <phoneticPr fontId="4" type="noConversion"/>
  </si>
  <si>
    <t>否</t>
  </si>
  <si>
    <t>地上</t>
  </si>
  <si>
    <t>办公楼</t>
  </si>
  <si>
    <t>酒店</t>
  </si>
  <si>
    <t>地下</t>
  </si>
  <si>
    <t>1#办公</t>
    <phoneticPr fontId="4" type="noConversion"/>
  </si>
  <si>
    <r>
      <t>2#</t>
    </r>
    <r>
      <rPr>
        <sz val="10"/>
        <color indexed="8"/>
        <rFont val="宋体"/>
        <family val="3"/>
        <charset val="134"/>
      </rPr>
      <t>酒店</t>
    </r>
    <phoneticPr fontId="4" type="noConversion"/>
  </si>
  <si>
    <t>成新度</t>
  </si>
  <si>
    <t>直线折旧</t>
    <phoneticPr fontId="4" type="noConversion"/>
  </si>
  <si>
    <t>观察成新</t>
    <phoneticPr fontId="4" type="noConversion"/>
  </si>
  <si>
    <t>综合</t>
    <phoneticPr fontId="4" type="noConversion"/>
  </si>
  <si>
    <t>地上租金</t>
    <phoneticPr fontId="4" type="noConversion"/>
  </si>
  <si>
    <t>综合租金</t>
    <phoneticPr fontId="4" type="noConversion"/>
  </si>
  <si>
    <t>收益法-酒店模型</t>
    <phoneticPr fontId="4" type="noConversion"/>
  </si>
  <si>
    <t>收益法-酒店</t>
    <phoneticPr fontId="4" type="noConversion"/>
  </si>
  <si>
    <t>收益法-办公</t>
  </si>
  <si>
    <t>收益法-办公</t>
    <phoneticPr fontId="17" type="noConversion"/>
  </si>
  <si>
    <t>成本法</t>
  </si>
  <si>
    <t>收益法（汇总）</t>
  </si>
  <si>
    <t>1#办公</t>
  </si>
  <si>
    <t>押一</t>
  </si>
  <si>
    <t>钢混</t>
  </si>
  <si>
    <t>非生产用房</t>
  </si>
  <si>
    <t>收益法-酒店模型</t>
  </si>
  <si>
    <t>2#酒店</t>
  </si>
  <si>
    <t>高级标间</t>
  </si>
  <si>
    <t>高级大床房</t>
  </si>
  <si>
    <t>景观大床房</t>
  </si>
  <si>
    <t>豪华大床房</t>
  </si>
  <si>
    <t>漫心套房</t>
  </si>
  <si>
    <t>豪华家庭房</t>
  </si>
  <si>
    <t>较好</t>
  </si>
  <si>
    <t>一般</t>
  </si>
  <si>
    <t>与级别开发程度不一致</t>
  </si>
  <si>
    <t>通路</t>
  </si>
  <si>
    <t>通电</t>
  </si>
  <si>
    <t>通讯</t>
  </si>
  <si>
    <t>通上水</t>
  </si>
  <si>
    <t>通下水</t>
  </si>
  <si>
    <t>燃气</t>
  </si>
  <si>
    <t>平整</t>
  </si>
  <si>
    <t>估价对象容积率</t>
  </si>
  <si>
    <t>未包含在土地购买价格中</t>
  </si>
  <si>
    <t>全部缴纳</t>
  </si>
  <si>
    <t>已包含在土地取得成本中</t>
  </si>
  <si>
    <t>总价</t>
  </si>
  <si>
    <t>成本比率</t>
  </si>
  <si>
    <r>
      <t>2022.11</t>
    </r>
    <r>
      <rPr>
        <sz val="10"/>
        <color indexed="8"/>
        <rFont val="宋体"/>
        <family val="3"/>
        <charset val="134"/>
      </rPr>
      <t>月</t>
    </r>
    <phoneticPr fontId="9" type="noConversion"/>
  </si>
  <si>
    <t>序号</t>
  </si>
  <si>
    <t>客户公司名称</t>
  </si>
  <si>
    <t>租赁位置</t>
  </si>
  <si>
    <t>签订日期</t>
  </si>
  <si>
    <t>合同有效期</t>
  </si>
  <si>
    <t>提前付款期</t>
  </si>
  <si>
    <t>付款方式</t>
  </si>
  <si>
    <t>房租金额</t>
  </si>
  <si>
    <t>房租总金额</t>
  </si>
  <si>
    <t>房租每平每日单价</t>
  </si>
  <si>
    <t>物业费每平每日单价</t>
  </si>
  <si>
    <t>面积</t>
  </si>
  <si>
    <t>押金</t>
  </si>
  <si>
    <t>北京久佳印刷有限责任公司</t>
  </si>
  <si>
    <t>4层A区1401/1402</t>
  </si>
  <si>
    <t>2020.6.1</t>
  </si>
  <si>
    <t>2022.8.30-2023.8.29</t>
  </si>
  <si>
    <t>提前7日付</t>
  </si>
  <si>
    <t>半年付</t>
  </si>
  <si>
    <t>美高怡生生物电子科技（北京）有限公司（美高怡生生物技术（北京）有限公司）</t>
  </si>
  <si>
    <t>6层</t>
  </si>
  <si>
    <t>2021.1.22</t>
  </si>
  <si>
    <t>2023.3.1-2024.2.29</t>
  </si>
  <si>
    <t>季付</t>
  </si>
  <si>
    <t>2024.3.1-2025.2.28</t>
  </si>
  <si>
    <t>2025.3.1-2026.2.28</t>
  </si>
  <si>
    <t>十二料（北京）餐饮管理有限责任公司</t>
  </si>
  <si>
    <t>1层101-6餐厅后厨</t>
  </si>
  <si>
    <t>2020.9.1</t>
  </si>
  <si>
    <t>2022.11.1-2023.10.31</t>
  </si>
  <si>
    <t>月付</t>
  </si>
  <si>
    <t>2023.11.1-2024.10.31</t>
  </si>
  <si>
    <t>2024.11.1-2025.10.31</t>
  </si>
  <si>
    <t>北京弘晔项目管理有限公司</t>
  </si>
  <si>
    <t>5层1533</t>
  </si>
  <si>
    <t>2021.2.3</t>
  </si>
  <si>
    <t>2023.5.1-2024.4.30</t>
  </si>
  <si>
    <t>莱恩斯建材（北京）有限公司</t>
  </si>
  <si>
    <t>5层1530</t>
  </si>
  <si>
    <t>2021.3.26</t>
  </si>
  <si>
    <t>2023.5.12-2024.5.11</t>
  </si>
  <si>
    <t>1层茶水间</t>
  </si>
  <si>
    <t>2021.4.30</t>
  </si>
  <si>
    <t>2021.5.1-2024.4.30</t>
  </si>
  <si>
    <t>年付</t>
  </si>
  <si>
    <t>420元/月</t>
  </si>
  <si>
    <t>180元/月</t>
  </si>
  <si>
    <t>北京龙兴瑞诚建筑工程有限公司</t>
  </si>
  <si>
    <t>4层A区1421</t>
  </si>
  <si>
    <t>2021.5.6</t>
  </si>
  <si>
    <t>2023.6.15-2024.6.14</t>
  </si>
  <si>
    <t>2024.6.15-2026.6.14</t>
  </si>
  <si>
    <t>北京胡曼智造科技有限责任公司</t>
  </si>
  <si>
    <t>3层B区1309</t>
  </si>
  <si>
    <t>2021.8.30</t>
  </si>
  <si>
    <t>2022.9.1-2023.8.31</t>
  </si>
  <si>
    <t>2023.9.1-2024.8.31</t>
  </si>
  <si>
    <t>2024.9.1-2025.8.31</t>
  </si>
  <si>
    <t>2025.9.1-2026.8.31</t>
  </si>
  <si>
    <t>大邦科技（天津）有限公司</t>
  </si>
  <si>
    <t>1层1101</t>
  </si>
  <si>
    <t>2021.8.20</t>
  </si>
  <si>
    <t>北京亿隆鸿达商贸有限公司</t>
  </si>
  <si>
    <t>2层1201</t>
  </si>
  <si>
    <t>2021.8.23</t>
  </si>
  <si>
    <t>2021.8.24-2023.8.23</t>
  </si>
  <si>
    <t>北京点阵虹光光电科技有限公司</t>
  </si>
  <si>
    <t>2层1212、1213</t>
  </si>
  <si>
    <t>2021.10.25</t>
  </si>
  <si>
    <t>2021.11.25-2023.11.24</t>
  </si>
  <si>
    <t>宝荣智电（北京）科技有限公司</t>
  </si>
  <si>
    <t>2层1210</t>
  </si>
  <si>
    <t>2021.10.8</t>
  </si>
  <si>
    <t>2021.10.8-2023.10.7</t>
  </si>
  <si>
    <t>北京瑞和蓝天制冷设备有限公司</t>
  </si>
  <si>
    <t>2层1204</t>
  </si>
  <si>
    <t>2021.11.7</t>
  </si>
  <si>
    <t>2022.11.8-2023.11.7</t>
  </si>
  <si>
    <t>北京聚源泰科技有限公司</t>
  </si>
  <si>
    <t>5层1570</t>
  </si>
  <si>
    <t>2021.11.8</t>
  </si>
  <si>
    <t>多与（北京）科技有限公司</t>
  </si>
  <si>
    <t>4层1423</t>
  </si>
  <si>
    <t>2021.12.20</t>
  </si>
  <si>
    <t>2023.1.4-2024.1.3</t>
  </si>
  <si>
    <t>中科艾尔（北京）科技有限公司</t>
  </si>
  <si>
    <t>4层B区1422</t>
  </si>
  <si>
    <t>2021.12.16</t>
  </si>
  <si>
    <t>2022.11.30-2023.11.29</t>
  </si>
  <si>
    <t>苏州广林达电子科技有限公司</t>
  </si>
  <si>
    <t>2层1241</t>
  </si>
  <si>
    <t>2022.1.10-2024.1.9</t>
  </si>
  <si>
    <t>北京启铭兴装饰工程有限公司</t>
  </si>
  <si>
    <t>3层1303</t>
  </si>
  <si>
    <t>2021.12.25</t>
  </si>
  <si>
    <t>2021.12.25-2023.12.24</t>
  </si>
  <si>
    <t>北京易同云网科技有限公司</t>
  </si>
  <si>
    <t>2021.12.24</t>
  </si>
  <si>
    <t>2023.2.3-2024.2.2</t>
  </si>
  <si>
    <t>北京富思特建设有限公司</t>
  </si>
  <si>
    <t>2层1262</t>
  </si>
  <si>
    <t>2022.1.4</t>
  </si>
  <si>
    <t>2022.3.4-2024.3.3</t>
  </si>
  <si>
    <t>北京依托华茂生物科技有限公司</t>
  </si>
  <si>
    <t>2层1257、1263</t>
  </si>
  <si>
    <t>2022.4.1</t>
  </si>
  <si>
    <t>2023.6.1-2024.5.31</t>
  </si>
  <si>
    <t>北京合造科技有限公司</t>
  </si>
  <si>
    <t>4层403</t>
  </si>
  <si>
    <t>2022.3.25</t>
  </si>
  <si>
    <t>2022.3.25-2024.3.24</t>
  </si>
  <si>
    <t>北京厚德菲斯健身服务有限公司</t>
  </si>
  <si>
    <t>1层1102</t>
  </si>
  <si>
    <t>2022.3.31</t>
  </si>
  <si>
    <t>2022.4.1-2023.8.31</t>
  </si>
  <si>
    <t>北京睿和名扬印刷有限公司</t>
  </si>
  <si>
    <t>1层1118</t>
  </si>
  <si>
    <t>2023.4.1-2024.3.31</t>
  </si>
  <si>
    <t>北京润世恒昌商贸有限公司</t>
  </si>
  <si>
    <t>4层1417</t>
  </si>
  <si>
    <t>2022.4.20</t>
  </si>
  <si>
    <t>2023.4.27-2024.4.26</t>
  </si>
  <si>
    <t>1层1117</t>
  </si>
  <si>
    <t>2022.3.18</t>
  </si>
  <si>
    <t>2023.7.1-2024.7.31</t>
  </si>
  <si>
    <t>2024.8.1-2025.7.31</t>
  </si>
  <si>
    <t>2025.8.1-2026.7.31</t>
  </si>
  <si>
    <t>2026.8.1-2027.7.31</t>
  </si>
  <si>
    <t>2层1203</t>
  </si>
  <si>
    <t>2022.5.6</t>
  </si>
  <si>
    <t>2022.8.25-2023.8.26</t>
  </si>
  <si>
    <t>北京德康信瑞商贸有限责任公司</t>
  </si>
  <si>
    <t>2层1227</t>
  </si>
  <si>
    <t>2022.6.3</t>
  </si>
  <si>
    <t>2022.6.3-2024.6.2</t>
  </si>
  <si>
    <t>北京济世养生商贸有限责任公司</t>
  </si>
  <si>
    <t>2层1229</t>
  </si>
  <si>
    <t>北京中海天成商贸有限公司</t>
  </si>
  <si>
    <t>2层1219</t>
  </si>
  <si>
    <t>2022.6.7</t>
  </si>
  <si>
    <t>2023.6.7-2024.6.6</t>
  </si>
  <si>
    <t>7层1721</t>
  </si>
  <si>
    <t>2022.5.25</t>
  </si>
  <si>
    <t>2022.5.25-2024.5.24</t>
  </si>
  <si>
    <t>2024.5.25-2025.5.24</t>
  </si>
  <si>
    <t>2025.5.25-2026.5.24</t>
  </si>
  <si>
    <t>2026.5.25-2027.5.24</t>
  </si>
  <si>
    <t>北京深海特生物技术有限公司（丁晶）</t>
  </si>
  <si>
    <t>7层1722</t>
  </si>
  <si>
    <t>北京启承文化传媒有限公司</t>
  </si>
  <si>
    <t>4层1405</t>
  </si>
  <si>
    <t>2022.7.10</t>
  </si>
  <si>
    <t>2022.7.10-2024.7.9</t>
  </si>
  <si>
    <t>北京高能空间科技有限公司</t>
  </si>
  <si>
    <t>2层1206</t>
  </si>
  <si>
    <t>2022.7.11</t>
  </si>
  <si>
    <t>2022.7.11-2023.7.10</t>
  </si>
  <si>
    <t>2023.7.11-2024.7.10</t>
  </si>
  <si>
    <t>北京运吉强科技有限公司</t>
  </si>
  <si>
    <t>2层1207</t>
  </si>
  <si>
    <t>爱诺威科技（北京）有限公司</t>
  </si>
  <si>
    <t>5层1531</t>
  </si>
  <si>
    <t>2022.7.22</t>
  </si>
  <si>
    <t>2022.10.17-2024.10.16</t>
  </si>
  <si>
    <t>北京泓达盛源劳务派遣有限公司</t>
  </si>
  <si>
    <t>7层1704</t>
  </si>
  <si>
    <t>2022.7.17</t>
  </si>
  <si>
    <t>2022.7.18-2023.7.17</t>
  </si>
  <si>
    <t>北京百纳威尔无线通信设备有限公司</t>
  </si>
  <si>
    <t>7层B区</t>
  </si>
  <si>
    <t>2022.7.31</t>
  </si>
  <si>
    <t>2022.8.1-2023.7.31</t>
  </si>
  <si>
    <t>5层1539</t>
  </si>
  <si>
    <t>2022.8.5</t>
  </si>
  <si>
    <t>2022.8.5-2024.8.4</t>
  </si>
  <si>
    <t>北京华夏行科技有限公司</t>
  </si>
  <si>
    <t>4层1412</t>
  </si>
  <si>
    <t>2022.9.21</t>
  </si>
  <si>
    <t>2022.9.21-2024.9.20</t>
  </si>
  <si>
    <t>沃尔普瑞过滤设备（北京）有限公司</t>
  </si>
  <si>
    <t>5层1508</t>
  </si>
  <si>
    <t>2022.10.25</t>
  </si>
  <si>
    <t>2022.10.26-2024.10.25</t>
  </si>
  <si>
    <t>伊藤忠物流（中国）有限公司</t>
  </si>
  <si>
    <t>3层A区</t>
  </si>
  <si>
    <t>2022.7.8</t>
  </si>
  <si>
    <t>2022.8.15-2023.8.14</t>
  </si>
  <si>
    <t>2023.8.15-2024.8.14</t>
  </si>
  <si>
    <t>北京吉顺阁文化传播有限公司</t>
  </si>
  <si>
    <t>2层1220</t>
  </si>
  <si>
    <t>2022.7.25</t>
  </si>
  <si>
    <t>2022.7.25-2024.7.24</t>
  </si>
  <si>
    <t>北京卓越天和运营管理有限公司</t>
  </si>
  <si>
    <t>7层B区、705/706会议室、7A多功能厅</t>
  </si>
  <si>
    <t>2022.8.31</t>
  </si>
  <si>
    <t>2022.9.1-2023.12.31</t>
  </si>
  <si>
    <t>北京尚华万耀科技有限公司</t>
  </si>
  <si>
    <t>2层1261</t>
  </si>
  <si>
    <t>2022.9.1</t>
  </si>
  <si>
    <t>北京晶瓷医疗器械有限公司</t>
  </si>
  <si>
    <t>2层1238、1239</t>
  </si>
  <si>
    <t>2022.8.17</t>
  </si>
  <si>
    <t>2022.8.17-2024.8.16</t>
  </si>
  <si>
    <t>3层1312</t>
  </si>
  <si>
    <t>2022.8.29</t>
  </si>
  <si>
    <t>2022.8.29-2023.8.28</t>
  </si>
  <si>
    <t>2023.8.29-2024.8.28</t>
  </si>
  <si>
    <t>纵揽建设发展有限公司</t>
  </si>
  <si>
    <t>3层1305</t>
  </si>
  <si>
    <t>2022.9.22-2024.9.21</t>
  </si>
  <si>
    <t>安普德（北京）科技有限公司</t>
  </si>
  <si>
    <t>5层1571</t>
  </si>
  <si>
    <t>2022.7.25-2023.8.24</t>
  </si>
  <si>
    <t>2023.8.25-2024.8.24</t>
  </si>
  <si>
    <t>北京翔楦盛誉汽车有限公司</t>
  </si>
  <si>
    <t>5层1505</t>
  </si>
  <si>
    <t>2022.9.16</t>
  </si>
  <si>
    <t>2022.9.15-2023.9.14</t>
  </si>
  <si>
    <t>北京崇迅科技有限公司（刘超）</t>
  </si>
  <si>
    <t>4层1403</t>
  </si>
  <si>
    <t>2022.10.20</t>
  </si>
  <si>
    <t>2022.10.20-2023.10.19</t>
  </si>
  <si>
    <t>北京东方天创文化传播有限公司</t>
  </si>
  <si>
    <t>2层1256</t>
  </si>
  <si>
    <t>2022.10.17</t>
  </si>
  <si>
    <t>2022.10.17-2023.10.23</t>
  </si>
  <si>
    <t>北京城宏星石材集团有限公司</t>
  </si>
  <si>
    <t>3层1302</t>
  </si>
  <si>
    <t>2022.10.23</t>
  </si>
  <si>
    <t>2022.10.23-2024.10.22</t>
  </si>
  <si>
    <t>北京瑞岚生物科技有限公司</t>
  </si>
  <si>
    <t>5层1537</t>
  </si>
  <si>
    <t>2022.8.16</t>
  </si>
  <si>
    <t>2023.5.16-2023.7.15</t>
  </si>
  <si>
    <t>合同签订3日内</t>
  </si>
  <si>
    <t>一次性</t>
  </si>
  <si>
    <t>北京瑞邦创意装饰工程有限公司</t>
  </si>
  <si>
    <t>5层1506</t>
  </si>
  <si>
    <t>2022.10.21</t>
  </si>
  <si>
    <t>2022.10.21-2023.10.20</t>
  </si>
  <si>
    <t>5层1509</t>
  </si>
  <si>
    <t>2023.1.6</t>
  </si>
  <si>
    <t>2023.1.6-2024.1.5</t>
  </si>
  <si>
    <t>2024.1.6-2025.1.5</t>
  </si>
  <si>
    <t>2025.1.6-2026.1.5</t>
  </si>
  <si>
    <t>青蓝宝树信息科技（北京）有限公司</t>
  </si>
  <si>
    <t>5层1507</t>
  </si>
  <si>
    <t>北京佳诚天合科技有限公司</t>
  </si>
  <si>
    <t>7层1705</t>
  </si>
  <si>
    <t>2022.12.5</t>
  </si>
  <si>
    <t>2022.12.5-2023.12.11</t>
  </si>
  <si>
    <t>2023.12.12-2024.12.11</t>
  </si>
  <si>
    <t>北京中贸科技有限公司</t>
  </si>
  <si>
    <t>7层1708</t>
  </si>
  <si>
    <t>2022.8.20</t>
  </si>
  <si>
    <t>2023.6.18-2023.8.17</t>
  </si>
  <si>
    <t>2层1202</t>
  </si>
  <si>
    <t>2022.7.27</t>
  </si>
  <si>
    <t>2022.10.1-2024.9.30</t>
  </si>
  <si>
    <t>北京正远物联科技有限公司</t>
  </si>
  <si>
    <t>7层1725</t>
  </si>
  <si>
    <t>2022.9.6</t>
  </si>
  <si>
    <t>2022.9.6-2023.9.5</t>
  </si>
  <si>
    <t>2023.9.6-2024.9.5</t>
  </si>
  <si>
    <t>2层1224、1231</t>
  </si>
  <si>
    <t>2022.10.27</t>
  </si>
  <si>
    <t>2022.10.27-2024.10.26</t>
  </si>
  <si>
    <t>北京海蓝冠科建设工程有限公司</t>
  </si>
  <si>
    <t>4层1406</t>
  </si>
  <si>
    <t>2023.1.14</t>
  </si>
  <si>
    <t>2023.1.14-2024.1.13</t>
  </si>
  <si>
    <t>易停车物联网科技（北京）有限公司</t>
  </si>
  <si>
    <t>3层1306</t>
  </si>
  <si>
    <t>2022.12.26</t>
  </si>
  <si>
    <t>2022.12.26-2025.1.14</t>
  </si>
  <si>
    <t>北京世纪美居家具有限公司</t>
  </si>
  <si>
    <t>2层1235</t>
  </si>
  <si>
    <t>2023.1.8</t>
  </si>
  <si>
    <t>2023.1.8-2024.1.7</t>
  </si>
  <si>
    <t>北京永利明盛科技有限公司（樊程如）</t>
  </si>
  <si>
    <t>7层1727</t>
  </si>
  <si>
    <t>2023.1.18</t>
  </si>
  <si>
    <t>2023.1.18-2024.3.3</t>
  </si>
  <si>
    <t>2024.3.4-2025.3.3</t>
  </si>
  <si>
    <t>合肥中智工业技术有限公司</t>
  </si>
  <si>
    <t>5层1513</t>
  </si>
  <si>
    <t>2023.1.5</t>
  </si>
  <si>
    <t>2023.1.5-2024.1.4</t>
  </si>
  <si>
    <t>北京文质建筑有限公司</t>
  </si>
  <si>
    <t>4层1418</t>
  </si>
  <si>
    <t>2023.1.9</t>
  </si>
  <si>
    <t>2023.1.9-2025.1.8</t>
  </si>
  <si>
    <t>北京北斗国际旅行社有限公司</t>
  </si>
  <si>
    <t>2层1218</t>
  </si>
  <si>
    <t>2023.1.19</t>
  </si>
  <si>
    <t>2023.1.19-2025.1.18</t>
  </si>
  <si>
    <t>悦未来（北京）科技有限公司</t>
  </si>
  <si>
    <t>7层1726</t>
  </si>
  <si>
    <t>2023.3.1</t>
  </si>
  <si>
    <t>2023.3.1-2025.3.7</t>
  </si>
  <si>
    <t>北京东方锐吉国际展览有限公司</t>
  </si>
  <si>
    <t>2层1205</t>
  </si>
  <si>
    <t>2023.2.24</t>
  </si>
  <si>
    <t>2023.2.24-2025.3.2</t>
  </si>
  <si>
    <t>北京空间智筑技术有限公司</t>
  </si>
  <si>
    <t>5层1511</t>
  </si>
  <si>
    <t>2023.3.1-2024.3.30</t>
  </si>
  <si>
    <t>2024.3.31-2025.3.30</t>
  </si>
  <si>
    <t>杭州千奇文化创意有限公司</t>
  </si>
  <si>
    <t>4层1413</t>
  </si>
  <si>
    <t>2023.3.6</t>
  </si>
  <si>
    <t>2023.3.6-2024.4.5</t>
  </si>
  <si>
    <t>房产税申报截止</t>
  </si>
  <si>
    <t>7层1730</t>
  </si>
  <si>
    <t>2023.3.15</t>
  </si>
  <si>
    <t>2023.3.15-2024.4.14</t>
  </si>
  <si>
    <t>2023.3.16</t>
  </si>
  <si>
    <t>2024.4.15-2025.4.14</t>
  </si>
  <si>
    <t>2023.3.17</t>
  </si>
  <si>
    <t>2025.4.15-2026.4.14</t>
  </si>
  <si>
    <t>2026.4.15-2027.4.14</t>
  </si>
  <si>
    <t>北京天语测试科技有限公司</t>
  </si>
  <si>
    <t>5层1503</t>
  </si>
  <si>
    <t>2022.12.31</t>
  </si>
  <si>
    <t>2023.1.1-2023.8.31</t>
  </si>
  <si>
    <t>深圳市安车检测股份有限公司</t>
  </si>
  <si>
    <t>4层1416</t>
  </si>
  <si>
    <t>2023.2.27</t>
  </si>
  <si>
    <t>2023.2.27-2024.2.26</t>
  </si>
  <si>
    <t>2024.2.27-2025.2.26</t>
  </si>
  <si>
    <t>北京中诚恒泰钢铁贸易有限公司</t>
  </si>
  <si>
    <t>2层1217</t>
  </si>
  <si>
    <t>2023.4.10</t>
  </si>
  <si>
    <t>2023.4.10-2025.4.19</t>
  </si>
  <si>
    <t>北京星科润禾科技有限公司（潘光宗）</t>
  </si>
  <si>
    <t>5层1566</t>
  </si>
  <si>
    <t>2023.3.6-2024.3.5</t>
  </si>
  <si>
    <t>北京五吉堂健康科技有限公司</t>
  </si>
  <si>
    <t>1层1104</t>
  </si>
  <si>
    <t>2023.4.10-2023.10.9</t>
  </si>
  <si>
    <t>北京众丞华晔技术有限公司</t>
  </si>
  <si>
    <t>2层1265、1266</t>
  </si>
  <si>
    <t>2023.4.3</t>
  </si>
  <si>
    <t>2023.4.3-2024.4.28</t>
  </si>
  <si>
    <t>2024.4.29-2025.4.28</t>
  </si>
  <si>
    <t>2025.4.29-2026.4.28</t>
  </si>
  <si>
    <t>1层1119</t>
  </si>
  <si>
    <t>2023.4.10-2024.4.9</t>
  </si>
  <si>
    <t>2024.5.10-2025.4.9</t>
  </si>
  <si>
    <t>龙玉艺墅（北京）装配科技有限公司</t>
  </si>
  <si>
    <t>5层1529</t>
  </si>
  <si>
    <t>2023.4.28</t>
  </si>
  <si>
    <t>2023.4.28-2024.4.27</t>
  </si>
  <si>
    <t>2024.4.28-2025.4.27</t>
  </si>
  <si>
    <t>北京奕芯数能科技有限公司</t>
  </si>
  <si>
    <t>1559</t>
  </si>
  <si>
    <t>2023.6.1</t>
  </si>
  <si>
    <t>瑞声达听力设备贸易（上海）有限公司</t>
  </si>
  <si>
    <t>5层1572</t>
  </si>
  <si>
    <t>2023.4.26</t>
  </si>
  <si>
    <t>2023.4.24-2024.5.23</t>
  </si>
  <si>
    <t>2024.5.24-2025.5.23</t>
  </si>
  <si>
    <t>2025.5.24-2026.5.23</t>
  </si>
  <si>
    <t>北京麦哲天农科技发展有限公司</t>
  </si>
  <si>
    <t>2层1223</t>
  </si>
  <si>
    <t>2023.5.20</t>
  </si>
  <si>
    <t>2023.6.19-2024.6.18</t>
  </si>
  <si>
    <t>北京三益信科电子有限公司</t>
  </si>
  <si>
    <t>5层B区1536</t>
  </si>
  <si>
    <t>2023.5.23</t>
  </si>
  <si>
    <t>2024.6.15-2025.6.14</t>
  </si>
  <si>
    <t>马祥</t>
  </si>
  <si>
    <t>7层1728</t>
  </si>
  <si>
    <t>2023.6.12</t>
  </si>
  <si>
    <t>2023.6.12-2024.7.1</t>
  </si>
  <si>
    <t>2024.7.2-2025.7.1</t>
  </si>
  <si>
    <t>酒店年经营收入与成本情况</t>
    <phoneticPr fontId="135" type="noConversion"/>
  </si>
  <si>
    <t>功能分区</t>
  </si>
  <si>
    <t>数量（间）</t>
  </si>
  <si>
    <t>楼层分布</t>
  </si>
  <si>
    <t>收费标准</t>
  </si>
  <si>
    <t>折扣率</t>
  </si>
  <si>
    <t>入住率</t>
  </si>
  <si>
    <t>年总收入</t>
  </si>
  <si>
    <t>成本费用率（%）</t>
  </si>
  <si>
    <t>2020年</t>
    <phoneticPr fontId="135" type="noConversion"/>
  </si>
  <si>
    <t>2021年</t>
    <phoneticPr fontId="135" type="noConversion"/>
  </si>
  <si>
    <t>客房</t>
  </si>
  <si>
    <t>2-6层</t>
  </si>
  <si>
    <t>万元</t>
    <phoneticPr fontId="135" type="noConversion"/>
  </si>
  <si>
    <t>7层</t>
  </si>
  <si>
    <t>酒店一共是84间房，咱们委托华住运营，运营费是8.5%，其他华住管理费用3%</t>
    <phoneticPr fontId="135" type="noConversion"/>
  </si>
  <si>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</si>
  <si>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</si>
  <si>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</si>
  <si>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</si>
  <si>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</si>
  <si>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</si>
  <si>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</si>
  <si>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</si>
  <si>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</si>
  <si>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</si>
  <si>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</si>
  <si>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</si>
  <si>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</si>
  <si>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</si>
  <si>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</si>
  <si>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</si>
  <si>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</si>
  <si>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2022年</t>
    <phoneticPr fontId="135" type="noConversion"/>
  </si>
  <si>
    <t>平均</t>
    <phoneticPr fontId="135" type="noConversion"/>
  </si>
  <si>
    <t>Ⅵ-光机电</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</si>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</sst>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_-* #,##0_-;\-* #,##0_-;_-* &quot;-&quot;_-;_-@_-"/>
    <numFmt numFmtId="198" formatCode="#,##0.000_ "/>
    <numFmt numFmtId="199" formatCode="[DBNum1][$-804]m&quot;月&quot;d&quot;日&quot;;@"/>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FF0000"/>
      <name val="宋体"/>
      <family val="3"/>
      <charset val="134"/>
      <scheme val="minor"/>
    </font>
    <font>
      <sz val="11"/>
      <color rgb="FFFF0000"/>
      <name val="宋体"/>
      <family val="3"/>
      <charset val="134"/>
      <scheme val="minor"/>
    </font>
    <font>
      <b/>
      <sz val="10"/>
      <color rgb="FF000000"/>
      <name val="宋体"/>
      <family val="3"/>
      <charset val="134"/>
      <scheme val="minor"/>
    </font>
    <font>
      <sz val="10"/>
      <name val="MS Sans Serif"/>
      <family val="2"/>
    </font>
    <font>
      <sz val="10"/>
      <name val="Helv"/>
      <family val="2"/>
    </font>
    <font>
      <sz val="11"/>
      <color rgb="FF9C0006"/>
      <name val="宋体"/>
      <family val="3"/>
      <charset val="134"/>
      <scheme val="minor"/>
    </font>
    <font>
      <sz val="11"/>
      <color theme="0"/>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b/>
      <sz val="11"/>
      <color rgb="FF3F3F3F"/>
      <name val="宋体"/>
      <family val="3"/>
      <charset val="134"/>
      <scheme val="minor"/>
    </font>
    <font>
      <sz val="11"/>
      <color rgb="FFFA7D00"/>
      <name val="宋体"/>
      <family val="3"/>
      <charset val="134"/>
      <scheme val="minor"/>
    </font>
    <font>
      <sz val="11"/>
      <color rgb="FF9C6500"/>
      <name val="宋体"/>
      <family val="3"/>
      <charset val="134"/>
      <scheme val="minor"/>
    </font>
    <font>
      <b/>
      <sz val="11"/>
      <color theme="3"/>
      <name val="宋体"/>
      <family val="3"/>
      <charset val="134"/>
      <scheme val="minor"/>
    </font>
    <font>
      <sz val="10"/>
      <color rgb="FF000000"/>
      <name val="宋体"/>
      <family val="3"/>
      <charset val="134"/>
      <scheme val="minor"/>
    </font>
    <font>
      <sz val="10"/>
      <name val="宋体"/>
      <family val="3"/>
      <charset val="134"/>
      <scheme val="minor"/>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EB9C"/>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9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4" fontId="270" fillId="0" borderId="0" applyFont="0" applyFill="0" applyBorder="0" applyAlignment="0" applyProtection="0">
      <alignment vertical="center"/>
    </xf>
    <xf numFmtId="199" fontId="1" fillId="0" borderId="0">
      <alignment vertical="center"/>
    </xf>
    <xf numFmtId="197" fontId="1" fillId="0" borderId="0" applyFont="0" applyFill="0" applyBorder="0" applyAlignment="0" applyProtection="0">
      <alignment vertical="center"/>
    </xf>
    <xf numFmtId="43" fontId="1" fillId="0" borderId="0" applyFont="0" applyFill="0" applyBorder="0" applyAlignment="0" applyProtection="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9" fontId="37" fillId="0" borderId="0"/>
    <xf numFmtId="199" fontId="1" fillId="0" borderId="0">
      <alignment vertical="center"/>
    </xf>
    <xf numFmtId="199" fontId="37" fillId="0" borderId="0"/>
    <xf numFmtId="199" fontId="96" fillId="0" borderId="0">
      <alignment vertical="center"/>
    </xf>
    <xf numFmtId="43" fontId="20" fillId="0" borderId="0" applyFont="0" applyFill="0" applyBorder="0" applyAlignment="0" applyProtection="0"/>
    <xf numFmtId="199" fontId="1" fillId="0" borderId="0">
      <alignment vertical="center"/>
    </xf>
    <xf numFmtId="199" fontId="20" fillId="0" borderId="0"/>
    <xf numFmtId="199" fontId="96" fillId="0" borderId="0">
      <alignment vertical="center"/>
    </xf>
    <xf numFmtId="43" fontId="129" fillId="0" borderId="0" applyFont="0" applyFill="0" applyBorder="0" applyAlignment="0" applyProtection="0">
      <alignment vertical="center"/>
    </xf>
    <xf numFmtId="199" fontId="1" fillId="0" borderId="0">
      <alignment vertical="center"/>
    </xf>
    <xf numFmtId="197" fontId="129" fillId="0" borderId="0" applyFont="0" applyFill="0" applyBorder="0" applyAlignment="0" applyProtection="0">
      <alignment vertical="center"/>
    </xf>
    <xf numFmtId="199" fontId="37" fillId="0" borderId="0"/>
    <xf numFmtId="199" fontId="96" fillId="0" borderId="0">
      <alignment vertical="center"/>
    </xf>
    <xf numFmtId="199" fontId="20" fillId="0" borderId="0"/>
    <xf numFmtId="43" fontId="20" fillId="0" borderId="0" applyFont="0" applyFill="0" applyBorder="0" applyAlignment="0" applyProtection="0"/>
    <xf numFmtId="199" fontId="96" fillId="0" borderId="0">
      <alignment vertical="center"/>
    </xf>
    <xf numFmtId="199" fontId="96" fillId="0" borderId="0">
      <alignment vertical="center"/>
    </xf>
    <xf numFmtId="199" fontId="96" fillId="0" borderId="0">
      <alignment vertical="center"/>
    </xf>
    <xf numFmtId="43" fontId="96" fillId="0" borderId="0" applyFont="0" applyFill="0" applyBorder="0" applyAlignment="0" applyProtection="0">
      <alignment vertical="center"/>
    </xf>
    <xf numFmtId="199" fontId="96" fillId="0" borderId="0">
      <alignment vertical="center"/>
    </xf>
    <xf numFmtId="43" fontId="129" fillId="0" borderId="0" applyFont="0" applyFill="0" applyBorder="0" applyAlignment="0" applyProtection="0">
      <alignment vertical="center"/>
    </xf>
    <xf numFmtId="199" fontId="1" fillId="0" borderId="0">
      <alignment vertical="center"/>
    </xf>
    <xf numFmtId="197" fontId="1" fillId="0" borderId="0" applyFont="0" applyFill="0" applyBorder="0" applyAlignment="0" applyProtection="0">
      <alignment vertical="center"/>
    </xf>
    <xf numFmtId="43" fontId="1" fillId="0" borderId="0" applyFont="0" applyFill="0" applyBorder="0" applyAlignment="0" applyProtection="0">
      <alignment vertical="center"/>
    </xf>
    <xf numFmtId="41" fontId="1" fillId="0" borderId="0" applyFont="0" applyFill="0" applyBorder="0" applyAlignment="0" applyProtection="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96" fillId="0" borderId="0"/>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276" fillId="28" borderId="0" applyNumberFormat="0" applyBorder="0" applyAlignment="0" applyProtection="0">
      <alignment vertical="center"/>
    </xf>
    <xf numFmtId="199" fontId="54" fillId="0" borderId="0" applyBorder="0"/>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8"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31" fontId="96" fillId="0" borderId="0">
      <alignment vertical="center"/>
    </xf>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8"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31" fontId="37" fillId="0" borderId="0"/>
    <xf numFmtId="199" fontId="37" fillId="0" borderId="0"/>
    <xf numFmtId="198" fontId="37" fillId="0" borderId="0"/>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274" fillId="0" borderId="0"/>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43" fontId="37" fillId="0" borderId="0" applyFont="0" applyFill="0" applyBorder="0" applyAlignment="0" applyProtection="0">
      <alignment vertical="center"/>
    </xf>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0" fillId="0" borderId="0" applyFont="0" applyFill="0" applyBorder="0" applyAlignment="0" applyProtection="0"/>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41" fontId="37" fillId="0" borderId="0" applyFont="0" applyFill="0" applyBorder="0" applyAlignment="0" applyProtection="0"/>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197" fontId="96" fillId="0" borderId="0" applyFont="0" applyFill="0" applyBorder="0" applyAlignment="0" applyProtection="0">
      <alignment vertical="center"/>
    </xf>
    <xf numFmtId="41" fontId="37" fillId="0" borderId="0" applyFont="0" applyFill="0" applyBorder="0" applyAlignment="0" applyProtection="0"/>
    <xf numFmtId="41" fontId="37" fillId="0" borderId="0" applyFont="0" applyFill="0" applyBorder="0" applyAlignment="0" applyProtection="0"/>
    <xf numFmtId="197"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54" fillId="0" borderId="0"/>
    <xf numFmtId="199" fontId="54" fillId="0" borderId="0"/>
    <xf numFmtId="199" fontId="275" fillId="0" borderId="0"/>
    <xf numFmtId="198" fontId="54" fillId="0" borderId="0"/>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xf numFmtId="199" fontId="96" fillId="0" borderId="0">
      <alignment vertical="center"/>
    </xf>
    <xf numFmtId="199" fontId="96"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276" fillId="28" borderId="0" applyNumberFormat="0" applyBorder="0" applyAlignment="0" applyProtection="0">
      <alignment vertical="center"/>
    </xf>
    <xf numFmtId="199" fontId="54" fillId="0" borderId="0" applyBorder="0"/>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8"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31" fontId="96" fillId="0" borderId="0">
      <alignment vertical="center"/>
    </xf>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8"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31" fontId="37" fillId="0" borderId="0"/>
    <xf numFmtId="199" fontId="37" fillId="0" borderId="0"/>
    <xf numFmtId="198" fontId="37" fillId="0" borderId="0"/>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274" fillId="0" borderId="0"/>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43" fontId="37" fillId="0" borderId="0" applyFont="0" applyFill="0" applyBorder="0" applyAlignment="0" applyProtection="0">
      <alignment vertical="center"/>
    </xf>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0" fillId="0" borderId="0" applyFont="0" applyFill="0" applyBorder="0" applyAlignment="0" applyProtection="0"/>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41" fontId="37" fillId="0" borderId="0" applyFont="0" applyFill="0" applyBorder="0" applyAlignment="0" applyProtection="0"/>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197" fontId="96" fillId="0" borderId="0" applyFont="0" applyFill="0" applyBorder="0" applyAlignment="0" applyProtection="0">
      <alignment vertical="center"/>
    </xf>
    <xf numFmtId="41" fontId="37" fillId="0" borderId="0" applyFont="0" applyFill="0" applyBorder="0" applyAlignment="0" applyProtection="0"/>
    <xf numFmtId="41" fontId="37" fillId="0" borderId="0" applyFont="0" applyFill="0" applyBorder="0" applyAlignment="0" applyProtection="0"/>
    <xf numFmtId="197"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54" fillId="0" borderId="0"/>
    <xf numFmtId="199" fontId="54" fillId="0" borderId="0"/>
    <xf numFmtId="199" fontId="275" fillId="0" borderId="0"/>
    <xf numFmtId="199" fontId="1" fillId="0" borderId="0">
      <alignment vertical="center"/>
    </xf>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xf numFmtId="199" fontId="37" fillId="0" borderId="0"/>
    <xf numFmtId="199" fontId="276" fillId="28" borderId="0" applyNumberFormat="0" applyBorder="0" applyAlignment="0" applyProtection="0">
      <alignment vertical="center"/>
    </xf>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cellStyleXfs>
  <cellXfs count="39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8" fillId="0" borderId="1" xfId="0" applyFont="1" applyBorder="1" applyAlignment="1">
      <alignment horizontal="left" vertical="center"/>
    </xf>
    <xf numFmtId="0" fontId="78" fillId="12" borderId="1" xfId="0" applyFont="1" applyFill="1" applyBorder="1" applyAlignment="1" applyProtection="1">
      <alignment horizontal="left" vertical="center"/>
      <protection locked="0"/>
    </xf>
    <xf numFmtId="0" fontId="108" fillId="0" borderId="0" xfId="0" applyFont="1" applyAlignment="1">
      <alignment horizontal="left" vertical="center"/>
    </xf>
    <xf numFmtId="0" fontId="48" fillId="12" borderId="1" xfId="0" applyFont="1" applyFill="1" applyBorder="1" applyAlignment="1" applyProtection="1">
      <alignment horizontal="left" vertical="center"/>
      <protection locked="0"/>
    </xf>
    <xf numFmtId="31" fontId="108" fillId="0" borderId="0" xfId="0" applyNumberFormat="1" applyFont="1" applyAlignment="1">
      <alignment horizontal="left" vertical="center"/>
    </xf>
    <xf numFmtId="196" fontId="271" fillId="0" borderId="0" xfId="0" applyNumberFormat="1" applyFont="1" applyAlignment="1">
      <alignment horizontal="left" vertical="center"/>
    </xf>
    <xf numFmtId="9" fontId="108" fillId="0" borderId="0" xfId="17" applyFont="1" applyAlignment="1">
      <alignment horizontal="left" vertical="center"/>
    </xf>
    <xf numFmtId="180" fontId="48" fillId="0" borderId="1" xfId="0" applyNumberFormat="1"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177" fontId="48" fillId="0" borderId="1" xfId="1" applyNumberFormat="1" applyFont="1" applyFill="1" applyBorder="1" applyAlignment="1" applyProtection="1">
      <alignment vertical="center"/>
      <protection locked="0" hidden="1"/>
    </xf>
    <xf numFmtId="0" fontId="78" fillId="12" borderId="0" xfId="0" applyFont="1" applyFill="1" applyAlignment="1" applyProtection="1">
      <alignment vertical="center"/>
      <protection locked="0"/>
    </xf>
    <xf numFmtId="9" fontId="78" fillId="12" borderId="0" xfId="0" applyNumberFormat="1" applyFont="1" applyFill="1" applyAlignment="1" applyProtection="1">
      <alignment vertical="center"/>
      <protection locked="0"/>
    </xf>
    <xf numFmtId="178" fontId="54" fillId="0" borderId="1" xfId="4" applyNumberFormat="1" applyFont="1" applyFill="1" applyBorder="1" applyAlignment="1" applyProtection="1">
      <alignment horizontal="left" vertical="center"/>
      <protection locked="0"/>
    </xf>
    <xf numFmtId="0" fontId="273" fillId="0" borderId="1" xfId="0" applyFont="1" applyBorder="1" applyAlignment="1" applyProtection="1">
      <alignment horizontal="center" vertical="center"/>
      <protection locked="0"/>
    </xf>
    <xf numFmtId="9" fontId="273" fillId="0" borderId="1" xfId="0" applyNumberFormat="1" applyFont="1" applyBorder="1" applyAlignment="1" applyProtection="1">
      <alignment horizontal="center" vertical="center"/>
      <protection locked="0"/>
    </xf>
    <xf numFmtId="10" fontId="273" fillId="0" borderId="1" xfId="0" applyNumberFormat="1" applyFont="1" applyBorder="1" applyAlignment="1" applyProtection="1">
      <alignment horizontal="center" vertical="center"/>
      <protection locked="0"/>
    </xf>
    <xf numFmtId="0" fontId="273" fillId="0" borderId="1" xfId="0" applyFont="1" applyBorder="1" applyAlignment="1">
      <alignment horizontal="center" vertical="center"/>
    </xf>
    <xf numFmtId="0" fontId="113" fillId="0" borderId="24" xfId="0" applyFont="1" applyBorder="1" applyAlignment="1">
      <alignment horizontal="center" vertical="center"/>
    </xf>
    <xf numFmtId="0" fontId="273" fillId="0" borderId="0" xfId="0" applyFont="1" applyFill="1" applyBorder="1" applyAlignment="1">
      <alignment horizontal="left" vertical="center"/>
    </xf>
    <xf numFmtId="49" fontId="273" fillId="0" borderId="1" xfId="0" applyNumberFormat="1" applyFont="1" applyBorder="1" applyAlignment="1">
      <alignment horizontal="center" vertical="center"/>
    </xf>
    <xf numFmtId="9" fontId="273" fillId="0" borderId="1" xfId="0" applyNumberFormat="1" applyFont="1" applyBorder="1" applyAlignment="1">
      <alignment horizontal="center" vertical="center"/>
    </xf>
    <xf numFmtId="10" fontId="273" fillId="0" borderId="1" xfId="0" applyNumberFormat="1" applyFont="1" applyBorder="1" applyAlignment="1">
      <alignment horizontal="center" vertical="center"/>
    </xf>
    <xf numFmtId="0" fontId="96" fillId="0" borderId="0" xfId="0" applyFont="1">
      <alignment vertical="center"/>
    </xf>
    <xf numFmtId="0" fontId="273" fillId="0" borderId="13" xfId="0" applyFont="1" applyBorder="1" applyAlignment="1">
      <alignment horizontal="center" vertical="center"/>
    </xf>
    <xf numFmtId="0" fontId="286" fillId="0" borderId="32" xfId="0" applyFont="1" applyBorder="1" applyAlignment="1">
      <alignment horizontal="center" vertical="center"/>
    </xf>
    <xf numFmtId="0" fontId="273" fillId="0" borderId="32" xfId="0" applyFont="1" applyBorder="1" applyAlignment="1">
      <alignment horizontal="center" vertical="center"/>
    </xf>
    <xf numFmtId="0" fontId="108" fillId="0" borderId="1" xfId="20" applyNumberFormat="1" applyFont="1" applyFill="1" applyBorder="1" applyAlignment="1">
      <alignment horizontal="center" vertical="center"/>
    </xf>
    <xf numFmtId="199" fontId="108" fillId="0" borderId="1" xfId="97" applyFont="1" applyFill="1" applyBorder="1" applyAlignment="1">
      <alignment horizontal="center" vertical="center"/>
    </xf>
    <xf numFmtId="49" fontId="108" fillId="0" borderId="1" xfId="97" applyNumberFormat="1" applyFont="1" applyFill="1" applyBorder="1" applyAlignment="1">
      <alignment horizontal="center" vertical="center"/>
    </xf>
    <xf numFmtId="199" fontId="108" fillId="0" borderId="1" xfId="97" applyFont="1" applyFill="1" applyBorder="1" applyAlignment="1">
      <alignment horizontal="left" vertical="center"/>
    </xf>
    <xf numFmtId="199" fontId="108" fillId="0" borderId="5" xfId="97" applyFont="1" applyFill="1" applyBorder="1" applyAlignment="1">
      <alignment vertical="center"/>
    </xf>
    <xf numFmtId="43" fontId="108" fillId="0" borderId="1" xfId="24" applyFont="1" applyFill="1" applyBorder="1" applyAlignment="1">
      <alignment horizontal="center" vertical="center"/>
    </xf>
    <xf numFmtId="176" fontId="108" fillId="0" borderId="1" xfId="24" applyNumberFormat="1" applyFont="1" applyFill="1" applyBorder="1" applyAlignment="1">
      <alignment horizontal="center" vertical="center"/>
    </xf>
    <xf numFmtId="0" fontId="108" fillId="0" borderId="0" xfId="0" applyFont="1">
      <alignment vertical="center"/>
    </xf>
    <xf numFmtId="199" fontId="108" fillId="0" borderId="1" xfId="26" applyFont="1" applyFill="1" applyBorder="1" applyAlignment="1">
      <alignment vertical="center"/>
    </xf>
    <xf numFmtId="49" fontId="108" fillId="0" borderId="1" xfId="26" applyNumberFormat="1" applyFont="1" applyFill="1" applyBorder="1" applyAlignment="1">
      <alignment vertical="center"/>
    </xf>
    <xf numFmtId="43" fontId="108" fillId="0" borderId="1" xfId="24" applyFont="1" applyFill="1" applyBorder="1" applyAlignment="1">
      <alignment horizontal="left" vertical="center"/>
    </xf>
    <xf numFmtId="199" fontId="108" fillId="0" borderId="1" xfId="20" applyFont="1" applyFill="1" applyBorder="1" applyAlignment="1">
      <alignment horizontal="left" vertical="center"/>
    </xf>
    <xf numFmtId="49" fontId="108" fillId="0" borderId="1" xfId="20" applyNumberFormat="1" applyFont="1" applyFill="1" applyBorder="1" applyAlignment="1">
      <alignment horizontal="left" vertical="center"/>
    </xf>
    <xf numFmtId="199" fontId="108" fillId="0" borderId="5" xfId="20" applyFont="1" applyFill="1" applyBorder="1" applyAlignment="1">
      <alignment horizontal="left" vertical="center"/>
    </xf>
    <xf numFmtId="199" fontId="287" fillId="0" borderId="1" xfId="20" applyFont="1" applyFill="1" applyBorder="1" applyAlignment="1">
      <alignment horizontal="left" vertical="center"/>
    </xf>
    <xf numFmtId="43" fontId="108" fillId="0" borderId="1" xfId="24" applyFont="1" applyFill="1" applyBorder="1" applyAlignment="1">
      <alignment vertical="center"/>
    </xf>
    <xf numFmtId="199" fontId="108" fillId="0" borderId="1" xfId="26" applyFont="1" applyFill="1" applyBorder="1" applyAlignment="1">
      <alignment horizontal="left" vertical="center"/>
    </xf>
    <xf numFmtId="199" fontId="108" fillId="0" borderId="0" xfId="20" applyFont="1" applyFill="1" applyBorder="1" applyAlignment="1">
      <alignment horizontal="left" vertical="center"/>
    </xf>
    <xf numFmtId="0" fontId="108" fillId="5" borderId="1" xfId="20" applyNumberFormat="1" applyFont="1" applyFill="1" applyBorder="1" applyAlignment="1">
      <alignment horizontal="center" vertical="center"/>
    </xf>
    <xf numFmtId="199" fontId="108" fillId="5" borderId="1" xfId="26" applyFont="1" applyFill="1" applyBorder="1" applyAlignment="1">
      <alignment vertical="center"/>
    </xf>
    <xf numFmtId="49" fontId="108" fillId="5" borderId="1" xfId="26" applyNumberFormat="1" applyFont="1" applyFill="1" applyBorder="1" applyAlignment="1">
      <alignment vertical="center"/>
    </xf>
    <xf numFmtId="199" fontId="108" fillId="5" borderId="13" xfId="26" applyFont="1" applyFill="1" applyBorder="1" applyAlignment="1">
      <alignment vertical="center"/>
    </xf>
    <xf numFmtId="199" fontId="108" fillId="5" borderId="5" xfId="26" applyFont="1" applyFill="1" applyBorder="1" applyAlignment="1">
      <alignment horizontal="left" vertical="center"/>
    </xf>
    <xf numFmtId="43" fontId="108" fillId="5" borderId="1" xfId="24" applyFont="1" applyFill="1" applyBorder="1" applyAlignment="1">
      <alignment horizontal="left" vertical="center"/>
    </xf>
    <xf numFmtId="176" fontId="108" fillId="5" borderId="1" xfId="24" applyNumberFormat="1" applyFont="1" applyFill="1" applyBorder="1" applyAlignment="1">
      <alignment horizontal="center" vertical="center"/>
    </xf>
    <xf numFmtId="43" fontId="108" fillId="5" borderId="1" xfId="24" applyFont="1" applyFill="1" applyBorder="1">
      <alignment vertical="center"/>
    </xf>
    <xf numFmtId="0" fontId="108" fillId="5" borderId="0" xfId="0" applyFont="1" applyFill="1">
      <alignment vertical="center"/>
    </xf>
    <xf numFmtId="0" fontId="108" fillId="0" borderId="1" xfId="97" applyNumberFormat="1" applyFont="1" applyFill="1" applyBorder="1">
      <alignment vertical="center"/>
    </xf>
    <xf numFmtId="0" fontId="108" fillId="5" borderId="1" xfId="26" applyNumberFormat="1" applyFont="1" applyFill="1" applyBorder="1">
      <alignment vertical="center"/>
    </xf>
    <xf numFmtId="0" fontId="108" fillId="0" borderId="1" xfId="20" applyNumberFormat="1" applyFont="1" applyFill="1" applyBorder="1">
      <alignment vertical="center"/>
    </xf>
    <xf numFmtId="0" fontId="108" fillId="0" borderId="1" xfId="21" applyNumberFormat="1" applyFont="1" applyFill="1" applyBorder="1">
      <alignment vertical="center"/>
    </xf>
    <xf numFmtId="0" fontId="108" fillId="0" borderId="0" xfId="0" applyNumberFormat="1" applyFont="1">
      <alignment vertical="center"/>
    </xf>
    <xf numFmtId="199" fontId="108" fillId="5" borderId="1" xfId="20" applyFont="1" applyFill="1" applyBorder="1" applyAlignment="1">
      <alignment horizontal="left" vertical="center"/>
    </xf>
    <xf numFmtId="49" fontId="108" fillId="5" borderId="1" xfId="20" applyNumberFormat="1" applyFont="1" applyFill="1" applyBorder="1" applyAlignment="1">
      <alignment horizontal="left" vertical="center"/>
    </xf>
    <xf numFmtId="199" fontId="108" fillId="5" borderId="5" xfId="20" applyFont="1" applyFill="1" applyBorder="1" applyAlignment="1">
      <alignment horizontal="left" vertical="center"/>
    </xf>
    <xf numFmtId="199" fontId="287" fillId="5" borderId="1" xfId="20" applyFont="1" applyFill="1" applyBorder="1" applyAlignment="1">
      <alignment horizontal="left" vertical="center"/>
    </xf>
    <xf numFmtId="0" fontId="108" fillId="5" borderId="1" xfId="20" applyNumberFormat="1" applyFont="1" applyFill="1" applyBorder="1">
      <alignment vertical="center"/>
    </xf>
    <xf numFmtId="43" fontId="108" fillId="5" borderId="1" xfId="24" applyFont="1" applyFill="1" applyBorder="1" applyAlignment="1">
      <alignment horizontal="center" vertical="center"/>
    </xf>
    <xf numFmtId="43" fontId="108" fillId="5" borderId="1" xfId="24" applyFont="1" applyFill="1" applyBorder="1" applyAlignment="1">
      <alignment vertical="center"/>
    </xf>
    <xf numFmtId="199" fontId="108" fillId="5" borderId="1" xfId="26" applyFont="1" applyFill="1" applyBorder="1" applyAlignment="1">
      <alignment horizontal="left" vertical="center"/>
    </xf>
    <xf numFmtId="176" fontId="108" fillId="5" borderId="1" xfId="21" applyNumberFormat="1" applyFont="1" applyFill="1" applyBorder="1" applyAlignment="1">
      <alignment horizontal="center" vertical="center"/>
    </xf>
    <xf numFmtId="199" fontId="108" fillId="5" borderId="1" xfId="20" applyFont="1" applyFill="1" applyBorder="1">
      <alignment vertical="center"/>
    </xf>
    <xf numFmtId="176" fontId="108" fillId="5" borderId="2" xfId="24" applyNumberFormat="1" applyFont="1" applyFill="1" applyBorder="1" applyAlignment="1">
      <alignment horizontal="center" vertical="center"/>
    </xf>
    <xf numFmtId="199" fontId="108" fillId="5" borderId="0" xfId="20" applyFont="1" applyFill="1" applyBorder="1" applyAlignment="1">
      <alignment horizontal="left" vertical="center"/>
    </xf>
    <xf numFmtId="0" fontId="108" fillId="0" borderId="0" xfId="0" applyFont="1" applyFill="1">
      <alignment vertical="center"/>
    </xf>
    <xf numFmtId="0" fontId="108" fillId="5" borderId="1" xfId="21" applyNumberFormat="1" applyFont="1" applyFill="1" applyBorder="1">
      <alignment vertical="center"/>
    </xf>
    <xf numFmtId="14" fontId="108" fillId="5" borderId="5" xfId="20" applyNumberFormat="1" applyFont="1" applyFill="1" applyBorder="1" applyAlignment="1">
      <alignment horizontal="left" vertical="center"/>
    </xf>
    <xf numFmtId="43" fontId="108" fillId="5" borderId="1" xfId="24" applyFont="1" applyFill="1" applyBorder="1" applyAlignment="1">
      <alignment vertical="top"/>
    </xf>
    <xf numFmtId="199" fontId="108" fillId="5" borderId="1" xfId="20" applyFont="1" applyFill="1" applyBorder="1" applyAlignment="1">
      <alignment vertical="center"/>
    </xf>
    <xf numFmtId="199" fontId="108" fillId="5" borderId="5" xfId="26" applyFont="1" applyFill="1" applyBorder="1" applyAlignment="1">
      <alignment vertical="center"/>
    </xf>
    <xf numFmtId="176" fontId="108" fillId="5" borderId="2" xfId="24" applyNumberFormat="1" applyFont="1" applyFill="1" applyBorder="1" applyAlignment="1">
      <alignment vertical="center"/>
    </xf>
    <xf numFmtId="43" fontId="108" fillId="5" borderId="15" xfId="24" applyFont="1" applyFill="1" applyBorder="1" applyAlignment="1">
      <alignment horizontal="center" vertical="center"/>
    </xf>
    <xf numFmtId="199" fontId="108" fillId="5" borderId="0" xfId="20" applyFont="1" applyFill="1">
      <alignment vertical="center"/>
    </xf>
    <xf numFmtId="14" fontId="108" fillId="5" borderId="1" xfId="20" applyNumberFormat="1" applyFont="1" applyFill="1" applyBorder="1" applyAlignment="1">
      <alignment horizontal="left" vertical="center"/>
    </xf>
    <xf numFmtId="199" fontId="108" fillId="5" borderId="0" xfId="20" applyFont="1" applyFill="1" applyBorder="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6" fontId="108" fillId="0" borderId="1" xfId="24" applyNumberFormat="1" applyFont="1" applyFill="1" applyBorder="1" applyAlignment="1">
      <alignment horizontal="center" vertical="center"/>
    </xf>
    <xf numFmtId="176" fontId="108" fillId="0" borderId="13" xfId="24" applyNumberFormat="1" applyFont="1" applyFill="1" applyBorder="1" applyAlignment="1">
      <alignment horizontal="center" vertical="center"/>
    </xf>
    <xf numFmtId="176" fontId="108" fillId="0" borderId="15" xfId="24" applyNumberFormat="1" applyFont="1" applyFill="1" applyBorder="1" applyAlignment="1">
      <alignment horizontal="center" vertical="center"/>
    </xf>
    <xf numFmtId="176" fontId="108" fillId="0" borderId="2" xfId="24" applyNumberFormat="1" applyFont="1" applyFill="1" applyBorder="1" applyAlignment="1">
      <alignment horizontal="center" vertical="center"/>
    </xf>
    <xf numFmtId="43" fontId="108" fillId="0" borderId="13" xfId="24" applyFont="1" applyFill="1" applyBorder="1" applyAlignment="1">
      <alignment horizontal="center" vertical="center"/>
    </xf>
    <xf numFmtId="43" fontId="108" fillId="0" borderId="2" xfId="24" applyFont="1" applyFill="1" applyBorder="1" applyAlignment="1">
      <alignment horizontal="center" vertical="center"/>
    </xf>
    <xf numFmtId="0" fontId="273" fillId="0" borderId="23" xfId="0" applyFont="1" applyBorder="1" applyAlignment="1">
      <alignment horizontal="center" vertical="center"/>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0" fontId="108" fillId="0" borderId="61" xfId="0" applyFont="1" applyBorder="1" applyAlignment="1">
      <alignment horizontal="center" vertical="center"/>
    </xf>
    <xf numFmtId="0" fontId="108" fillId="0" borderId="53" xfId="0" applyFont="1" applyBorder="1" applyAlignment="1">
      <alignment horizontal="center" vertical="center"/>
    </xf>
    <xf numFmtId="0" fontId="108" fillId="0" borderId="8" xfId="0" applyFont="1" applyBorder="1" applyAlignment="1">
      <alignment horizontal="center" vertical="center"/>
    </xf>
    <xf numFmtId="0" fontId="273" fillId="0" borderId="11" xfId="0" applyFont="1" applyBorder="1" applyAlignment="1">
      <alignment horizontal="center" vertical="center"/>
    </xf>
    <xf numFmtId="0" fontId="273" fillId="0" borderId="14" xfId="0" applyFont="1" applyBorder="1" applyAlignment="1">
      <alignment horizontal="center" vertical="center"/>
    </xf>
    <xf numFmtId="0" fontId="273" fillId="0" borderId="12" xfId="0" applyFont="1" applyBorder="1" applyAlignment="1">
      <alignment horizontal="center" vertical="center"/>
    </xf>
    <xf numFmtId="0" fontId="273" fillId="0" borderId="74" xfId="0" applyFont="1" applyBorder="1" applyAlignment="1">
      <alignment horizontal="center" vertical="center"/>
    </xf>
    <xf numFmtId="0" fontId="108" fillId="0" borderId="76" xfId="0" applyFont="1" applyBorder="1" applyAlignment="1">
      <alignment horizontal="center" vertical="center"/>
    </xf>
    <xf numFmtId="0" fontId="273" fillId="0" borderId="41" xfId="0" applyFont="1" applyBorder="1" applyAlignment="1">
      <alignment horizontal="center" vertical="center"/>
    </xf>
    <xf numFmtId="44" fontId="108" fillId="0" borderId="61" xfId="19" applyFont="1" applyBorder="1" applyAlignment="1">
      <alignment horizontal="center" vertical="center"/>
    </xf>
    <xf numFmtId="44" fontId="108" fillId="0" borderId="53" xfId="19" applyFont="1" applyBorder="1" applyAlignment="1">
      <alignment horizontal="center" vertical="center"/>
    </xf>
    <xf numFmtId="44" fontId="108" fillId="0" borderId="8" xfId="19" applyFont="1" applyBorder="1" applyAlignment="1">
      <alignment horizontal="center" vertical="center"/>
    </xf>
    <xf numFmtId="0" fontId="273" fillId="0" borderId="16" xfId="0" applyFont="1" applyBorder="1" applyAlignment="1">
      <alignment horizontal="center" vertical="center"/>
    </xf>
    <xf numFmtId="0" fontId="273" fillId="0" borderId="19" xfId="0" applyFont="1" applyBorder="1" applyAlignment="1">
      <alignment horizontal="center" vertical="center"/>
    </xf>
    <xf numFmtId="0" fontId="273" fillId="0" borderId="31" xfId="0" applyFont="1" applyBorder="1" applyAlignment="1">
      <alignment horizontal="center" vertical="center"/>
    </xf>
    <xf numFmtId="0" fontId="273" fillId="0" borderId="37" xfId="0" applyFont="1" applyBorder="1" applyAlignment="1">
      <alignment horizontal="center" vertical="center"/>
    </xf>
    <xf numFmtId="0" fontId="273" fillId="0" borderId="3" xfId="0" applyFont="1" applyBorder="1" applyAlignment="1">
      <alignment horizontal="center" vertical="center"/>
    </xf>
    <xf numFmtId="10" fontId="108" fillId="0" borderId="61" xfId="0" applyNumberFormat="1" applyFont="1" applyBorder="1" applyAlignment="1">
      <alignment horizontal="center" vertical="center"/>
    </xf>
  </cellXfs>
  <cellStyles count="692">
    <cellStyle name="]" xfId="123"/>
    <cellStyle name="] 2" xfId="348"/>
    <cellStyle name="] 3" xfId="550"/>
    <cellStyle name="_09shui百纳fengongs" xfId="124"/>
    <cellStyle name="_09shui百纳fengongs 2" xfId="349"/>
    <cellStyle name="0,0_x000d__x000a_NA_x000d__x000a_" xfId="25"/>
    <cellStyle name="0,0_x000d__x000a_NA_x000d__x000a_ 2" xfId="50"/>
    <cellStyle name="0,0_x000d__x000a_NA_x000d__x000a_ 2 2" xfId="126"/>
    <cellStyle name="0,0_x000d__x000a_NA_x000d__x000a_ 2 2 2" xfId="351"/>
    <cellStyle name="0,0_x000d__x000a_NA_x000d__x000a_ 2 2 3" xfId="552"/>
    <cellStyle name="0,0_x000d__x000a_NA_x000d__x000a_ 2 3" xfId="107"/>
    <cellStyle name="0,0_x000d__x000a_NA_x000d__x000a_ 2 4" xfId="332"/>
    <cellStyle name="0,0_x000d__x000a_NA_x000d__x000a_ 3" xfId="36"/>
    <cellStyle name="0,0_x000d__x000a_NA_x000d__x000a_ 3 2" xfId="127"/>
    <cellStyle name="0,0_x000d__x000a_NA_x000d__x000a_ 3 3" xfId="352"/>
    <cellStyle name="0,0_x000d__x000a_NA_x000d__x000a_ 3 4" xfId="553"/>
    <cellStyle name="0,0_x000d__x000a_NA_x000d__x000a_ 4" xfId="27"/>
    <cellStyle name="0,0_x000d__x000a_NA_x000d__x000a_ 4 2" xfId="128"/>
    <cellStyle name="0,0_x000d__x000a_NA_x000d__x000a_ 4 3" xfId="353"/>
    <cellStyle name="0,0_x000d__x000a_NA_x000d__x000a_ 4 4" xfId="554"/>
    <cellStyle name="0,0_x000d__x000a_NA_x000d__x000a_ 5" xfId="125"/>
    <cellStyle name="0,0_x000d__x000a_NA_x000d__x000a_ 5 2" xfId="350"/>
    <cellStyle name="0,0_x000d__x000a_NA_x000d__x000a_ 5 3" xfId="551"/>
    <cellStyle name="0,0_x000d__x000a_NA_x000d__x000a_ 6" xfId="103"/>
    <cellStyle name="0,0_x000d__x000a_NA_x000d__x000a_ 7" xfId="329"/>
    <cellStyle name="3232" xfId="129"/>
    <cellStyle name="3232 2" xfId="130"/>
    <cellStyle name="3232 2 2" xfId="355"/>
    <cellStyle name="3232 2 3" xfId="556"/>
    <cellStyle name="3232 3" xfId="131"/>
    <cellStyle name="3232 3 2" xfId="356"/>
    <cellStyle name="3232 3 3" xfId="557"/>
    <cellStyle name="3232 4" xfId="132"/>
    <cellStyle name="3232 4 2" xfId="357"/>
    <cellStyle name="3232 4 3" xfId="558"/>
    <cellStyle name="3232 5" xfId="133"/>
    <cellStyle name="3232 5 2" xfId="358"/>
    <cellStyle name="3232 5 3" xfId="559"/>
    <cellStyle name="3232 6" xfId="134"/>
    <cellStyle name="3232 6 2" xfId="359"/>
    <cellStyle name="3232 6 3" xfId="560"/>
    <cellStyle name="3232 7" xfId="135"/>
    <cellStyle name="3232 7 2" xfId="360"/>
    <cellStyle name="3232 8" xfId="354"/>
    <cellStyle name="3232 9" xfId="555"/>
    <cellStyle name="Y" xfId="136"/>
    <cellStyle name="Y 2" xfId="361"/>
    <cellStyle name="Y 3" xfId="561"/>
    <cellStyle name="百分比" xfId="17" builtinId="5"/>
    <cellStyle name="百分比 2" xfId="14"/>
    <cellStyle name="差_明细" xfId="137"/>
    <cellStyle name="差_明细 2" xfId="138"/>
    <cellStyle name="差_明细 2 2" xfId="363"/>
    <cellStyle name="差_明细 2 3" xfId="563"/>
    <cellStyle name="差_明细 3" xfId="362"/>
    <cellStyle name="差_明细 4" xfId="562"/>
    <cellStyle name="常规" xfId="0" builtinId="0"/>
    <cellStyle name="常规 10" xfId="52"/>
    <cellStyle name="常规 10 2" xfId="140"/>
    <cellStyle name="常规 10 2 2" xfId="365"/>
    <cellStyle name="常规 10 2 3" xfId="565"/>
    <cellStyle name="常规 10 3" xfId="141"/>
    <cellStyle name="常规 10 3 2" xfId="366"/>
    <cellStyle name="常规 10 3 3" xfId="566"/>
    <cellStyle name="常规 10 4" xfId="139"/>
    <cellStyle name="常规 10 4 2" xfId="364"/>
    <cellStyle name="常规 10 4 3" xfId="564"/>
    <cellStyle name="常规 10 5" xfId="114"/>
    <cellStyle name="常规 10 5 2" xfId="142"/>
    <cellStyle name="常规 10 5 2 2" xfId="367"/>
    <cellStyle name="常规 10 5 2 3" xfId="567"/>
    <cellStyle name="常规 10 6" xfId="339"/>
    <cellStyle name="常规 11" xfId="18"/>
    <cellStyle name="常规 11 2" xfId="143"/>
    <cellStyle name="常规 11 2 2" xfId="368"/>
    <cellStyle name="常规 11 2 3" xfId="568"/>
    <cellStyle name="常规 11 3" xfId="115"/>
    <cellStyle name="常规 11 4" xfId="340"/>
    <cellStyle name="常规 11 5" xfId="53"/>
    <cellStyle name="常规 12" xfId="54"/>
    <cellStyle name="常规 12 2" xfId="144"/>
    <cellStyle name="常规 12 2 2" xfId="369"/>
    <cellStyle name="常规 12 2 3" xfId="569"/>
    <cellStyle name="常规 12 3" xfId="116"/>
    <cellStyle name="常规 12 4" xfId="341"/>
    <cellStyle name="常规 13" xfId="55"/>
    <cellStyle name="常规 13 2" xfId="145"/>
    <cellStyle name="常规 13 2 2" xfId="370"/>
    <cellStyle name="常规 13 2 3" xfId="570"/>
    <cellStyle name="常规 13 3" xfId="117"/>
    <cellStyle name="常规 13 4" xfId="342"/>
    <cellStyle name="常规 14" xfId="56"/>
    <cellStyle name="常规 14 2" xfId="147"/>
    <cellStyle name="常规 14 2 2" xfId="372"/>
    <cellStyle name="常规 14 2 3" xfId="572"/>
    <cellStyle name="常规 14 3" xfId="146"/>
    <cellStyle name="常规 14 3 2" xfId="371"/>
    <cellStyle name="常规 14 3 3" xfId="571"/>
    <cellStyle name="常规 14 4" xfId="118"/>
    <cellStyle name="常规 14 5" xfId="343"/>
    <cellStyle name="常规 15" xfId="57"/>
    <cellStyle name="常规 15 2" xfId="148"/>
    <cellStyle name="常规 15 2 2" xfId="373"/>
    <cellStyle name="常规 15 2 3" xfId="573"/>
    <cellStyle name="常规 15 3" xfId="119"/>
    <cellStyle name="常规 15 4" xfId="344"/>
    <cellStyle name="常规 16" xfId="10"/>
    <cellStyle name="常规 16 2" xfId="150"/>
    <cellStyle name="常规 16 2 2" xfId="375"/>
    <cellStyle name="常规 16 2 3" xfId="575"/>
    <cellStyle name="常规 16 3" xfId="151"/>
    <cellStyle name="常规 16 3 2" xfId="376"/>
    <cellStyle name="常规 16 3 3" xfId="576"/>
    <cellStyle name="常规 16 4" xfId="149"/>
    <cellStyle name="常规 16 4 2" xfId="374"/>
    <cellStyle name="常规 16 4 3" xfId="574"/>
    <cellStyle name="常规 16 5" xfId="120"/>
    <cellStyle name="常规 16 6" xfId="345"/>
    <cellStyle name="常规 16 7" xfId="58"/>
    <cellStyle name="常规 17" xfId="59"/>
    <cellStyle name="常规 17 2" xfId="152"/>
    <cellStyle name="常规 17 2 2" xfId="377"/>
    <cellStyle name="常规 17 2 3" xfId="577"/>
    <cellStyle name="常规 17 3" xfId="121"/>
    <cellStyle name="常规 17 4" xfId="346"/>
    <cellStyle name="常规 18" xfId="60"/>
    <cellStyle name="常规 18 2" xfId="153"/>
    <cellStyle name="常规 18 3" xfId="378"/>
    <cellStyle name="常规 18 4" xfId="578"/>
    <cellStyle name="常规 19" xfId="61"/>
    <cellStyle name="常规 19 2" xfId="154"/>
    <cellStyle name="常规 19 3" xfId="379"/>
    <cellStyle name="常规 19 4" xfId="579"/>
    <cellStyle name="常规 2" xfId="1"/>
    <cellStyle name="常规 2 10" xfId="156"/>
    <cellStyle name="常规 2 10 2" xfId="381"/>
    <cellStyle name="常规 2 11" xfId="157"/>
    <cellStyle name="常规 2 11 2" xfId="382"/>
    <cellStyle name="常规 2 11 3" xfId="581"/>
    <cellStyle name="常规 2 12" xfId="155"/>
    <cellStyle name="常规 2 12 2" xfId="380"/>
    <cellStyle name="常规 2 12 3" xfId="580"/>
    <cellStyle name="常规 2 13" xfId="104"/>
    <cellStyle name="常规 2 14" xfId="330"/>
    <cellStyle name="常规 2 15" xfId="32"/>
    <cellStyle name="常规 2 2" xfId="8"/>
    <cellStyle name="常规 2 2 2" xfId="44"/>
    <cellStyle name="常规 2 2 2 2" xfId="160"/>
    <cellStyle name="常规 2 2 2 2 2" xfId="385"/>
    <cellStyle name="常规 2 2 2 2 2 2 2 2" xfId="161"/>
    <cellStyle name="常规 2 2 2 2 2 2 2 2 2" xfId="162"/>
    <cellStyle name="常规 2 2 2 2 2 2 2 2 2 2" xfId="387"/>
    <cellStyle name="常规 2 2 2 2 2 2 2 2 2 3" xfId="586"/>
    <cellStyle name="常规 2 2 2 2 2 2 2 2 3" xfId="386"/>
    <cellStyle name="常规 2 2 2 2 2 2 2 2 4" xfId="585"/>
    <cellStyle name="常规 2 2 2 2 3" xfId="15"/>
    <cellStyle name="常规 2 2 2 2 3 2" xfId="584"/>
    <cellStyle name="常规 2 2 2 3" xfId="163"/>
    <cellStyle name="常规 2 2 2 3 2" xfId="388"/>
    <cellStyle name="常规 2 2 2 3 3" xfId="587"/>
    <cellStyle name="常规 2 2 2 4" xfId="159"/>
    <cellStyle name="常规 2 2 2 5" xfId="384"/>
    <cellStyle name="常规 2 2 2 6" xfId="583"/>
    <cellStyle name="常规 2 2 3" xfId="164"/>
    <cellStyle name="常规 2 2 3 2" xfId="389"/>
    <cellStyle name="常规 2 2 3 3" xfId="588"/>
    <cellStyle name="常规 2 2 4" xfId="165"/>
    <cellStyle name="常规 2 2 4 2" xfId="390"/>
    <cellStyle name="常规 2 2 4 3" xfId="589"/>
    <cellStyle name="常规 2 2 5" xfId="166"/>
    <cellStyle name="常规 2 2 5 2" xfId="391"/>
    <cellStyle name="常规 2 2 5 3" xfId="590"/>
    <cellStyle name="常规 2 2 6" xfId="158"/>
    <cellStyle name="常规 2 2 7" xfId="383"/>
    <cellStyle name="常规 2 2 8" xfId="582"/>
    <cellStyle name="常规 2 2 9" xfId="28"/>
    <cellStyle name="常规 2 3" xfId="167"/>
    <cellStyle name="常规 2 3 2" xfId="168"/>
    <cellStyle name="常规 2 3 2 2" xfId="393"/>
    <cellStyle name="常规 2 3 2 3" xfId="592"/>
    <cellStyle name="常规 2 3 3" xfId="169"/>
    <cellStyle name="常规 2 3 3 2" xfId="394"/>
    <cellStyle name="常规 2 3 3 3" xfId="593"/>
    <cellStyle name="常规 2 3 4" xfId="392"/>
    <cellStyle name="常规 2 3 5" xfId="591"/>
    <cellStyle name="常规 2 4" xfId="170"/>
    <cellStyle name="常规 2 4 2" xfId="171"/>
    <cellStyle name="常规 2 4 2 2" xfId="172"/>
    <cellStyle name="常规 2 4 2 2 2" xfId="173"/>
    <cellStyle name="常规 2 4 2 2 2 2" xfId="398"/>
    <cellStyle name="常规 2 4 2 2 2 3" xfId="597"/>
    <cellStyle name="常规 2 4 2 2 3" xfId="174"/>
    <cellStyle name="常规 2 4 2 2 3 2" xfId="175"/>
    <cellStyle name="常规 2 4 2 2 3 2 2" xfId="400"/>
    <cellStyle name="常规 2 4 2 2 3 2 3" xfId="599"/>
    <cellStyle name="常规 2 4 2 2 3 3" xfId="176"/>
    <cellStyle name="常规 2 4 2 2 3 3 10" xfId="401"/>
    <cellStyle name="常规 2 4 2 2 3 3 11" xfId="600"/>
    <cellStyle name="常规 2 4 2 2 3 3 2" xfId="177"/>
    <cellStyle name="常规 2 4 2 2 3 3 2 2" xfId="402"/>
    <cellStyle name="常规 2 4 2 2 3 3 2 3" xfId="601"/>
    <cellStyle name="常规 2 4 2 2 3 3 3" xfId="178"/>
    <cellStyle name="常规 2 4 2 2 3 3 3 2" xfId="403"/>
    <cellStyle name="常规 2 4 2 2 3 3 3 3" xfId="602"/>
    <cellStyle name="常规 2 4 2 2 3 3 4" xfId="179"/>
    <cellStyle name="常规 2 4 2 2 3 3 4 2" xfId="180"/>
    <cellStyle name="常规 2 4 2 2 3 3 4 2 2" xfId="181"/>
    <cellStyle name="常规 2 4 2 2 3 3 4 2 2 2" xfId="406"/>
    <cellStyle name="常规 2 4 2 2 3 3 4 2 2 3" xfId="605"/>
    <cellStyle name="常规 2 4 2 2 3 3 4 2 3" xfId="405"/>
    <cellStyle name="常规 2 4 2 2 3 3 4 2 4" xfId="604"/>
    <cellStyle name="常规 2 4 2 2 3 3 4 3" xfId="404"/>
    <cellStyle name="常规 2 4 2 2 3 3 4 4" xfId="603"/>
    <cellStyle name="常规 2 4 2 2 3 3 5" xfId="182"/>
    <cellStyle name="常规 2 4 2 2 3 3 5 2" xfId="407"/>
    <cellStyle name="常规 2 4 2 2 3 3 5 3" xfId="606"/>
    <cellStyle name="常规 2 4 2 2 3 3 6" xfId="183"/>
    <cellStyle name="常规 2 4 2 2 3 3 6 2" xfId="408"/>
    <cellStyle name="常规 2 4 2 2 3 3 6 3" xfId="607"/>
    <cellStyle name="常规 2 4 2 2 3 3 7" xfId="184"/>
    <cellStyle name="常规 2 4 2 2 3 3 7 2" xfId="409"/>
    <cellStyle name="常规 2 4 2 2 3 3 7 3" xfId="608"/>
    <cellStyle name="常规 2 4 2 2 3 3 8" xfId="185"/>
    <cellStyle name="常规 2 4 2 2 3 3 8 2" xfId="410"/>
    <cellStyle name="常规 2 4 2 2 3 3 8 3" xfId="609"/>
    <cellStyle name="常规 2 4 2 2 3 3 9" xfId="186"/>
    <cellStyle name="常规 2 4 2 2 3 3 9 2" xfId="411"/>
    <cellStyle name="常规 2 4 2 2 3 4" xfId="399"/>
    <cellStyle name="常规 2 4 2 2 3 5" xfId="598"/>
    <cellStyle name="常规 2 4 2 2 4" xfId="397"/>
    <cellStyle name="常规 2 4 2 2 5" xfId="596"/>
    <cellStyle name="常规 2 4 2 3" xfId="187"/>
    <cellStyle name="常规 2 4 2 3 2" xfId="188"/>
    <cellStyle name="常规 2 4 2 3 2 2" xfId="413"/>
    <cellStyle name="常规 2 4 2 3 2 3" xfId="611"/>
    <cellStyle name="常规 2 4 2 3 3" xfId="412"/>
    <cellStyle name="常规 2 4 2 3 4" xfId="610"/>
    <cellStyle name="常规 2 4 2 4" xfId="396"/>
    <cellStyle name="常规 2 4 2 5" xfId="595"/>
    <cellStyle name="常规 2 4 3" xfId="395"/>
    <cellStyle name="常规 2 4 4" xfId="594"/>
    <cellStyle name="常规 2 5" xfId="189"/>
    <cellStyle name="常规 2 5 10" xfId="612"/>
    <cellStyle name="常规 2 5 2" xfId="190"/>
    <cellStyle name="常规 2 5 2 2" xfId="415"/>
    <cellStyle name="常规 2 5 2 3" xfId="613"/>
    <cellStyle name="常规 2 5 3" xfId="191"/>
    <cellStyle name="常规 2 5 3 2" xfId="416"/>
    <cellStyle name="常规 2 5 3 3" xfId="614"/>
    <cellStyle name="常规 2 5 4" xfId="192"/>
    <cellStyle name="常规 2 5 4 2" xfId="417"/>
    <cellStyle name="常规 2 5 4 3" xfId="615"/>
    <cellStyle name="常规 2 5 5" xfId="193"/>
    <cellStyle name="常规 2 5 5 2" xfId="418"/>
    <cellStyle name="常规 2 5 5 3" xfId="616"/>
    <cellStyle name="常规 2 5 6" xfId="194"/>
    <cellStyle name="常规 2 5 6 2" xfId="419"/>
    <cellStyle name="常规 2 5 7" xfId="195"/>
    <cellStyle name="常规 2 5 7 2" xfId="420"/>
    <cellStyle name="常规 2 5 7 3" xfId="617"/>
    <cellStyle name="常规 2 5 8" xfId="196"/>
    <cellStyle name="常规 2 5 8 2" xfId="421"/>
    <cellStyle name="常规 2 5 9" xfId="414"/>
    <cellStyle name="常规 2 6" xfId="197"/>
    <cellStyle name="常规 2 6 2" xfId="422"/>
    <cellStyle name="常规 2 6 3" xfId="618"/>
    <cellStyle name="常规 2 7" xfId="198"/>
    <cellStyle name="常规 2 7 2" xfId="199"/>
    <cellStyle name="常规 2 7 2 2" xfId="424"/>
    <cellStyle name="常规 2 7 2 3" xfId="620"/>
    <cellStyle name="常规 2 7 3" xfId="200"/>
    <cellStyle name="常规 2 7 3 2" xfId="425"/>
    <cellStyle name="常规 2 7 4" xfId="423"/>
    <cellStyle name="常规 2 7 5" xfId="619"/>
    <cellStyle name="常规 2 8" xfId="201"/>
    <cellStyle name="常规 2 8 2" xfId="202"/>
    <cellStyle name="常规 2 8 2 2" xfId="427"/>
    <cellStyle name="常规 2 8 2 3" xfId="622"/>
    <cellStyle name="常规 2 8 3" xfId="203"/>
    <cellStyle name="常规 2 8 3 2" xfId="428"/>
    <cellStyle name="常规 2 8 4" xfId="426"/>
    <cellStyle name="常规 2 8 5" xfId="621"/>
    <cellStyle name="常规 2 9" xfId="204"/>
    <cellStyle name="常规 2 9 2" xfId="429"/>
    <cellStyle name="常规 2 9 3" xfId="623"/>
    <cellStyle name="常规 20" xfId="62"/>
    <cellStyle name="常规 20 2" xfId="205"/>
    <cellStyle name="常规 20 3" xfId="430"/>
    <cellStyle name="常规 20 4" xfId="624"/>
    <cellStyle name="常规 21" xfId="63"/>
    <cellStyle name="常规 21 2" xfId="206"/>
    <cellStyle name="常规 21 3" xfId="431"/>
    <cellStyle name="常规 21 4" xfId="625"/>
    <cellStyle name="常规 22" xfId="64"/>
    <cellStyle name="常规 22 2" xfId="207"/>
    <cellStyle name="常规 22 3" xfId="432"/>
    <cellStyle name="常规 22 4" xfId="626"/>
    <cellStyle name="常规 23" xfId="65"/>
    <cellStyle name="常规 23 2" xfId="208"/>
    <cellStyle name="常规 23 3" xfId="433"/>
    <cellStyle name="常规 23 4" xfId="627"/>
    <cellStyle name="常规 24" xfId="66"/>
    <cellStyle name="常规 24 2" xfId="209"/>
    <cellStyle name="常规 24 3" xfId="434"/>
    <cellStyle name="常规 25" xfId="67"/>
    <cellStyle name="常规 25 2" xfId="210"/>
    <cellStyle name="常规 25 3" xfId="435"/>
    <cellStyle name="常规 25 4" xfId="628"/>
    <cellStyle name="常规 26" xfId="68"/>
    <cellStyle name="常规 26 2" xfId="211"/>
    <cellStyle name="常规 26 3" xfId="436"/>
    <cellStyle name="常规 26 4" xfId="629"/>
    <cellStyle name="常规 27" xfId="69"/>
    <cellStyle name="常规 27 2" xfId="212"/>
    <cellStyle name="常规 27 3" xfId="437"/>
    <cellStyle name="常规 27 4" xfId="630"/>
    <cellStyle name="常规 28" xfId="70"/>
    <cellStyle name="常规 28 2" xfId="122"/>
    <cellStyle name="常规 28 3" xfId="347"/>
    <cellStyle name="常规 28 4" xfId="549"/>
    <cellStyle name="常规 29" xfId="71"/>
    <cellStyle name="常规 3" xfId="2"/>
    <cellStyle name="常规 3 10" xfId="37"/>
    <cellStyle name="常规 3 2" xfId="3"/>
    <cellStyle name="常规 3 2 2" xfId="215"/>
    <cellStyle name="常规 3 2 2 2" xfId="440"/>
    <cellStyle name="常规 3 2 2 3" xfId="633"/>
    <cellStyle name="常规 3 2 3" xfId="214"/>
    <cellStyle name="常规 3 2 4" xfId="439"/>
    <cellStyle name="常规 3 2 5" xfId="632"/>
    <cellStyle name="常规 3 2 6" xfId="40"/>
    <cellStyle name="常规 3 3" xfId="216"/>
    <cellStyle name="常规 3 3 2" xfId="441"/>
    <cellStyle name="常规 3 3 3" xfId="634"/>
    <cellStyle name="常规 3 4" xfId="217"/>
    <cellStyle name="常规 3 4 2" xfId="442"/>
    <cellStyle name="常规 3 4 3" xfId="635"/>
    <cellStyle name="常规 3 5" xfId="218"/>
    <cellStyle name="常规 3 5 2" xfId="443"/>
    <cellStyle name="常规 3 6" xfId="219"/>
    <cellStyle name="常规 3 6 2" xfId="444"/>
    <cellStyle name="常规 3 6 3" xfId="636"/>
    <cellStyle name="常规 3 7" xfId="213"/>
    <cellStyle name="常规 3 7 2" xfId="438"/>
    <cellStyle name="常规 3 7 3" xfId="631"/>
    <cellStyle name="常规 3 8" xfId="105"/>
    <cellStyle name="常规 3 9" xfId="331"/>
    <cellStyle name="常规 30" xfId="72"/>
    <cellStyle name="常规 31" xfId="73"/>
    <cellStyle name="常规 32" xfId="74"/>
    <cellStyle name="常规 33" xfId="75"/>
    <cellStyle name="常规 34" xfId="76"/>
    <cellStyle name="常规 35" xfId="77"/>
    <cellStyle name="常规 36" xfId="78"/>
    <cellStyle name="常规 37" xfId="79"/>
    <cellStyle name="常规 38" xfId="80"/>
    <cellStyle name="常规 39" xfId="81"/>
    <cellStyle name="常规 39 2" xfId="220"/>
    <cellStyle name="常规 39 3" xfId="445"/>
    <cellStyle name="常规 39 4" xfId="637"/>
    <cellStyle name="常规 4" xfId="4"/>
    <cellStyle name="常规 4 2" xfId="222"/>
    <cellStyle name="常规 4 2 2" xfId="447"/>
    <cellStyle name="常规 4 2 3" xfId="638"/>
    <cellStyle name="常规 4 3" xfId="221"/>
    <cellStyle name="常规 4 3 2" xfId="446"/>
    <cellStyle name="常规 4 4" xfId="108"/>
    <cellStyle name="常规 4 5" xfId="333"/>
    <cellStyle name="常规 4 6" xfId="41"/>
    <cellStyle name="常规 40" xfId="82"/>
    <cellStyle name="常规 41" xfId="30"/>
    <cellStyle name="常规 42" xfId="34"/>
    <cellStyle name="常规 43" xfId="85"/>
    <cellStyle name="常规 44" xfId="95"/>
    <cellStyle name="常规 45" xfId="87"/>
    <cellStyle name="常规 46" xfId="93"/>
    <cellStyle name="常规 47" xfId="89"/>
    <cellStyle name="常规 48" xfId="92"/>
    <cellStyle name="常规 49" xfId="90"/>
    <cellStyle name="常规 5" xfId="5"/>
    <cellStyle name="常规 5 2" xfId="224"/>
    <cellStyle name="常规 5 2 2" xfId="225"/>
    <cellStyle name="常规 5 2 2 2" xfId="226"/>
    <cellStyle name="常规 5 2 2 2 2" xfId="227"/>
    <cellStyle name="常规 5 2 2 2 2 2" xfId="452"/>
    <cellStyle name="常规 5 2 2 2 2 3" xfId="643"/>
    <cellStyle name="常规 5 2 2 2 3" xfId="228"/>
    <cellStyle name="常规 5 2 2 2 3 2" xfId="229"/>
    <cellStyle name="常规 5 2 2 2 3 2 2" xfId="454"/>
    <cellStyle name="常规 5 2 2 2 3 2 3" xfId="645"/>
    <cellStyle name="常规 5 2 2 2 3 3" xfId="230"/>
    <cellStyle name="常规 5 2 2 2 3 3 2" xfId="455"/>
    <cellStyle name="常规 5 2 2 2 3 3 3" xfId="646"/>
    <cellStyle name="常规 5 2 2 2 3 4" xfId="231"/>
    <cellStyle name="常规 5 2 2 2 3 4 2" xfId="232"/>
    <cellStyle name="常规 5 2 2 2 3 4 2 2" xfId="233"/>
    <cellStyle name="常规 5 2 2 2 3 4 2 2 2" xfId="458"/>
    <cellStyle name="常规 5 2 2 2 3 4 2 2 3" xfId="649"/>
    <cellStyle name="常规 5 2 2 2 3 4 2 3" xfId="457"/>
    <cellStyle name="常规 5 2 2 2 3 4 2 4" xfId="648"/>
    <cellStyle name="常规 5 2 2 2 3 4 3" xfId="456"/>
    <cellStyle name="常规 5 2 2 2 3 4 4" xfId="647"/>
    <cellStyle name="常规 5 2 2 2 3 5" xfId="453"/>
    <cellStyle name="常规 5 2 2 2 3 6" xfId="644"/>
    <cellStyle name="常规 5 2 2 2 4" xfId="451"/>
    <cellStyle name="常规 5 2 2 2 5" xfId="642"/>
    <cellStyle name="常规 5 2 2 3" xfId="450"/>
    <cellStyle name="常规 5 2 2 4" xfId="641"/>
    <cellStyle name="常规 5 2 3" xfId="234"/>
    <cellStyle name="常规 5 2 3 2" xfId="459"/>
    <cellStyle name="常规 5 2 3 3" xfId="650"/>
    <cellStyle name="常规 5 2 4" xfId="235"/>
    <cellStyle name="常规 5 2 4 2" xfId="460"/>
    <cellStyle name="常规 5 2 4 3" xfId="651"/>
    <cellStyle name="常规 5 2 5" xfId="449"/>
    <cellStyle name="常规 5 2 6" xfId="640"/>
    <cellStyle name="常规 5 3" xfId="236"/>
    <cellStyle name="常规 5 3 2" xfId="461"/>
    <cellStyle name="常规 5 3 3" xfId="652"/>
    <cellStyle name="常规 5 4" xfId="223"/>
    <cellStyle name="常规 5 4 2" xfId="448"/>
    <cellStyle name="常规 5 4 3" xfId="639"/>
    <cellStyle name="常规 5 5" xfId="109"/>
    <cellStyle name="常规 5 6" xfId="334"/>
    <cellStyle name="常规 5 7" xfId="31"/>
    <cellStyle name="常规 50" xfId="91"/>
    <cellStyle name="常规 51" xfId="83"/>
    <cellStyle name="常规 52" xfId="84"/>
    <cellStyle name="常规 53" xfId="96"/>
    <cellStyle name="常规 54" xfId="86"/>
    <cellStyle name="常规 55" xfId="94"/>
    <cellStyle name="常规 56" xfId="88"/>
    <cellStyle name="常规 57" xfId="26"/>
    <cellStyle name="常规 58" xfId="97"/>
    <cellStyle name="常规 59" xfId="98"/>
    <cellStyle name="常规 6" xfId="6"/>
    <cellStyle name="常规 6 2" xfId="9"/>
    <cellStyle name="常规 6 2 2" xfId="16"/>
    <cellStyle name="常规 6 2 2 2" xfId="463"/>
    <cellStyle name="常规 6 2 3" xfId="13"/>
    <cellStyle name="常规 6 2 3 2" xfId="654"/>
    <cellStyle name="常规 6 2 4" xfId="238"/>
    <cellStyle name="常规 6 3" xfId="239"/>
    <cellStyle name="常规 6 3 2" xfId="464"/>
    <cellStyle name="常规 6 3 3" xfId="655"/>
    <cellStyle name="常规 6 4" xfId="237"/>
    <cellStyle name="常规 6 4 2" xfId="462"/>
    <cellStyle name="常规 6 4 3" xfId="653"/>
    <cellStyle name="常规 6 5" xfId="110"/>
    <cellStyle name="常规 6 6" xfId="335"/>
    <cellStyle name="常规 6 7" xfId="38"/>
    <cellStyle name="常规 60" xfId="99"/>
    <cellStyle name="常规 61" xfId="100"/>
    <cellStyle name="常规 62" xfId="101"/>
    <cellStyle name="常规 63" xfId="102"/>
    <cellStyle name="常规 64" xfId="106"/>
    <cellStyle name="常规 65" xfId="324"/>
    <cellStyle name="常规 66" xfId="325"/>
    <cellStyle name="常规 67" xfId="326"/>
    <cellStyle name="常规 68" xfId="327"/>
    <cellStyle name="常规 69" xfId="328"/>
    <cellStyle name="常规 7" xfId="7"/>
    <cellStyle name="常规 7 2" xfId="241"/>
    <cellStyle name="常规 7 2 2" xfId="466"/>
    <cellStyle name="常规 7 2 3" xfId="657"/>
    <cellStyle name="常规 7 3" xfId="240"/>
    <cellStyle name="常规 7 3 2" xfId="465"/>
    <cellStyle name="常规 7 3 3" xfId="656"/>
    <cellStyle name="常规 7 4" xfId="111"/>
    <cellStyle name="常规 7 5" xfId="336"/>
    <cellStyle name="常规 7 6" xfId="42"/>
    <cellStyle name="常规 70" xfId="527"/>
    <cellStyle name="常规 71" xfId="20"/>
    <cellStyle name="常规 8" xfId="11"/>
    <cellStyle name="常规 8 2" xfId="242"/>
    <cellStyle name="常规 8 2 2" xfId="467"/>
    <cellStyle name="常规 8 2 3" xfId="658"/>
    <cellStyle name="常规 8 3" xfId="112"/>
    <cellStyle name="常规 8 4" xfId="337"/>
    <cellStyle name="常规 8 5" xfId="46"/>
    <cellStyle name="常规 9" xfId="12"/>
    <cellStyle name="常规 9 2" xfId="243"/>
    <cellStyle name="常规 9 2 2" xfId="468"/>
    <cellStyle name="常规 9 2 3" xfId="659"/>
    <cellStyle name="常规 9 3" xfId="113"/>
    <cellStyle name="常规 9 4" xfId="338"/>
    <cellStyle name="常规 9 5" xfId="51"/>
    <cellStyle name="酬" xfId="244"/>
    <cellStyle name="酬 2" xfId="469"/>
    <cellStyle name="酬 3" xfId="660"/>
    <cellStyle name="豟孥芘" xfId="245"/>
    <cellStyle name="豟孥芘 2" xfId="470"/>
    <cellStyle name="豟孥芘 3" xfId="661"/>
    <cellStyle name="好_明细" xfId="246"/>
    <cellStyle name="好_明细 2" xfId="247"/>
    <cellStyle name="好_明细 2 2" xfId="472"/>
    <cellStyle name="好_明细 2 3" xfId="663"/>
    <cellStyle name="好_明细 3" xfId="471"/>
    <cellStyle name="好_明细 4" xfId="662"/>
    <cellStyle name="货币" xfId="19" builtinId="4"/>
    <cellStyle name="箋" xfId="248"/>
    <cellStyle name="箋 2" xfId="473"/>
    <cellStyle name="箋 3" xfId="664"/>
    <cellStyle name="冏" xfId="249"/>
    <cellStyle name="冏 2" xfId="474"/>
    <cellStyle name="冏 3" xfId="665"/>
    <cellStyle name="普通" xfId="250"/>
    <cellStyle name="普通 2" xfId="475"/>
    <cellStyle name="普通 3" xfId="666"/>
    <cellStyle name="千位分隔 10" xfId="251"/>
    <cellStyle name="千位分隔 10 2" xfId="476"/>
    <cellStyle name="千位分隔 11" xfId="24"/>
    <cellStyle name="千位分隔 2" xfId="22"/>
    <cellStyle name="千位分隔 2 10" xfId="252"/>
    <cellStyle name="千位分隔 2 10 2" xfId="477"/>
    <cellStyle name="千位分隔 2 2" xfId="45"/>
    <cellStyle name="千位分隔 2 2 2" xfId="254"/>
    <cellStyle name="千位分隔 2 2 2 2" xfId="255"/>
    <cellStyle name="千位分隔 2 2 2 2 2" xfId="480"/>
    <cellStyle name="千位分隔 2 2 2 3" xfId="479"/>
    <cellStyle name="千位分隔 2 2 3" xfId="256"/>
    <cellStyle name="千位分隔 2 2 3 2" xfId="481"/>
    <cellStyle name="千位分隔 2 2 4" xfId="257"/>
    <cellStyle name="千位分隔 2 2 4 2" xfId="482"/>
    <cellStyle name="千位分隔 2 2 5" xfId="253"/>
    <cellStyle name="千位分隔 2 2 6" xfId="478"/>
    <cellStyle name="千位分隔 2 3" xfId="48"/>
    <cellStyle name="千位分隔 2 3 2" xfId="259"/>
    <cellStyle name="千位分隔 2 3 2 2" xfId="484"/>
    <cellStyle name="千位分隔 2 3 3" xfId="258"/>
    <cellStyle name="千位分隔 2 3 4" xfId="483"/>
    <cellStyle name="千位分隔 2 4" xfId="33"/>
    <cellStyle name="千位分隔 2 4 2" xfId="260"/>
    <cellStyle name="千位分隔 2 4 3" xfId="485"/>
    <cellStyle name="千位分隔 2 5" xfId="261"/>
    <cellStyle name="千位分隔 2 5 2" xfId="486"/>
    <cellStyle name="千位分隔 2 6" xfId="262"/>
    <cellStyle name="千位分隔 2 6 2" xfId="487"/>
    <cellStyle name="千位分隔 2 7" xfId="263"/>
    <cellStyle name="千位分隔 2 7 2" xfId="488"/>
    <cellStyle name="千位分隔 2 8" xfId="264"/>
    <cellStyle name="千位分隔 2 8 2" xfId="489"/>
    <cellStyle name="千位分隔 2 9" xfId="265"/>
    <cellStyle name="千位分隔 2 9 2" xfId="490"/>
    <cellStyle name="千位分隔 3" xfId="43"/>
    <cellStyle name="千位分隔 3 2" xfId="267"/>
    <cellStyle name="千位分隔 3 2 2" xfId="492"/>
    <cellStyle name="千位分隔 3 3" xfId="268"/>
    <cellStyle name="千位分隔 3 3 2" xfId="493"/>
    <cellStyle name="千位分隔 3 4" xfId="266"/>
    <cellStyle name="千位分隔 3 5" xfId="491"/>
    <cellStyle name="千位分隔 4" xfId="29"/>
    <cellStyle name="千位分隔 4 2" xfId="270"/>
    <cellStyle name="千位分隔 4 2 2" xfId="495"/>
    <cellStyle name="千位分隔 4 3" xfId="271"/>
    <cellStyle name="千位分隔 4 3 2" xfId="496"/>
    <cellStyle name="千位分隔 4 4" xfId="269"/>
    <cellStyle name="千位分隔 4 5" xfId="494"/>
    <cellStyle name="千位分隔 5" xfId="39"/>
    <cellStyle name="千位分隔 5 2" xfId="273"/>
    <cellStyle name="千位分隔 5 2 2" xfId="498"/>
    <cellStyle name="千位分隔 5 3" xfId="272"/>
    <cellStyle name="千位分隔 5 4" xfId="497"/>
    <cellStyle name="千位分隔 6" xfId="274"/>
    <cellStyle name="千位分隔 6 2" xfId="275"/>
    <cellStyle name="千位分隔 6 2 2" xfId="500"/>
    <cellStyle name="千位分隔 6 3" xfId="499"/>
    <cellStyle name="千位分隔 7" xfId="276"/>
    <cellStyle name="千位分隔 7 2" xfId="501"/>
    <cellStyle name="千位分隔 8" xfId="277"/>
    <cellStyle name="千位分隔 8 2" xfId="502"/>
    <cellStyle name="千位分隔 9" xfId="278"/>
    <cellStyle name="千位分隔 9 2" xfId="503"/>
    <cellStyle name="千位分隔[0] 2" xfId="23"/>
    <cellStyle name="千位分隔[0] 2 2" xfId="49"/>
    <cellStyle name="千位分隔[0] 2 2 2" xfId="281"/>
    <cellStyle name="千位分隔[0] 2 2 3" xfId="506"/>
    <cellStyle name="千位分隔[0] 2 3" xfId="35"/>
    <cellStyle name="千位分隔[0] 2 3 2" xfId="282"/>
    <cellStyle name="千位分隔[0] 2 3 3" xfId="507"/>
    <cellStyle name="千位分隔[0] 2 4" xfId="283"/>
    <cellStyle name="千位分隔[0] 2 4 2" xfId="508"/>
    <cellStyle name="千位分隔[0] 2 5" xfId="284"/>
    <cellStyle name="千位分隔[0] 2 5 2" xfId="509"/>
    <cellStyle name="千位分隔[0] 2 6" xfId="280"/>
    <cellStyle name="千位分隔[0] 2 6 2" xfId="505"/>
    <cellStyle name="千位分隔[0] 3" xfId="47"/>
    <cellStyle name="千位分隔[0] 3 2" xfId="286"/>
    <cellStyle name="千位分隔[0] 3 2 2" xfId="511"/>
    <cellStyle name="千位分隔[0] 3 3" xfId="287"/>
    <cellStyle name="千位分隔[0] 3 3 2" xfId="512"/>
    <cellStyle name="千位分隔[0] 3 4" xfId="288"/>
    <cellStyle name="千位分隔[0] 3 4 2" xfId="513"/>
    <cellStyle name="千位分隔[0] 3 5" xfId="285"/>
    <cellStyle name="千位分隔[0] 3 6" xfId="510"/>
    <cellStyle name="千位分隔[0] 4" xfId="289"/>
    <cellStyle name="千位分隔[0] 4 2" xfId="290"/>
    <cellStyle name="千位分隔[0] 4 2 2" xfId="515"/>
    <cellStyle name="千位分隔[0] 4 3" xfId="514"/>
    <cellStyle name="千位分隔[0] 5" xfId="291"/>
    <cellStyle name="千位分隔[0] 5 2" xfId="516"/>
    <cellStyle name="千位分隔[0] 6" xfId="292"/>
    <cellStyle name="千位分隔[0] 6 2" xfId="293"/>
    <cellStyle name="千位分隔[0] 6 2 2" xfId="518"/>
    <cellStyle name="千位分隔[0] 6 3" xfId="517"/>
    <cellStyle name="千位分隔[0] 7" xfId="294"/>
    <cellStyle name="千位分隔[0] 7 2" xfId="519"/>
    <cellStyle name="千位分隔[0] 8" xfId="279"/>
    <cellStyle name="千位分隔[0] 8 2" xfId="504"/>
    <cellStyle name="千位分隔[0] 9" xfId="21"/>
    <cellStyle name="掔兓h" xfId="295"/>
    <cellStyle name="掔兓h 2" xfId="520"/>
    <cellStyle name="掔兓h 3" xfId="667"/>
    <cellStyle name="恬" xfId="296"/>
    <cellStyle name="恬 2" xfId="521"/>
    <cellStyle name="恬 3" xfId="668"/>
    <cellStyle name="顨" xfId="297"/>
    <cellStyle name="顨 2" xfId="522"/>
    <cellStyle name="顨 3" xfId="669"/>
    <cellStyle name="杨兓h" xfId="298"/>
    <cellStyle name="杨兓h 2" xfId="523"/>
    <cellStyle name="杨兓h 3" xfId="670"/>
    <cellStyle name="样式 1" xfId="299"/>
    <cellStyle name="样式 1 2" xfId="300"/>
    <cellStyle name="样式 1 2 2" xfId="525"/>
    <cellStyle name="样式 1 3" xfId="301"/>
    <cellStyle name="样式 1 3 2" xfId="526"/>
    <cellStyle name="样式 1 4" xfId="302"/>
    <cellStyle name="样式 1 5" xfId="303"/>
    <cellStyle name="样式 1 5 2" xfId="528"/>
    <cellStyle name="样式 1 5 3" xfId="671"/>
    <cellStyle name="样式 1 6" xfId="524"/>
    <cellStyle name="样式 10" xfId="304"/>
    <cellStyle name="样式 10 2" xfId="529"/>
    <cellStyle name="样式 10 3" xfId="672"/>
    <cellStyle name="样式 11" xfId="305"/>
    <cellStyle name="样式 11 2" xfId="530"/>
    <cellStyle name="样式 11 3" xfId="673"/>
    <cellStyle name="样式 12" xfId="306"/>
    <cellStyle name="样式 12 2" xfId="531"/>
    <cellStyle name="样式 12 3" xfId="674"/>
    <cellStyle name="样式 13" xfId="307"/>
    <cellStyle name="样式 13 2" xfId="532"/>
    <cellStyle name="样式 13 3" xfId="675"/>
    <cellStyle name="样式 14" xfId="308"/>
    <cellStyle name="样式 14 2" xfId="533"/>
    <cellStyle name="样式 14 3" xfId="676"/>
    <cellStyle name="样式 15" xfId="309"/>
    <cellStyle name="样式 15 2" xfId="534"/>
    <cellStyle name="样式 15 3" xfId="677"/>
    <cellStyle name="样式 16" xfId="310"/>
    <cellStyle name="样式 16 2" xfId="535"/>
    <cellStyle name="样式 16 3" xfId="678"/>
    <cellStyle name="样式 17" xfId="311"/>
    <cellStyle name="样式 17 2" xfId="536"/>
    <cellStyle name="样式 17 3" xfId="679"/>
    <cellStyle name="样式 18" xfId="312"/>
    <cellStyle name="样式 18 2" xfId="537"/>
    <cellStyle name="样式 18 3" xfId="680"/>
    <cellStyle name="样式 2" xfId="313"/>
    <cellStyle name="样式 2 2" xfId="538"/>
    <cellStyle name="样式 2 3" xfId="681"/>
    <cellStyle name="样式 3" xfId="314"/>
    <cellStyle name="样式 3 2" xfId="539"/>
    <cellStyle name="样式 3 3" xfId="682"/>
    <cellStyle name="样式 4" xfId="315"/>
    <cellStyle name="样式 4 2" xfId="540"/>
    <cellStyle name="样式 4 3" xfId="683"/>
    <cellStyle name="样式 5" xfId="316"/>
    <cellStyle name="样式 5 2" xfId="541"/>
    <cellStyle name="样式 5 3" xfId="684"/>
    <cellStyle name="样式 6" xfId="317"/>
    <cellStyle name="样式 6 2" xfId="542"/>
    <cellStyle name="样式 6 3" xfId="685"/>
    <cellStyle name="样式 7" xfId="318"/>
    <cellStyle name="样式 7 2" xfId="543"/>
    <cellStyle name="样式 7 3" xfId="686"/>
    <cellStyle name="样式 8" xfId="319"/>
    <cellStyle name="样式 8 2" xfId="544"/>
    <cellStyle name="样式 8 3" xfId="687"/>
    <cellStyle name="样式 9" xfId="320"/>
    <cellStyle name="样式 9 2" xfId="545"/>
    <cellStyle name="样式 9 3" xfId="688"/>
    <cellStyle name="亐" xfId="321"/>
    <cellStyle name="亐 2" xfId="546"/>
    <cellStyle name="亐 3" xfId="689"/>
    <cellStyle name="咋来" xfId="322"/>
    <cellStyle name="咋来 2" xfId="547"/>
    <cellStyle name="咋来 3" xfId="690"/>
    <cellStyle name="醉敠g" xfId="323"/>
    <cellStyle name="醉敠g 2" xfId="548"/>
    <cellStyle name="醉敠g 3" xfId="691"/>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估价对象为北京市房地产，为所有。根据《国有土地使用证》[]，估价对象（分摊）出让国有建设用地使用权面积为22578.39平方米，建筑面积为33133.13平方米。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估价对象为北京市房地产,属开发建设的，该项目尚在开发建设中。根据《国有土地使用证》[]，估价对象（分摊）出让国有建设用地使用权面积为22578.39平方米，规划建筑面积为33133.13平方米。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23656</v>
      </c>
    </row>
    <row r="21" spans="1:2" s="1202" customFormat="1">
      <c r="A21" s="1200" t="s">
        <v>537</v>
      </c>
      <c r="B21" s="1201">
        <f ca="1">'预评函-2'!D7</f>
        <v>7140</v>
      </c>
    </row>
    <row r="22" spans="1:2" s="1202" customFormat="1">
      <c r="A22" s="1200" t="s">
        <v>538</v>
      </c>
      <c r="B22" s="1201" t="str">
        <f ca="1">'预评函-2'!D6</f>
        <v>贰亿叁仟陆佰伍拾陆万元整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23656</v>
      </c>
    </row>
    <row r="31" spans="1:2" s="1202" customFormat="1">
      <c r="A31" s="1200" t="s">
        <v>576</v>
      </c>
      <c r="B31" s="1201">
        <f ca="1">'预评函-2'!D15</f>
        <v>7140</v>
      </c>
    </row>
    <row r="32" spans="1:2" s="1202" customFormat="1">
      <c r="A32" s="1200" t="s">
        <v>543</v>
      </c>
      <c r="B32" s="1201" t="str">
        <f ca="1">'预评函-2'!D14</f>
        <v>贰亿叁仟陆佰伍拾陆万元整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33133.130000000005</v>
      </c>
    </row>
    <row r="44" spans="1:2" s="1202" customFormat="1">
      <c r="A44" s="1200" t="s">
        <v>575</v>
      </c>
      <c r="B44" s="1201" t="str">
        <f>'预评函-3'!C2</f>
        <v>(分摊)土地面积</v>
      </c>
    </row>
    <row r="45" spans="1:2" s="1202" customFormat="1">
      <c r="A45" s="1200" t="s">
        <v>547</v>
      </c>
      <c r="B45" s="1201">
        <f>'预评函-3'!C4</f>
        <v>22578.39</v>
      </c>
    </row>
    <row r="46" spans="1:2" s="1202" customFormat="1">
      <c r="A46" s="1200" t="s">
        <v>573</v>
      </c>
      <c r="B46" s="1201" t="str">
        <f>'预评函-3'!D2</f>
        <v>出让国有建设用地使用权价值</v>
      </c>
    </row>
    <row r="47" spans="1:2" s="1202" customFormat="1">
      <c r="A47" s="1200" t="s">
        <v>548</v>
      </c>
      <c r="B47" s="1201">
        <f ca="1">'预评函-3'!D4</f>
        <v>8540</v>
      </c>
    </row>
    <row r="48" spans="1:2" s="1202" customFormat="1">
      <c r="A48" s="1200" t="s">
        <v>549</v>
      </c>
      <c r="B48" s="1201">
        <f ca="1">'预评函-3'!E4</f>
        <v>2578</v>
      </c>
    </row>
    <row r="49" spans="1:2" s="1202" customFormat="1">
      <c r="A49" s="1200" t="s">
        <v>550</v>
      </c>
      <c r="B49" s="1201" t="str">
        <f ca="1">'预评函-3'!D5</f>
        <v>捌仟伍佰肆拾万元整</v>
      </c>
    </row>
    <row r="50" spans="1:2" s="1202" customFormat="1">
      <c r="A50" s="1200" t="s">
        <v>574</v>
      </c>
      <c r="B50" s="1201" t="str">
        <f>'预评函-3'!F2</f>
        <v>在建建筑物价值</v>
      </c>
    </row>
    <row r="51" spans="1:2" s="1202" customFormat="1">
      <c r="A51" s="1200" t="s">
        <v>551</v>
      </c>
      <c r="B51" s="1201">
        <f ca="1">'预评函-3'!F4</f>
        <v>15116</v>
      </c>
    </row>
    <row r="52" spans="1:2" s="1202" customFormat="1">
      <c r="A52" s="1200" t="s">
        <v>552</v>
      </c>
      <c r="B52" s="1201">
        <f ca="1">'预评函-3'!G4</f>
        <v>4562</v>
      </c>
    </row>
    <row r="53" spans="1:2" s="1202" customFormat="1">
      <c r="A53" s="1200" t="s">
        <v>580</v>
      </c>
      <c r="B53" s="1201" t="str">
        <f ca="1">'预评函-3'!F5</f>
        <v>壹亿伍仟壹佰壹拾陆万元整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3440</v>
      </c>
      <c r="C5" s="1546" t="s">
        <v>318</v>
      </c>
      <c r="F5" s="1547" t="s">
        <v>1015</v>
      </c>
      <c r="G5" s="1547">
        <v>70</v>
      </c>
      <c r="H5" s="1547" t="s">
        <v>1016</v>
      </c>
      <c r="I5" s="1547" t="s">
        <v>3338</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3339</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3340</v>
      </c>
    </row>
    <row r="8" spans="1:23">
      <c r="A8" s="1545" t="s">
        <v>1025</v>
      </c>
      <c r="B8" s="1545" t="s">
        <v>1026</v>
      </c>
      <c r="C8" s="1546" t="s">
        <v>319</v>
      </c>
      <c r="F8" s="1547" t="s">
        <v>1027</v>
      </c>
      <c r="H8" s="1547" t="s">
        <v>2573</v>
      </c>
      <c r="I8" s="1547" t="s">
        <v>3341</v>
      </c>
    </row>
    <row r="9" spans="1:23">
      <c r="A9" s="1545" t="s">
        <v>1028</v>
      </c>
      <c r="B9" s="1545" t="s">
        <v>1029</v>
      </c>
      <c r="C9" s="1546" t="s">
        <v>320</v>
      </c>
      <c r="F9" s="1547" t="s">
        <v>1030</v>
      </c>
      <c r="H9" s="1547"/>
      <c r="I9" s="1550" t="s">
        <v>3342</v>
      </c>
    </row>
    <row r="10" spans="1:23">
      <c r="A10" s="1545" t="s">
        <v>1031</v>
      </c>
      <c r="B10" s="1545" t="s">
        <v>1032</v>
      </c>
      <c r="C10" s="1546" t="s">
        <v>321</v>
      </c>
      <c r="F10" s="1547" t="s">
        <v>2574</v>
      </c>
      <c r="I10" s="1550" t="s">
        <v>3343</v>
      </c>
    </row>
    <row r="11" spans="1:23">
      <c r="A11" s="1545" t="s">
        <v>1033</v>
      </c>
      <c r="B11" s="1545" t="s">
        <v>1034</v>
      </c>
      <c r="C11" s="1546" t="s">
        <v>322</v>
      </c>
      <c r="F11" s="1547" t="s">
        <v>13</v>
      </c>
      <c r="I11" s="1550" t="s">
        <v>3344</v>
      </c>
    </row>
    <row r="12" spans="1:23">
      <c r="A12" s="1545" t="s">
        <v>1035</v>
      </c>
      <c r="B12" s="1545" t="s">
        <v>1036</v>
      </c>
      <c r="C12" s="1546" t="s">
        <v>323</v>
      </c>
      <c r="I12" s="1550" t="s">
        <v>3345</v>
      </c>
    </row>
    <row r="13" spans="1:23">
      <c r="A13" s="1545" t="s">
        <v>1037</v>
      </c>
      <c r="B13" s="1545" t="s">
        <v>1038</v>
      </c>
      <c r="C13" s="1546" t="s">
        <v>324</v>
      </c>
      <c r="I13" s="1550" t="s">
        <v>3346</v>
      </c>
    </row>
    <row r="14" spans="1:23">
      <c r="A14" s="1545" t="s">
        <v>1039</v>
      </c>
      <c r="B14" s="1545" t="s">
        <v>1040</v>
      </c>
      <c r="C14" s="1547" t="s">
        <v>13</v>
      </c>
      <c r="I14" s="1550" t="s">
        <v>3347</v>
      </c>
    </row>
    <row r="15" spans="1:23">
      <c r="A15" s="1545" t="s">
        <v>1041</v>
      </c>
      <c r="B15" s="1545" t="s">
        <v>1042</v>
      </c>
      <c r="C15" s="1546"/>
      <c r="I15" s="1550" t="s">
        <v>3348</v>
      </c>
    </row>
    <row r="16" spans="1:23">
      <c r="A16" s="1545" t="s">
        <v>1043</v>
      </c>
      <c r="B16" s="1545" t="s">
        <v>312</v>
      </c>
      <c r="C16" s="1546"/>
    </row>
    <row r="17" spans="1:3">
      <c r="A17" s="1545" t="s">
        <v>1044</v>
      </c>
      <c r="B17" s="1545" t="s">
        <v>2292</v>
      </c>
      <c r="C17" s="1546"/>
    </row>
    <row r="18" spans="1:3">
      <c r="A18" s="1545" t="s">
        <v>1045</v>
      </c>
      <c r="B18" s="1545" t="s">
        <v>3437</v>
      </c>
      <c r="C18" s="1546"/>
    </row>
    <row r="19" spans="1:3">
      <c r="A19" s="1545" t="s">
        <v>1046</v>
      </c>
      <c r="B19" s="1548" t="s">
        <v>3438</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8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3" t="s">
        <v>385</v>
      </c>
      <c r="C54" s="1550" t="s">
        <v>583</v>
      </c>
    </row>
    <row r="55" spans="1:4">
      <c r="A55" s="3581"/>
      <c r="B55" s="1553" t="s">
        <v>386</v>
      </c>
      <c r="C55" s="1550" t="s">
        <v>584</v>
      </c>
    </row>
    <row r="56" spans="1:4">
      <c r="A56" s="3581"/>
      <c r="B56" s="1553" t="s">
        <v>387</v>
      </c>
      <c r="C56" s="1550" t="s">
        <v>588</v>
      </c>
    </row>
    <row r="57" spans="1:4">
      <c r="A57" s="358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82" t="s">
        <v>2576</v>
      </c>
      <c r="J2" s="3582"/>
      <c r="K2" s="3582"/>
      <c r="L2" s="3582"/>
      <c r="M2" s="3582"/>
      <c r="N2" s="3582"/>
      <c r="O2" s="3582"/>
      <c r="P2" s="3582"/>
      <c r="Q2" s="3582"/>
      <c r="R2" s="3582"/>
    </row>
    <row r="3" spans="1:18">
      <c r="A3" s="3019" t="s">
        <v>2497</v>
      </c>
      <c r="B3" s="3020">
        <f>项目基本情况!D3</f>
        <v>45120</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3.43</v>
      </c>
      <c r="D5" s="3024">
        <f>IF(ISERROR(ROUND(POWER(1+E5,A5-C5)*(POWER(1+E5,C5)-1)/(POWER(1+E5,A5)-1),3)),0,ROUND(POWER(1+E5,A5-C5)*(POWER(1+E5,C5)-1)/(POWER(1+E5,A5)-1),4))</f>
        <v>0.159</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13.44</v>
      </c>
      <c r="D6" s="3024">
        <f>IF(ISERROR(ROUND(POWER(1+E6,A6-C6)*(POWER(1+E6,C6)-1)/(POWER(1+E6,A6)-1),3)),0,ROUND(POWER(1+E6,A6-C6)*(POWER(1+E6,C6)-1)/(POWER(1+E6,A6)-1),4))</f>
        <v>0.4768</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33.46</v>
      </c>
      <c r="D7" s="3024">
        <f>IF(ISERROR(ROUND(POWER(1+E7,A7-C7)*(POWER(1+E7,C7)-1)/(POWER(1+E7,A7)-1),3)),0,ROUND(POWER(1+E7,A7-C7)*(POWER(1+E7,C7)-1)/(POWER(1+E7,A7)-1),4))</f>
        <v>0.78100000000000003</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4.25" thickBot="1">
      <c r="A18" s="3030" t="s">
        <v>2512</v>
      </c>
      <c r="B18" s="3031">
        <f>ROUND(B17*F11/F12,2)</f>
        <v>5541.87</v>
      </c>
      <c r="C18" s="3031">
        <f>ROUND(F11/F12,4)</f>
        <v>1.1521999999999999</v>
      </c>
      <c r="D18" s="3032"/>
      <c r="E18" s="3032"/>
      <c r="F18" s="3033"/>
    </row>
    <row r="19" spans="1:13" ht="14.25" thickBot="1"/>
    <row r="20" spans="1:13" s="3068" customFormat="1" ht="14.2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4.2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7" sqref="H4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83" t="str">
        <f>IF(B10="北京市","北京市",C10)&amp;F10&amp;IF(结果表!G1="在建","出让国有建设用地使用权及在建建筑物",IF(结果表!G1="土地","出让国有建设用地使用权",))&amp;B9&amp;"预评估"</f>
        <v>北京市房地产抵押价值预评估</v>
      </c>
      <c r="C1" s="3584"/>
      <c r="D1" s="3584"/>
      <c r="E1" s="3584"/>
      <c r="F1" s="3584"/>
      <c r="G1" s="3584"/>
      <c r="H1" s="3584"/>
      <c r="I1" s="358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v>45120</v>
      </c>
      <c r="C3" s="2373" t="s">
        <v>2170</v>
      </c>
      <c r="D3" s="2372">
        <f>B3</f>
        <v>45120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3412</v>
      </c>
      <c r="C4" s="2375">
        <f ca="1">SUMIF(注册房地产估价师,B4,估价师及机构信息!B3:B24)</f>
        <v>1419970001</v>
      </c>
      <c r="D4" s="2374" t="s">
        <v>3413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3414</v>
      </c>
      <c r="C8" s="2389"/>
      <c r="D8" s="3586" t="s">
        <v>2176</v>
      </c>
      <c r="E8" s="2390" t="s">
        <v>3415</v>
      </c>
      <c r="F8" s="2391"/>
      <c r="G8" s="2662"/>
      <c r="H8" s="2662"/>
      <c r="I8" s="2662"/>
      <c r="J8" s="2438"/>
      <c r="K8" s="2613"/>
      <c r="L8" s="2612"/>
      <c r="M8" s="2612"/>
      <c r="N8" s="2438"/>
      <c r="O8" s="2449"/>
      <c r="P8" s="2438"/>
      <c r="Q8" s="2438"/>
      <c r="R8" s="2438"/>
    </row>
    <row r="9" spans="1:30" ht="13.5" thickBot="1">
      <c r="A9" s="2392" t="s">
        <v>2177</v>
      </c>
      <c r="B9" s="2393" t="s">
        <v>3415</v>
      </c>
      <c r="C9" s="2394"/>
      <c r="D9" s="3587"/>
      <c r="E9" s="2393"/>
      <c r="F9" s="2395"/>
      <c r="G9" s="2664"/>
      <c r="H9" s="2664"/>
      <c r="I9" s="2664"/>
      <c r="J9" s="2438"/>
      <c r="K9" s="2615"/>
      <c r="L9" s="2612"/>
      <c r="M9" s="2612"/>
      <c r="N9" s="2438"/>
      <c r="O9" s="2449"/>
      <c r="P9" s="2438"/>
      <c r="Q9" s="2438"/>
      <c r="R9" s="2438"/>
    </row>
    <row r="10" spans="1:30" ht="13.5" thickTop="1">
      <c r="A10" s="2396" t="s">
        <v>2178</v>
      </c>
      <c r="B10" s="2397" t="s">
        <v>3416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3417</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2572</v>
      </c>
      <c r="J12" s="3061"/>
      <c r="K12" s="2612"/>
      <c r="L12" s="2612"/>
      <c r="M12" s="2438"/>
      <c r="N12" s="2449"/>
      <c r="O12" s="2438"/>
      <c r="P12" s="2438"/>
      <c r="Q12" s="2438"/>
      <c r="AD12" s="1744"/>
    </row>
    <row r="13" spans="1:30">
      <c r="A13" s="3422" t="s">
        <v>3330</v>
      </c>
      <c r="B13" s="2406" t="s">
        <v>2189</v>
      </c>
      <c r="C13" s="855"/>
      <c r="D13" s="855"/>
      <c r="E13" s="855"/>
      <c r="F13" s="855"/>
      <c r="G13" s="855"/>
      <c r="H13" s="855">
        <v>57314</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19"/>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33.4</v>
      </c>
      <c r="I15" s="2409" t="str">
        <f>IF(A13="出让",IF(I13="","",ROUNDDOWN(MIN((I13-$D$3)/365,I14),2)),I14)</f>
        <v/>
      </c>
      <c r="J15" s="3063"/>
      <c r="K15" s="2450"/>
      <c r="L15" s="2450"/>
      <c r="M15" s="2508"/>
      <c r="N15" s="2450"/>
      <c r="O15" s="2508"/>
      <c r="P15" s="2438"/>
      <c r="Q15" s="2438"/>
      <c r="AD15" s="1744"/>
    </row>
    <row r="16" spans="1:30">
      <c r="A16" s="2399" t="s">
        <v>2192</v>
      </c>
      <c r="B16" s="3593"/>
      <c r="C16" s="3594"/>
      <c r="D16" s="3595"/>
      <c r="E16" s="2412" t="s">
        <v>2193</v>
      </c>
      <c r="F16" s="3596"/>
      <c r="G16" s="3597"/>
      <c r="H16" s="3597"/>
      <c r="I16" s="3598"/>
      <c r="J16" s="2438"/>
      <c r="K16" s="2616"/>
      <c r="L16" s="2450"/>
      <c r="M16" s="2450"/>
      <c r="N16" s="2508"/>
      <c r="O16" s="2450"/>
      <c r="P16" s="2508"/>
      <c r="Q16" s="2438"/>
      <c r="R16" s="2438"/>
    </row>
    <row r="17" spans="1:28">
      <c r="A17" s="312" t="s">
        <v>2194</v>
      </c>
      <c r="B17" s="301" t="s">
        <v>2195</v>
      </c>
      <c r="C17" s="8">
        <f>'数据-汇总表'!E3</f>
        <v>33133.130000000005</v>
      </c>
      <c r="D17" s="2321" t="s">
        <v>2196</v>
      </c>
      <c r="E17" s="3599" t="s">
        <v>2197</v>
      </c>
      <c r="F17" s="3600"/>
      <c r="G17" s="3600"/>
      <c r="H17" s="3600"/>
      <c r="I17" s="360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22578.39</v>
      </c>
      <c r="D18" s="1091" t="s">
        <v>2200</v>
      </c>
      <c r="E18" s="3602" t="s">
        <v>2201</v>
      </c>
      <c r="F18" s="3603"/>
      <c r="G18" s="3603"/>
      <c r="H18" s="3603"/>
      <c r="I18" s="3604"/>
      <c r="J18" s="2438"/>
      <c r="K18" s="2617"/>
      <c r="L18" s="2450"/>
      <c r="M18" s="2450"/>
      <c r="N18" s="2508"/>
      <c r="O18" s="2450"/>
      <c r="P18" s="2508"/>
      <c r="Q18" s="2438"/>
      <c r="R18" s="2438"/>
      <c r="S18" s="2438"/>
      <c r="T18" s="2438"/>
      <c r="U18" s="2438"/>
      <c r="V18" s="2438"/>
    </row>
    <row r="19" spans="1:28" ht="37.5" thickTop="1" thickBot="1">
      <c r="A19" s="326" t="s">
        <v>1054</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89" t="s">
        <v>2205</v>
      </c>
      <c r="C20" s="3590"/>
      <c r="D20" s="3591" t="s">
        <v>2206</v>
      </c>
      <c r="E20" s="3592"/>
      <c r="F20" s="2646" t="s">
        <v>1055</v>
      </c>
      <c r="G20" s="2663"/>
      <c r="H20" s="2663"/>
      <c r="I20" s="2663"/>
      <c r="J20" s="2438"/>
      <c r="K20" s="358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1056</v>
      </c>
      <c r="D21" s="1567" t="s">
        <v>2209</v>
      </c>
      <c r="E21" s="2634" t="s">
        <v>1056</v>
      </c>
      <c r="F21" s="2647"/>
      <c r="G21" s="2663"/>
      <c r="H21" s="2663"/>
      <c r="I21" s="2663"/>
      <c r="J21" s="2438"/>
      <c r="K21" s="358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1057</v>
      </c>
      <c r="D22" s="2662"/>
      <c r="E22" s="2662"/>
      <c r="F22" s="2662"/>
      <c r="G22" s="2663"/>
      <c r="H22" s="2663"/>
      <c r="I22" s="2663"/>
      <c r="J22" s="2438"/>
      <c r="K22" s="358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06" t="s">
        <v>2213</v>
      </c>
      <c r="B27" s="319"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06"/>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06"/>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07"/>
      <c r="B30" s="301" t="s">
        <v>2217</v>
      </c>
      <c r="C30" s="3608"/>
      <c r="D30" s="3609"/>
      <c r="E30" s="2663"/>
      <c r="F30" s="2663"/>
      <c r="G30" s="2663"/>
      <c r="H30" s="2663"/>
      <c r="I30" s="2663"/>
      <c r="J30" s="2438"/>
      <c r="K30" s="2615"/>
      <c r="L30" s="2612"/>
      <c r="M30" s="2612"/>
      <c r="N30" s="2438"/>
      <c r="O30" s="2449"/>
      <c r="P30" s="2438"/>
      <c r="Q30" s="2438"/>
      <c r="R30" s="2438"/>
      <c r="S30" s="2438"/>
      <c r="T30" s="2438"/>
      <c r="U30" s="2438"/>
      <c r="V30" s="2438"/>
    </row>
    <row r="31" spans="1:28">
      <c r="A31" s="3610"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1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1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605" t="s">
        <v>2227</v>
      </c>
      <c r="T34" s="2427" t="str">
        <f>NUMBERSTRING(7-K34,1)&amp;"通"</f>
        <v>七通</v>
      </c>
      <c r="U34" s="2438"/>
      <c r="V34" s="2438"/>
    </row>
    <row r="35" spans="1:30">
      <c r="A35" s="2428"/>
      <c r="B35" s="3612" t="s">
        <v>2228</v>
      </c>
      <c r="C35" s="3612"/>
      <c r="D35" s="3612"/>
      <c r="E35" s="3612"/>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5"/>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2575</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3883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19" sqref="AM19"/>
    </sheetView>
  </sheetViews>
  <sheetFormatPr defaultColWidth="8.875" defaultRowHeight="14.25"/>
  <cols>
    <col min="1" max="1" width="12.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hidden="1" customWidth="1"/>
    <col min="11" max="11" width="11" style="1572" customWidth="1"/>
    <col min="12" max="12" width="9.5" style="1572" hidden="1" customWidth="1"/>
    <col min="13" max="13" width="9.5" style="1572" customWidth="1"/>
    <col min="14"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67">
        <v>39174.637000000002</v>
      </c>
      <c r="B3" s="10">
        <f>IF(C3="否",G5-AT5,G5)</f>
        <v>57487.640000000007</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1070</v>
      </c>
      <c r="B5" s="1346"/>
      <c r="C5" s="1346"/>
      <c r="D5" s="1348"/>
      <c r="E5" s="12" t="s">
        <v>0</v>
      </c>
      <c r="F5" s="12">
        <f>SUM(F13:F587)</f>
        <v>0</v>
      </c>
      <c r="G5" s="12">
        <f>SUM(G13:G587)</f>
        <v>57487.640000000007</v>
      </c>
      <c r="H5" s="12">
        <f t="shared" ref="H5:AT5" si="0">SUM(H13:H656)</f>
        <v>56340.160000000003</v>
      </c>
      <c r="I5" s="12">
        <f t="shared" si="0"/>
        <v>39359.5</v>
      </c>
      <c r="J5" s="12">
        <f t="shared" si="0"/>
        <v>0</v>
      </c>
      <c r="K5" s="12">
        <f t="shared" si="0"/>
        <v>5814.57</v>
      </c>
      <c r="L5" s="12">
        <f t="shared" si="0"/>
        <v>0</v>
      </c>
      <c r="M5" s="12">
        <f t="shared" si="0"/>
        <v>11166.090000000002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1147.48</v>
      </c>
      <c r="AD5" s="12">
        <f t="shared" si="0"/>
        <v>0</v>
      </c>
      <c r="AE5" s="12">
        <f t="shared" si="0"/>
        <v>0</v>
      </c>
      <c r="AF5" s="12">
        <f t="shared" si="0"/>
        <v>0</v>
      </c>
      <c r="AG5" s="12">
        <f t="shared" si="0"/>
        <v>0</v>
      </c>
      <c r="AH5" s="12">
        <f t="shared" si="0"/>
        <v>0</v>
      </c>
      <c r="AI5" s="12">
        <f t="shared" si="0"/>
        <v>0</v>
      </c>
      <c r="AJ5" s="12">
        <f t="shared" si="0"/>
        <v>0</v>
      </c>
      <c r="AK5" s="12">
        <f t="shared" si="0"/>
        <v>0</v>
      </c>
      <c r="AL5" s="12">
        <f t="shared" si="0"/>
        <v>1008.09</v>
      </c>
      <c r="AM5" s="12">
        <f t="shared" si="0"/>
        <v>0</v>
      </c>
      <c r="AN5" s="12">
        <f t="shared" si="0"/>
        <v>139.38999999999999</v>
      </c>
      <c r="AO5" s="12">
        <f t="shared" si="0"/>
        <v>0</v>
      </c>
      <c r="AP5" s="12">
        <f t="shared" si="0"/>
        <v>0</v>
      </c>
      <c r="AQ5" s="12">
        <f t="shared" si="0"/>
        <v>0</v>
      </c>
      <c r="AR5" s="12">
        <f t="shared" si="0"/>
        <v>0</v>
      </c>
      <c r="AS5" s="12">
        <f t="shared" si="0"/>
        <v>0</v>
      </c>
      <c r="AT5" s="12">
        <f t="shared" si="0"/>
        <v>0</v>
      </c>
      <c r="AU5" s="1345"/>
      <c r="AV5" s="11" t="s">
        <v>1070</v>
      </c>
      <c r="AW5" s="1346"/>
      <c r="AX5" s="1346"/>
      <c r="AY5" s="13" t="s">
        <v>2</v>
      </c>
      <c r="AZ5" s="14">
        <f t="shared" ref="AZ5:BT5" si="1">SUM(AZ13:AZ656)</f>
        <v>33133.130000000005</v>
      </c>
      <c r="BA5" s="14">
        <f t="shared" si="1"/>
        <v>32127.65</v>
      </c>
      <c r="BB5" s="14">
        <f t="shared" si="1"/>
        <v>22812.639999999999</v>
      </c>
      <c r="BC5" s="14">
        <f t="shared" si="1"/>
        <v>5814.57</v>
      </c>
      <c r="BD5" s="14">
        <f t="shared" si="1"/>
        <v>3500.4400000000023</v>
      </c>
      <c r="BE5" s="14">
        <f t="shared" si="1"/>
        <v>0</v>
      </c>
      <c r="BF5" s="14">
        <f t="shared" si="1"/>
        <v>0</v>
      </c>
      <c r="BG5" s="14">
        <f t="shared" si="1"/>
        <v>0</v>
      </c>
      <c r="BH5" s="14">
        <f t="shared" si="1"/>
        <v>0</v>
      </c>
      <c r="BI5" s="14">
        <f t="shared" si="1"/>
        <v>0</v>
      </c>
      <c r="BJ5" s="14">
        <f t="shared" si="1"/>
        <v>0</v>
      </c>
      <c r="BK5" s="14">
        <f t="shared" si="1"/>
        <v>0</v>
      </c>
      <c r="BL5" s="14">
        <f t="shared" si="1"/>
        <v>1005.48</v>
      </c>
      <c r="BM5" s="14">
        <f t="shared" si="1"/>
        <v>0</v>
      </c>
      <c r="BN5" s="14">
        <f t="shared" si="1"/>
        <v>0</v>
      </c>
      <c r="BO5" s="14">
        <f t="shared" si="1"/>
        <v>0</v>
      </c>
      <c r="BP5" s="14">
        <f t="shared" si="1"/>
        <v>0</v>
      </c>
      <c r="BQ5" s="14">
        <f t="shared" si="1"/>
        <v>866.09</v>
      </c>
      <c r="BR5" s="14">
        <f t="shared" si="1"/>
        <v>139.38999999999999</v>
      </c>
      <c r="BS5" s="14">
        <f t="shared" si="1"/>
        <v>0</v>
      </c>
      <c r="BT5" s="15">
        <f t="shared" si="1"/>
        <v>0</v>
      </c>
    </row>
    <row r="6" spans="1:72" s="1588" customFormat="1" ht="12.75">
      <c r="A6" s="11" t="s">
        <v>1071</v>
      </c>
      <c r="B6" s="1585"/>
      <c r="C6" s="1585"/>
      <c r="D6" s="1586"/>
      <c r="E6" s="12">
        <f>H6+AC6+AT6</f>
        <v>39174.649999999994</v>
      </c>
      <c r="F6" s="12" t="s">
        <v>0</v>
      </c>
      <c r="G6" s="12" t="s">
        <v>1</v>
      </c>
      <c r="H6" s="16">
        <f>SUMIF(I$12:AB$12,"总值",I6:AB6)</f>
        <v>38392.699999999997</v>
      </c>
      <c r="I6" s="12">
        <f t="shared" ref="I6:AB6" si="2">ROUND($A$3*I5/$B$3,2)</f>
        <v>26821.32</v>
      </c>
      <c r="J6" s="12">
        <f t="shared" si="2"/>
        <v>0</v>
      </c>
      <c r="K6" s="12">
        <f t="shared" si="2"/>
        <v>3962.31</v>
      </c>
      <c r="L6" s="12">
        <f t="shared" si="2"/>
        <v>0</v>
      </c>
      <c r="M6" s="12">
        <f t="shared" si="2"/>
        <v>7609.07</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781.95</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686.96</v>
      </c>
      <c r="AM6" s="12">
        <f t="shared" si="3"/>
        <v>0</v>
      </c>
      <c r="AN6" s="12">
        <f t="shared" si="3"/>
        <v>94.99</v>
      </c>
      <c r="AO6" s="12">
        <f t="shared" si="3"/>
        <v>0</v>
      </c>
      <c r="AP6" s="12">
        <f t="shared" si="3"/>
        <v>0</v>
      </c>
      <c r="AQ6" s="12">
        <f t="shared" si="3"/>
        <v>0</v>
      </c>
      <c r="AR6" s="12">
        <f t="shared" si="3"/>
        <v>0</v>
      </c>
      <c r="AS6" s="12">
        <f t="shared" si="3"/>
        <v>0</v>
      </c>
      <c r="AT6" s="16">
        <f>IF(C3="是",ROUND($A$3*AT5/$B$3,2),0)</f>
        <v>0</v>
      </c>
      <c r="AU6" s="1587"/>
      <c r="AV6" s="11" t="s">
        <v>1071</v>
      </c>
      <c r="AW6" s="1585"/>
      <c r="AX6" s="1585"/>
      <c r="AY6" s="17">
        <f>IF(AY3&gt;0,AY3,ROUND($A$3*AZ5/$B$3,2))</f>
        <v>22578.39</v>
      </c>
      <c r="AZ6" s="12" t="s">
        <v>2</v>
      </c>
      <c r="BA6" s="12">
        <f>ROUND($AY$6*BA5/$AZ$5,2)</f>
        <v>21893.21</v>
      </c>
      <c r="BB6" s="12">
        <f>ROUND($AY$6*BB5/$AZ$5,2)</f>
        <v>15545.55</v>
      </c>
      <c r="BC6" s="12">
        <f t="shared" ref="BC6:BH6" si="4">ROUND($AY$6*BC5/$AZ$5,2)</f>
        <v>3962.31</v>
      </c>
      <c r="BD6" s="12">
        <f t="shared" si="4"/>
        <v>2385.36</v>
      </c>
      <c r="BE6" s="12">
        <f t="shared" si="4"/>
        <v>0</v>
      </c>
      <c r="BF6" s="12">
        <f t="shared" si="4"/>
        <v>0</v>
      </c>
      <c r="BG6" s="12">
        <f t="shared" si="4"/>
        <v>0</v>
      </c>
      <c r="BH6" s="12">
        <f t="shared" si="4"/>
        <v>0</v>
      </c>
      <c r="BI6" s="12">
        <f t="shared" ref="BI6:BT6" si="5">ROUND($AY$6*BI5/$AZ$5,2)</f>
        <v>0</v>
      </c>
      <c r="BJ6" s="12">
        <f t="shared" si="5"/>
        <v>0</v>
      </c>
      <c r="BK6" s="12">
        <f t="shared" si="5"/>
        <v>0</v>
      </c>
      <c r="BL6" s="12">
        <f t="shared" si="5"/>
        <v>685.18</v>
      </c>
      <c r="BM6" s="12">
        <f t="shared" si="5"/>
        <v>0</v>
      </c>
      <c r="BN6" s="12">
        <f t="shared" si="5"/>
        <v>0</v>
      </c>
      <c r="BO6" s="12">
        <f t="shared" si="5"/>
        <v>0</v>
      </c>
      <c r="BP6" s="12">
        <f t="shared" si="5"/>
        <v>0</v>
      </c>
      <c r="BQ6" s="12">
        <f t="shared" si="5"/>
        <v>590.19000000000005</v>
      </c>
      <c r="BR6" s="12">
        <f t="shared" si="5"/>
        <v>94.99</v>
      </c>
      <c r="BS6" s="12">
        <f t="shared" si="5"/>
        <v>0</v>
      </c>
      <c r="BT6" s="18">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19" t="s">
        <v>1080</v>
      </c>
      <c r="AW7" s="1577" t="s">
        <v>1081</v>
      </c>
      <c r="AX7" s="19"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1090</v>
      </c>
      <c r="I9" s="1602" t="s">
        <v>3425</v>
      </c>
      <c r="J9" s="808"/>
      <c r="K9" s="1602" t="s">
        <v>3425</v>
      </c>
      <c r="L9" s="808"/>
      <c r="M9" s="1602" t="s">
        <v>3428</v>
      </c>
      <c r="N9" s="808"/>
      <c r="O9" s="1602"/>
      <c r="P9" s="808"/>
      <c r="Q9" s="1602"/>
      <c r="R9" s="808"/>
      <c r="S9" s="1602"/>
      <c r="T9" s="808"/>
      <c r="U9" s="1602"/>
      <c r="V9" s="808"/>
      <c r="W9" s="1602"/>
      <c r="X9" s="1603"/>
      <c r="Y9" s="1602"/>
      <c r="Z9" s="808"/>
      <c r="AA9" s="1602"/>
      <c r="AB9" s="808"/>
      <c r="AC9" s="1594" t="s">
        <v>1090</v>
      </c>
      <c r="AD9" s="11" t="s">
        <v>1091</v>
      </c>
      <c r="AE9" s="1075"/>
      <c r="AF9" s="11" t="s">
        <v>1092</v>
      </c>
      <c r="AG9" s="1075"/>
      <c r="AH9" s="11" t="s">
        <v>1091</v>
      </c>
      <c r="AI9" s="1075"/>
      <c r="AJ9" s="11" t="s">
        <v>1092</v>
      </c>
      <c r="AK9" s="1075"/>
      <c r="AL9" s="11" t="s">
        <v>1091</v>
      </c>
      <c r="AM9" s="1075"/>
      <c r="AN9" s="11" t="s">
        <v>1092</v>
      </c>
      <c r="AO9" s="1075"/>
      <c r="AP9" s="11" t="s">
        <v>1091</v>
      </c>
      <c r="AQ9" s="1075"/>
      <c r="AR9" s="11" t="s">
        <v>1092</v>
      </c>
      <c r="AS9" s="1604"/>
      <c r="AT9" s="1593"/>
      <c r="AU9" s="1593" t="s">
        <v>1093</v>
      </c>
      <c r="AV9" s="1069"/>
      <c r="AW9" s="1576"/>
      <c r="AX9" s="1069"/>
      <c r="AY9" s="24"/>
      <c r="AZ9" s="24" t="s">
        <v>1083</v>
      </c>
      <c r="BA9" s="1605" t="s">
        <v>1094</v>
      </c>
      <c r="BB9" s="1606"/>
      <c r="BC9" s="1087"/>
      <c r="BD9" s="1087"/>
      <c r="BE9" s="1087"/>
      <c r="BF9" s="1087"/>
      <c r="BG9" s="1087"/>
      <c r="BH9" s="1087"/>
      <c r="BI9" s="1087"/>
      <c r="BJ9" s="1087"/>
      <c r="BK9" s="1607"/>
      <c r="BL9" s="11" t="s">
        <v>1095</v>
      </c>
      <c r="BM9" s="1359"/>
      <c r="BN9" s="1596"/>
      <c r="BO9" s="1359"/>
      <c r="BP9" s="1359"/>
      <c r="BQ9" s="1359"/>
      <c r="BR9" s="1359"/>
      <c r="BS9" s="1359"/>
      <c r="BT9" s="22"/>
    </row>
    <row r="10" spans="1:72" s="1600" customFormat="1" ht="12.75">
      <c r="A10" s="1593"/>
      <c r="B10" s="1593"/>
      <c r="C10" s="1593"/>
      <c r="D10" s="1593"/>
      <c r="E10" s="1593"/>
      <c r="F10" s="1593"/>
      <c r="G10" s="1069"/>
      <c r="H10" s="24"/>
      <c r="I10" s="1602" t="s">
        <v>3</v>
      </c>
      <c r="J10" s="808"/>
      <c r="K10" s="1608" t="s">
        <v>3</v>
      </c>
      <c r="L10" s="808"/>
      <c r="M10" s="1608" t="s">
        <v>3</v>
      </c>
      <c r="N10" s="808"/>
      <c r="O10" s="1608"/>
      <c r="P10" s="808"/>
      <c r="Q10" s="1608"/>
      <c r="R10" s="808"/>
      <c r="S10" s="1608"/>
      <c r="T10" s="808"/>
      <c r="U10" s="1608"/>
      <c r="V10" s="808"/>
      <c r="W10" s="1608"/>
      <c r="X10" s="808"/>
      <c r="Y10" s="1608"/>
      <c r="Z10" s="808"/>
      <c r="AA10" s="1608"/>
      <c r="AB10" s="808"/>
      <c r="AC10" s="1069"/>
      <c r="AD10" s="11" t="s">
        <v>1096</v>
      </c>
      <c r="AE10" s="1609"/>
      <c r="AF10" s="11" t="s">
        <v>1096</v>
      </c>
      <c r="AG10" s="1609"/>
      <c r="AH10" s="11" t="s">
        <v>1097</v>
      </c>
      <c r="AI10" s="1609"/>
      <c r="AJ10" s="11" t="s">
        <v>1097</v>
      </c>
      <c r="AK10" s="1609"/>
      <c r="AL10" s="11" t="s">
        <v>1098</v>
      </c>
      <c r="AM10" s="1075"/>
      <c r="AN10" s="11" t="s">
        <v>1098</v>
      </c>
      <c r="AO10" s="1075"/>
      <c r="AP10" s="11" t="s">
        <v>1099</v>
      </c>
      <c r="AQ10" s="1075"/>
      <c r="AR10" s="11" t="s">
        <v>1099</v>
      </c>
      <c r="AS10" s="1075"/>
      <c r="AT10" s="1593"/>
      <c r="AU10" s="1593"/>
      <c r="AV10" s="1069"/>
      <c r="AW10" s="1576"/>
      <c r="AX10" s="1069"/>
      <c r="AY10" s="24"/>
      <c r="AZ10" s="24"/>
      <c r="BA10" s="1610" t="s">
        <v>1090</v>
      </c>
      <c r="BB10" s="1611" t="str">
        <f>I9</f>
        <v>地上</v>
      </c>
      <c r="BC10" s="25" t="str">
        <f>K9</f>
        <v>地上</v>
      </c>
      <c r="BD10" s="25" t="str">
        <f>M9</f>
        <v>地下</v>
      </c>
      <c r="BE10" s="25">
        <f>O9</f>
        <v>0</v>
      </c>
      <c r="BF10" s="25">
        <f>Q9</f>
        <v>0</v>
      </c>
      <c r="BG10" s="25">
        <f>S9</f>
        <v>0</v>
      </c>
      <c r="BH10" s="25">
        <f>U9</f>
        <v>0</v>
      </c>
      <c r="BI10" s="25">
        <f>W9</f>
        <v>0</v>
      </c>
      <c r="BJ10" s="25">
        <f>Y9</f>
        <v>0</v>
      </c>
      <c r="BK10" s="25">
        <f>AA9</f>
        <v>0</v>
      </c>
      <c r="BL10" s="21" t="s">
        <v>1090</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t="s">
        <v>3426</v>
      </c>
      <c r="J11" s="1614"/>
      <c r="K11" s="1613" t="s">
        <v>3427</v>
      </c>
      <c r="L11" s="1614"/>
      <c r="M11" s="1613" t="s">
        <v>3331</v>
      </c>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4"/>
      <c r="AZ11" s="24"/>
      <c r="BA11" s="24"/>
      <c r="BB11" s="1598" t="str">
        <f>I10</f>
        <v>工业</v>
      </c>
      <c r="BC11" s="1598" t="str">
        <f>K10</f>
        <v>工业</v>
      </c>
      <c r="BD11" s="1598" t="str">
        <f>M10</f>
        <v>工业</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6" t="s">
        <v>1102</v>
      </c>
      <c r="AS12" s="1618" t="s">
        <v>1103</v>
      </c>
      <c r="AT12" s="1621"/>
      <c r="AU12" s="1618"/>
      <c r="AV12" s="27"/>
      <c r="AW12" s="1577"/>
      <c r="AX12" s="27"/>
      <c r="AY12" s="1622"/>
      <c r="AZ12" s="24"/>
      <c r="BA12" s="1610"/>
      <c r="BB12" s="20" t="str">
        <f>I11</f>
        <v>办公楼</v>
      </c>
      <c r="BC12" s="1623" t="str">
        <f>K11</f>
        <v>酒店</v>
      </c>
      <c r="BD12" s="1623" t="str">
        <f>M11</f>
        <v>车库</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2.75">
      <c r="A13" s="1050"/>
      <c r="B13" s="3468" t="s">
        <v>3418</v>
      </c>
      <c r="C13" s="3468" t="s">
        <v>3419</v>
      </c>
      <c r="D13" s="1624" t="s">
        <v>3420</v>
      </c>
      <c r="E13" s="12">
        <f>IF($C$3="是",ROUND($A$3*G13/$B$3,2),ROUND($A$3*(G13-AT13)/$B$3,2))</f>
        <v>17930.900000000001</v>
      </c>
      <c r="F13" s="28"/>
      <c r="G13" s="29">
        <f>H13+AC13+AT13</f>
        <v>26313.08</v>
      </c>
      <c r="H13" s="16">
        <f>SUMIF(I$12:AB$12,"总值",I13:AB13)</f>
        <v>26313.08</v>
      </c>
      <c r="I13" s="1625">
        <f>面积表!E2</f>
        <v>22812.639999999999</v>
      </c>
      <c r="J13" s="1625"/>
      <c r="K13" s="1625"/>
      <c r="L13" s="1625"/>
      <c r="M13" s="1625">
        <f>面积表!F2</f>
        <v>3500.4400000000023</v>
      </c>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现房</v>
      </c>
      <c r="AX13" s="8" t="str">
        <f t="shared" si="6"/>
        <v>1号办公</v>
      </c>
      <c r="AY13" s="1348">
        <f>ROUND($AY$6*AZ13/$AZ$5,2)</f>
        <v>17930.900000000001</v>
      </c>
      <c r="AZ13" s="12">
        <f>BA13+BL13</f>
        <v>26313.08</v>
      </c>
      <c r="BA13" s="12">
        <f>SUM(BB13:BK13)</f>
        <v>26313.08</v>
      </c>
      <c r="BB13" s="12">
        <f>IF($D13="是",I13-J13,0)</f>
        <v>22812.639999999999</v>
      </c>
      <c r="BC13" s="12">
        <f>IF($D13="是",K13-L13,0)</f>
        <v>0</v>
      </c>
      <c r="BD13" s="12">
        <f>IF($D13="是",M13-N13,0)</f>
        <v>3500.4400000000023</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3468" t="s">
        <v>3418</v>
      </c>
      <c r="C14" s="3468" t="s">
        <v>3421</v>
      </c>
      <c r="D14" s="1624" t="s">
        <v>3420</v>
      </c>
      <c r="E14" s="12">
        <f>IF($C$3="是",ROUND($A$3*G14/$B$3,2),ROUND($A$3*(G14-AT14)/$B$3,2))</f>
        <v>3962.31</v>
      </c>
      <c r="F14" s="28"/>
      <c r="G14" s="29">
        <f>H14+AC14+AT14</f>
        <v>5814.57</v>
      </c>
      <c r="H14" s="16">
        <f>SUMIF(I$12:AB$12,"总值",I14:AB14)</f>
        <v>5814.57</v>
      </c>
      <c r="I14" s="1625"/>
      <c r="J14" s="1625"/>
      <c r="K14" s="1625">
        <f>面积表!E3</f>
        <v>5814.57</v>
      </c>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现房</v>
      </c>
      <c r="AX14" s="8" t="str">
        <f t="shared" si="6"/>
        <v>2号酒店</v>
      </c>
      <c r="AY14" s="1348">
        <f>ROUND($AY$6*AZ14/$AZ$5,2)</f>
        <v>3962.31</v>
      </c>
      <c r="AZ14" s="12">
        <f>BA14+BL14</f>
        <v>5814.57</v>
      </c>
      <c r="BA14" s="12">
        <f>SUM(BB14:BK14)</f>
        <v>5814.57</v>
      </c>
      <c r="BB14" s="12">
        <f>IF($D14="是",I14-J14,0)</f>
        <v>0</v>
      </c>
      <c r="BC14" s="12">
        <f>IF($D14="是",K14-L14,0)</f>
        <v>5814.57</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3468" t="s">
        <v>3418</v>
      </c>
      <c r="C15" s="3468" t="s">
        <v>3422</v>
      </c>
      <c r="D15" s="1624" t="s">
        <v>3420</v>
      </c>
      <c r="E15" s="12">
        <f>IF($C$3="是",ROUND($A$3*G15/$B$3,2),ROUND($A$3*(G15-AT15)/$B$3,2))</f>
        <v>685.18</v>
      </c>
      <c r="F15" s="28"/>
      <c r="G15" s="29">
        <f>H15+AC15+AT15</f>
        <v>1005.48</v>
      </c>
      <c r="H15" s="16">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1005.48</v>
      </c>
      <c r="AD15" s="1626"/>
      <c r="AE15" s="1626"/>
      <c r="AF15" s="1626"/>
      <c r="AG15" s="1626"/>
      <c r="AH15" s="1626"/>
      <c r="AI15" s="1626"/>
      <c r="AJ15" s="1626"/>
      <c r="AK15" s="1626"/>
      <c r="AL15" s="1626">
        <f>面积表!E4</f>
        <v>866.09</v>
      </c>
      <c r="AM15" s="1626"/>
      <c r="AN15" s="1626">
        <f>面积表!F4</f>
        <v>139.38999999999999</v>
      </c>
      <c r="AO15" s="1626"/>
      <c r="AP15" s="1626"/>
      <c r="AQ15" s="1626"/>
      <c r="AR15" s="1626"/>
      <c r="AS15" s="1626"/>
      <c r="AT15" s="1627"/>
      <c r="AU15" s="1628"/>
      <c r="AV15" s="8">
        <f t="shared" si="6"/>
        <v>0</v>
      </c>
      <c r="AW15" s="8" t="str">
        <f t="shared" si="6"/>
        <v>现房</v>
      </c>
      <c r="AX15" s="8" t="str">
        <f t="shared" si="6"/>
        <v>3号机房</v>
      </c>
      <c r="AY15" s="1348">
        <f>ROUND($AY$6*AZ15/$AZ$5,2)</f>
        <v>685.18</v>
      </c>
      <c r="AZ15" s="12">
        <f>BA15+BL15</f>
        <v>1005.48</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1005.48</v>
      </c>
      <c r="BM15" s="12">
        <f>IF($D15="是",AD15-AE15,0)</f>
        <v>0</v>
      </c>
      <c r="BN15" s="12">
        <f>IF($D15="是",AF15-AG15,0)</f>
        <v>0</v>
      </c>
      <c r="BO15" s="12">
        <f>IF($D15="是",AH15-AI15,0)</f>
        <v>0</v>
      </c>
      <c r="BP15" s="12">
        <f>IF($D15="是",AJ15-AK15,0)</f>
        <v>0</v>
      </c>
      <c r="BQ15" s="12">
        <f>IF($D15="是",AL15-AM15,0)</f>
        <v>866.09</v>
      </c>
      <c r="BR15" s="12">
        <f>IF($D15="是",AN15-AO15,0)</f>
        <v>139.38999999999999</v>
      </c>
      <c r="BS15" s="12">
        <f>IF($D15="是",AP15-AQ15,0)</f>
        <v>0</v>
      </c>
      <c r="BT15" s="18">
        <f>IF($D15="是",AR15-AS15,0)</f>
        <v>0</v>
      </c>
    </row>
    <row r="16" spans="1:72" s="1578" customFormat="1" ht="12.75">
      <c r="A16" s="1050"/>
      <c r="B16" s="1050"/>
      <c r="C16" s="3468" t="s">
        <v>3423</v>
      </c>
      <c r="D16" s="1624" t="s">
        <v>3424</v>
      </c>
      <c r="E16" s="12">
        <f>IF($C$3="是",ROUND($A$3*G16/$B$3,2),ROUND($A$3*(G16-AT16)/$B$3,2))</f>
        <v>16596.25</v>
      </c>
      <c r="F16" s="28"/>
      <c r="G16" s="29">
        <f>H16+AC16+AT16</f>
        <v>24354.510000000002</v>
      </c>
      <c r="H16" s="16">
        <f>SUMIF(I$12:AB$12,"总值",I16:AB16)</f>
        <v>24212.510000000002</v>
      </c>
      <c r="I16" s="1625">
        <f>2604.51*4+2540.45+3588.37</f>
        <v>16546.86</v>
      </c>
      <c r="J16" s="1625"/>
      <c r="K16" s="1625"/>
      <c r="L16" s="1625"/>
      <c r="M16" s="1625">
        <f>5725.21+1940.44</f>
        <v>7665.65</v>
      </c>
      <c r="N16" s="1625"/>
      <c r="O16" s="1625"/>
      <c r="P16" s="1625"/>
      <c r="Q16" s="1625"/>
      <c r="R16" s="1625"/>
      <c r="S16" s="1625"/>
      <c r="T16" s="1625"/>
      <c r="U16" s="1625"/>
      <c r="V16" s="1625"/>
      <c r="W16" s="1625"/>
      <c r="X16" s="1625"/>
      <c r="Y16" s="1625"/>
      <c r="Z16" s="1625"/>
      <c r="AA16" s="1625"/>
      <c r="AB16" s="1625"/>
      <c r="AC16" s="12">
        <f>SUMIF(AD$12:AS$12,"总值",AD16:AS16)</f>
        <v>142</v>
      </c>
      <c r="AD16" s="1626"/>
      <c r="AE16" s="1626"/>
      <c r="AF16" s="1626"/>
      <c r="AG16" s="1626"/>
      <c r="AH16" s="1626"/>
      <c r="AI16" s="1626"/>
      <c r="AJ16" s="1626"/>
      <c r="AK16" s="1626"/>
      <c r="AL16" s="1626">
        <v>142</v>
      </c>
      <c r="AM16" s="1626"/>
      <c r="AN16" s="1626"/>
      <c r="AO16" s="1626"/>
      <c r="AP16" s="1626"/>
      <c r="AQ16" s="1626"/>
      <c r="AR16" s="1626"/>
      <c r="AS16" s="1626"/>
      <c r="AT16" s="1627"/>
      <c r="AU16" s="1628"/>
      <c r="AV16" s="8">
        <f t="shared" si="6"/>
        <v>0</v>
      </c>
      <c r="AW16" s="8">
        <f t="shared" si="6"/>
        <v>0</v>
      </c>
      <c r="AX16" s="8" t="str">
        <f t="shared" si="6"/>
        <v>土地</v>
      </c>
      <c r="AY16" s="13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c r="B17" s="1050"/>
      <c r="C17" s="1569"/>
      <c r="D17" s="1624"/>
      <c r="E17" s="12">
        <f>IF($C$3="是",ROUND($A$3*G17/$B$3,2),ROUND($A$3*(G17-AT17)/$B$3,2))</f>
        <v>0</v>
      </c>
      <c r="F17" s="28"/>
      <c r="G17" s="29">
        <f>H17+AC17+AT17</f>
        <v>0</v>
      </c>
      <c r="H17" s="16">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9"/>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topLeftCell="D1" workbookViewId="0">
      <selection activeCell="M22" sqref="M22"/>
    </sheetView>
  </sheetViews>
  <sheetFormatPr defaultColWidth="9" defaultRowHeight="12"/>
  <cols>
    <col min="1" max="1" width="31.625" style="3462" customWidth="1"/>
    <col min="2" max="6" width="9" style="3462"/>
    <col min="7" max="7" width="10" style="3462" customWidth="1"/>
    <col min="8" max="8" width="13.75" style="3462" bestFit="1" customWidth="1"/>
    <col min="9" max="16384" width="9" style="3462"/>
  </cols>
  <sheetData>
    <row r="1" spans="1:14">
      <c r="A1" s="3460" t="s">
        <v>3372</v>
      </c>
      <c r="B1" s="3461" t="s">
        <v>3373</v>
      </c>
      <c r="C1" s="3461" t="s">
        <v>3374</v>
      </c>
      <c r="D1" s="3461" t="s">
        <v>3375</v>
      </c>
      <c r="E1" s="3461" t="s">
        <v>3376</v>
      </c>
      <c r="F1" s="3461" t="s">
        <v>3377</v>
      </c>
      <c r="G1" s="3462" t="s">
        <v>3378</v>
      </c>
      <c r="H1" s="3462" t="s">
        <v>3379</v>
      </c>
      <c r="I1" s="3462" t="s">
        <v>3380</v>
      </c>
      <c r="J1" s="3461" t="s">
        <v>3373</v>
      </c>
      <c r="K1" s="3462" t="s">
        <v>3381</v>
      </c>
      <c r="L1" s="3462" t="s">
        <v>3382</v>
      </c>
      <c r="M1" s="3462" t="s">
        <v>3383</v>
      </c>
      <c r="N1" s="3462" t="s">
        <v>3384</v>
      </c>
    </row>
    <row r="2" spans="1:14" ht="12.75">
      <c r="A2" s="3460" t="s">
        <v>3385</v>
      </c>
      <c r="B2" s="3463" t="s">
        <v>3386</v>
      </c>
      <c r="C2" s="3463">
        <v>26313.08</v>
      </c>
      <c r="D2" s="3463" t="s">
        <v>3387</v>
      </c>
      <c r="E2" s="3463">
        <f>ROUND(C2*E11/C11,2)</f>
        <v>22812.639999999999</v>
      </c>
      <c r="F2" s="3463">
        <f>C2-E2</f>
        <v>3500.4400000000023</v>
      </c>
      <c r="H2" s="3464">
        <v>57314</v>
      </c>
      <c r="J2" s="3463" t="s">
        <v>3386</v>
      </c>
      <c r="K2" s="3462">
        <f>'数据-取费表'!M6</f>
        <v>8420</v>
      </c>
      <c r="L2" s="3462">
        <f ca="1">ROUND(K2/$K$5*$M$10,0)</f>
        <v>10467</v>
      </c>
      <c r="M2" s="3462">
        <f ca="1">ROUND(E2/基准地价修正!$D$33*L10,0)</f>
        <v>6805</v>
      </c>
      <c r="N2" s="3462">
        <f ca="1">M2+L2</f>
        <v>17272</v>
      </c>
    </row>
    <row r="3" spans="1:14" ht="12.75">
      <c r="A3" s="3460" t="s">
        <v>3388</v>
      </c>
      <c r="B3" s="3463" t="s">
        <v>3389</v>
      </c>
      <c r="C3" s="3463">
        <f>E3+F3</f>
        <v>5814.57</v>
      </c>
      <c r="D3" s="3463" t="s">
        <v>3390</v>
      </c>
      <c r="E3" s="2422">
        <v>5814.57</v>
      </c>
      <c r="F3" s="3463"/>
      <c r="H3" s="3462" t="s">
        <v>3391</v>
      </c>
      <c r="J3" s="3463" t="s">
        <v>3389</v>
      </c>
      <c r="K3" s="3462">
        <f>'数据-取费表'!M7</f>
        <v>3489</v>
      </c>
      <c r="L3" s="3462">
        <f t="shared" ref="L3:L4" ca="1" si="0">ROUND(K3/$K$5*$M$10,0)</f>
        <v>4337</v>
      </c>
      <c r="M3" s="3462">
        <f ca="1">ROUND(E3/基准地价修正!$D$33*L10,0)</f>
        <v>1735</v>
      </c>
      <c r="N3" s="3462">
        <f ca="1">M3+L3</f>
        <v>6072</v>
      </c>
    </row>
    <row r="4" spans="1:14" ht="12.75">
      <c r="A4" s="3460" t="s">
        <v>3392</v>
      </c>
      <c r="B4" s="3463" t="s">
        <v>3393</v>
      </c>
      <c r="C4" s="3463">
        <v>1005.48</v>
      </c>
      <c r="D4" s="3463" t="s">
        <v>3394</v>
      </c>
      <c r="E4" s="3463">
        <f>ROUND(C4*E13/C13,2)</f>
        <v>866.09</v>
      </c>
      <c r="F4" s="3463">
        <f>C4-E4</f>
        <v>139.38999999999999</v>
      </c>
      <c r="H4" s="3462">
        <v>39174.637000000002</v>
      </c>
      <c r="J4" s="3463" t="s">
        <v>3393</v>
      </c>
      <c r="K4" s="3462">
        <f>'数据-取费表'!M14</f>
        <v>251</v>
      </c>
      <c r="L4" s="3462">
        <f t="shared" ca="1" si="0"/>
        <v>312</v>
      </c>
      <c r="N4" s="3462">
        <f ca="1">M4+L4</f>
        <v>312</v>
      </c>
    </row>
    <row r="5" spans="1:14" ht="12.75">
      <c r="A5" s="3460" t="s">
        <v>3395</v>
      </c>
      <c r="B5" s="3461"/>
      <c r="C5" s="3463">
        <f>SUM(C2:C4)</f>
        <v>33133.130000000005</v>
      </c>
      <c r="D5" s="3463"/>
      <c r="E5" s="3463">
        <f>SUM(E2:E4)</f>
        <v>29493.3</v>
      </c>
      <c r="F5" s="3463">
        <f>SUM(F2:F4)</f>
        <v>3639.8300000000022</v>
      </c>
      <c r="G5" s="3465">
        <f>ROUND(C5/C8*H4,3)</f>
        <v>22578.39</v>
      </c>
      <c r="I5" s="3466">
        <f>F5/C5</f>
        <v>0.10985469830348059</v>
      </c>
      <c r="K5" s="3462">
        <f>K4+K3+K2</f>
        <v>12160</v>
      </c>
      <c r="L5" s="3462">
        <f t="shared" ref="L5:N5" ca="1" si="1">L4+L3+L2</f>
        <v>15116</v>
      </c>
      <c r="M5" s="3462">
        <f ca="1">M4+M3+M2</f>
        <v>8540</v>
      </c>
      <c r="N5" s="3462">
        <f t="shared" ca="1" si="1"/>
        <v>23656</v>
      </c>
    </row>
    <row r="6" spans="1:14" ht="12.75">
      <c r="A6" s="3460"/>
      <c r="B6" s="3461" t="s">
        <v>3396</v>
      </c>
      <c r="C6" s="3463"/>
      <c r="D6" s="3463"/>
      <c r="E6" s="3463"/>
      <c r="F6" s="3463"/>
      <c r="G6" s="3465"/>
      <c r="I6" s="3466"/>
    </row>
    <row r="7" spans="1:14">
      <c r="A7" s="3460" t="s">
        <v>3397</v>
      </c>
      <c r="B7" s="3460" t="s">
        <v>3398</v>
      </c>
      <c r="C7" s="3460">
        <f>E7+F7</f>
        <v>24354.510000000002</v>
      </c>
      <c r="D7" s="3460" t="s">
        <v>3399</v>
      </c>
      <c r="E7" s="3460">
        <v>16688.86</v>
      </c>
      <c r="F7" s="3460">
        <v>7665.65</v>
      </c>
      <c r="G7" s="3465">
        <f>ROUND(C7/C8*H4,3)</f>
        <v>16596.246999999999</v>
      </c>
      <c r="I7" s="3466">
        <f>F7/C7</f>
        <v>0.31475279116681054</v>
      </c>
    </row>
    <row r="8" spans="1:14">
      <c r="B8" s="3460" t="s">
        <v>3400</v>
      </c>
      <c r="C8" s="3460">
        <f>C7+C5</f>
        <v>57487.640000000007</v>
      </c>
    </row>
    <row r="9" spans="1:14">
      <c r="K9" s="3462" t="s">
        <v>3401</v>
      </c>
      <c r="L9" s="3462" t="s">
        <v>3402</v>
      </c>
      <c r="M9" s="3462" t="s">
        <v>3403</v>
      </c>
    </row>
    <row r="10" spans="1:14">
      <c r="A10" s="3462" t="s">
        <v>3404</v>
      </c>
      <c r="B10" s="3461" t="s">
        <v>3405</v>
      </c>
      <c r="C10" s="3461" t="s">
        <v>3406</v>
      </c>
      <c r="E10" s="3461" t="s">
        <v>3407</v>
      </c>
      <c r="F10" s="3461" t="s">
        <v>3408</v>
      </c>
      <c r="K10" s="3462">
        <f ca="1">结果表!H118</f>
        <v>23656</v>
      </c>
      <c r="L10" s="3462">
        <f ca="1">结果表!D118</f>
        <v>8540</v>
      </c>
      <c r="M10" s="3462">
        <f ca="1">结果表!F118</f>
        <v>15116</v>
      </c>
    </row>
    <row r="11" spans="1:14" ht="12.75">
      <c r="B11" s="3463" t="s">
        <v>3409</v>
      </c>
      <c r="C11" s="3460">
        <f>E11+F11</f>
        <v>27738</v>
      </c>
      <c r="E11" s="3460">
        <v>24048</v>
      </c>
      <c r="F11" s="3460">
        <v>3690</v>
      </c>
    </row>
    <row r="12" spans="1:14" ht="12.75">
      <c r="B12" s="3463" t="s">
        <v>3410</v>
      </c>
      <c r="C12" s="3460">
        <f t="shared" ref="C12" si="2">E12+F12</f>
        <v>5526</v>
      </c>
      <c r="E12" s="3460">
        <v>5526</v>
      </c>
      <c r="F12" s="3460"/>
    </row>
    <row r="13" spans="1:14" ht="12.75">
      <c r="B13" s="3463" t="s">
        <v>3411</v>
      </c>
      <c r="C13" s="3460">
        <f>E13+F13</f>
        <v>743</v>
      </c>
      <c r="E13" s="3460">
        <v>640</v>
      </c>
      <c r="F13" s="3460">
        <v>103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52" sqref="R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622" t="s">
        <v>1130</v>
      </c>
      <c r="B2" s="3622"/>
      <c r="C2" s="3622"/>
      <c r="D2" s="795" t="s">
        <v>1106</v>
      </c>
      <c r="E2" s="1638" t="s">
        <v>1107</v>
      </c>
      <c r="F2" s="2658"/>
      <c r="G2" s="2649"/>
      <c r="H2" s="2650"/>
      <c r="I2" s="2324" t="s">
        <v>1131</v>
      </c>
      <c r="J2" s="2658"/>
      <c r="K2" s="2658"/>
      <c r="L2" s="2658"/>
      <c r="M2" s="2658"/>
      <c r="N2" s="2660"/>
      <c r="O2" s="2658"/>
      <c r="P2" s="2658"/>
    </row>
    <row r="3" spans="1:16" ht="15.75" thickBot="1">
      <c r="A3" s="3623" t="s">
        <v>1104</v>
      </c>
      <c r="B3" s="3623"/>
      <c r="C3" s="3623"/>
      <c r="D3" s="42">
        <f>'数据-基础表'!AY6</f>
        <v>22578.39</v>
      </c>
      <c r="E3" s="42">
        <f>'数据-基础表'!AZ5</f>
        <v>33133.130000000005</v>
      </c>
      <c r="F3" s="2658"/>
      <c r="G3" s="1144"/>
      <c r="H3" s="1025" t="s">
        <v>1105</v>
      </c>
      <c r="I3" s="854">
        <f>ROUND('数据-基础表'!B3/'数据-基础表'!A3,2)</f>
        <v>1.47</v>
      </c>
      <c r="J3" s="2658"/>
      <c r="K3" s="2658"/>
      <c r="L3" s="2658"/>
      <c r="M3" s="2658"/>
      <c r="N3" s="2660"/>
      <c r="O3" s="2658"/>
      <c r="P3" s="2658"/>
    </row>
    <row r="4" spans="1:16" ht="15">
      <c r="A4" s="3624"/>
      <c r="B4" s="3625"/>
      <c r="C4" s="3626"/>
      <c r="D4" s="1640" t="s">
        <v>1106</v>
      </c>
      <c r="E4" s="1641" t="s">
        <v>1107</v>
      </c>
      <c r="F4" s="2658"/>
      <c r="G4" s="2651" t="s">
        <v>1132</v>
      </c>
      <c r="H4" s="1025" t="s">
        <v>1112</v>
      </c>
      <c r="I4" s="854">
        <f>ROUND(SUMIF('数据-基础表'!I9:AS9,"地上",'数据-基础表'!I5:AS5)/'数据-基础表'!A3,2)</f>
        <v>1.18</v>
      </c>
      <c r="J4" s="2658"/>
      <c r="K4" s="2658"/>
      <c r="L4" s="2658"/>
      <c r="M4" s="2658"/>
      <c r="N4" s="2660"/>
      <c r="O4" s="2658"/>
      <c r="P4" s="2658"/>
    </row>
    <row r="5" spans="1:16">
      <c r="A5" s="43" t="s">
        <v>1108</v>
      </c>
      <c r="B5" s="3627" t="s">
        <v>1109</v>
      </c>
      <c r="C5" s="3627"/>
      <c r="D5" s="44">
        <f>ROUND($D$3*E5/$E$3,2)</f>
        <v>0</v>
      </c>
      <c r="E5" s="45">
        <f>SUMIF('数据-基础表'!$11:$11,"住宅",'数据-基础表'!$5:$5)</f>
        <v>0</v>
      </c>
      <c r="F5" s="2658"/>
      <c r="G5" s="1144"/>
      <c r="H5" s="1025" t="s">
        <v>1105</v>
      </c>
      <c r="I5" s="854">
        <f>ROUND(E31/D31,2)</f>
        <v>1.47</v>
      </c>
      <c r="J5" s="2658"/>
      <c r="K5" s="2658"/>
      <c r="L5" s="2658"/>
      <c r="M5" s="2658"/>
      <c r="N5" s="2658"/>
      <c r="O5" s="2658"/>
      <c r="P5" s="2658"/>
    </row>
    <row r="6" spans="1:16" ht="15" thickBot="1">
      <c r="A6" s="1643"/>
      <c r="B6" s="3627" t="s">
        <v>1110</v>
      </c>
      <c r="C6" s="3627"/>
      <c r="D6" s="44">
        <f>ROUND($D$3*E6/$E$3,2)</f>
        <v>22578.39</v>
      </c>
      <c r="E6" s="45">
        <f>E3-E5</f>
        <v>33133.130000000005</v>
      </c>
      <c r="F6" s="2658"/>
      <c r="G6" s="2652" t="s">
        <v>1111</v>
      </c>
      <c r="H6" s="1145" t="s">
        <v>1112</v>
      </c>
      <c r="I6" s="2653">
        <f>ROUND(F31/D31,2)</f>
        <v>1.31</v>
      </c>
      <c r="J6" s="2658"/>
      <c r="K6" s="2658"/>
      <c r="L6" s="2658"/>
      <c r="M6" s="2658"/>
      <c r="N6" s="2658"/>
      <c r="O6" s="2658"/>
      <c r="P6" s="2658"/>
    </row>
    <row r="7" spans="1:16" ht="15.75" thickBot="1">
      <c r="A7" s="3619"/>
      <c r="B7" s="3620"/>
      <c r="C7" s="3621"/>
      <c r="D7" s="1640" t="s">
        <v>1106</v>
      </c>
      <c r="E7" s="1644" t="s">
        <v>1113</v>
      </c>
      <c r="F7" s="2658"/>
      <c r="G7" s="2654" t="s">
        <v>1114</v>
      </c>
      <c r="H7" s="2655"/>
      <c r="I7" s="2656"/>
      <c r="J7" s="2658"/>
      <c r="K7" s="2658"/>
      <c r="L7" s="2658"/>
      <c r="M7" s="2658"/>
      <c r="N7" s="2658"/>
      <c r="O7" s="2658"/>
      <c r="P7" s="2658"/>
    </row>
    <row r="8" spans="1:16">
      <c r="A8" s="43" t="s">
        <v>1115</v>
      </c>
      <c r="B8" s="46" t="s">
        <v>1116</v>
      </c>
      <c r="C8" s="44" t="s">
        <v>1117</v>
      </c>
      <c r="D8" s="44">
        <f t="shared" ref="D8:D15" si="0">ROUND($D$3*E8/$E$3,2)</f>
        <v>19507.86</v>
      </c>
      <c r="E8" s="47">
        <f>SUMIF('数据-基础表'!BB10:BK10,"地上",'数据-基础表'!BB5:BK5)</f>
        <v>28627.21</v>
      </c>
      <c r="F8" s="2658"/>
      <c r="G8" s="2659"/>
      <c r="H8" s="2659"/>
      <c r="I8" s="2658"/>
      <c r="J8" s="2658"/>
      <c r="K8" s="2658"/>
      <c r="L8" s="2658"/>
      <c r="M8" s="2658"/>
      <c r="N8" s="2658"/>
      <c r="O8" s="2658"/>
      <c r="P8" s="2658"/>
    </row>
    <row r="9" spans="1:16">
      <c r="A9" s="1645"/>
      <c r="B9" s="1646"/>
      <c r="C9" s="44" t="s">
        <v>1118</v>
      </c>
      <c r="D9" s="44">
        <f t="shared" si="0"/>
        <v>0</v>
      </c>
      <c r="E9" s="48">
        <v>0</v>
      </c>
      <c r="F9" s="2658"/>
      <c r="G9" s="2659"/>
      <c r="H9" s="2659"/>
      <c r="I9" s="2658"/>
      <c r="J9" s="2658"/>
      <c r="K9" s="2658"/>
      <c r="L9" s="2658"/>
      <c r="M9" s="2658"/>
      <c r="N9" s="2658"/>
      <c r="O9" s="2658"/>
      <c r="P9" s="2658"/>
    </row>
    <row r="10" spans="1:16">
      <c r="A10" s="1645"/>
      <c r="B10" s="1646"/>
      <c r="C10" s="44" t="s">
        <v>1127</v>
      </c>
      <c r="D10" s="44">
        <f t="shared" si="0"/>
        <v>0</v>
      </c>
      <c r="E10" s="47">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4" t="s">
        <v>1119</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1120</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1121</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1133</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1128</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1122</v>
      </c>
      <c r="D16" s="46">
        <f>SUM(D8:D15)</f>
        <v>19507.86</v>
      </c>
      <c r="E16" s="49">
        <f>SUM(E8:E15)</f>
        <v>28627.21</v>
      </c>
      <c r="F16" s="2658"/>
      <c r="G16" s="2659"/>
      <c r="H16" s="1647" t="s">
        <v>1134</v>
      </c>
      <c r="I16" s="1648"/>
      <c r="J16" s="1138"/>
      <c r="K16" s="3616" t="s">
        <v>1134</v>
      </c>
      <c r="L16" s="3617"/>
      <c r="M16" s="3617"/>
      <c r="N16" s="3617"/>
      <c r="O16" s="3617"/>
      <c r="P16" s="3618"/>
    </row>
    <row r="17" spans="1:19" ht="15">
      <c r="A17" s="1649" t="s">
        <v>1135</v>
      </c>
      <c r="B17" s="1650" t="s">
        <v>1136</v>
      </c>
      <c r="C17" s="1651" t="s">
        <v>1137</v>
      </c>
      <c r="D17" s="1652" t="s">
        <v>1125</v>
      </c>
      <c r="E17" s="1653" t="s">
        <v>1126</v>
      </c>
      <c r="F17" s="1654"/>
      <c r="G17" s="1655"/>
      <c r="H17" s="1656" t="s">
        <v>1138</v>
      </c>
      <c r="I17" s="1657" t="s">
        <v>1123</v>
      </c>
      <c r="J17" s="1138"/>
      <c r="K17" s="3613" t="s">
        <v>1139</v>
      </c>
      <c r="L17" s="3614"/>
      <c r="M17" s="3615"/>
      <c r="N17" s="3613" t="s">
        <v>1140</v>
      </c>
      <c r="O17" s="3614"/>
      <c r="P17" s="3615"/>
      <c r="R17" s="1639" t="s">
        <v>1141</v>
      </c>
      <c r="S17" s="55"/>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6" t="s">
        <v>1124</v>
      </c>
      <c r="C19" s="3416" t="s">
        <v>3429</v>
      </c>
      <c r="D19" s="44">
        <f>ROUND($D$3*E19/$E$3,2)</f>
        <v>17930.900000000001</v>
      </c>
      <c r="E19" s="52">
        <f t="shared" ref="E19:E26" si="1">SUM(F19:G19)</f>
        <v>26313.08</v>
      </c>
      <c r="F19" s="2794">
        <f>'数据-基础表'!I13</f>
        <v>22812.639999999999</v>
      </c>
      <c r="G19" s="2795">
        <f>'数据-基础表'!M13</f>
        <v>3500.4400000000023</v>
      </c>
      <c r="H19" s="669">
        <f>ROUND($D$3*I19/$E$3,2)</f>
        <v>561.16999999999996</v>
      </c>
      <c r="I19" s="47">
        <f t="shared" ref="I19:I26" si="2">IF($I$17="自定义",P19,M19)</f>
        <v>823.5</v>
      </c>
      <c r="J19" s="1138"/>
      <c r="K19" s="1137">
        <f t="shared" ref="K19:K26" si="3">ROUND(E$28*E19/E$27,2)</f>
        <v>823.5</v>
      </c>
      <c r="L19" s="1025">
        <f t="shared" ref="L19:L26" si="4">ROUND(IF(COUNTIF(C19,"*住宅*")&gt;0,E$29*E19/E$32,0),2)</f>
        <v>0</v>
      </c>
      <c r="M19" s="1149">
        <f>K19+L19</f>
        <v>823.5</v>
      </c>
      <c r="N19" s="1667"/>
      <c r="O19" s="1668"/>
      <c r="P19" s="1149">
        <f>N19+O19</f>
        <v>0</v>
      </c>
      <c r="R19" s="1025">
        <f t="shared" ref="R19:S26" si="5">D19+H19</f>
        <v>18492.07</v>
      </c>
      <c r="S19" s="1026">
        <f t="shared" si="5"/>
        <v>27136.58</v>
      </c>
    </row>
    <row r="20" spans="1:19">
      <c r="A20" s="1669"/>
      <c r="B20" s="46" t="s">
        <v>1152</v>
      </c>
      <c r="C20" s="3469" t="s">
        <v>3430</v>
      </c>
      <c r="D20" s="44">
        <f t="shared" ref="D20:D26" si="6">ROUND($D$3*E20/$E$3,2)</f>
        <v>3962.31</v>
      </c>
      <c r="E20" s="52">
        <f t="shared" si="1"/>
        <v>5814.57</v>
      </c>
      <c r="F20" s="2794">
        <f>'数据-基础表'!K14</f>
        <v>5814.57</v>
      </c>
      <c r="G20" s="2795"/>
      <c r="H20" s="669">
        <f t="shared" ref="H20:H26" si="7">ROUND($D$3*I20/$E$3,2)</f>
        <v>124.01</v>
      </c>
      <c r="I20" s="47">
        <f t="shared" si="2"/>
        <v>181.98</v>
      </c>
      <c r="J20" s="1138"/>
      <c r="K20" s="1137">
        <f t="shared" si="3"/>
        <v>181.98</v>
      </c>
      <c r="L20" s="1025">
        <f t="shared" si="4"/>
        <v>0</v>
      </c>
      <c r="M20" s="1149">
        <f t="shared" ref="M20:M26" si="8">K20+L20</f>
        <v>181.98</v>
      </c>
      <c r="N20" s="1667"/>
      <c r="O20" s="1668"/>
      <c r="P20" s="1149">
        <f t="shared" ref="P20:P26" si="9">N20+O20</f>
        <v>0</v>
      </c>
      <c r="R20" s="1025">
        <f t="shared" si="5"/>
        <v>4086.32</v>
      </c>
      <c r="S20" s="1026">
        <f t="shared" si="5"/>
        <v>5996.5499999999993</v>
      </c>
    </row>
    <row r="21" spans="1:19">
      <c r="A21" s="1669"/>
      <c r="B21" s="46" t="s">
        <v>1152</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1152</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1152</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1152</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1152</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1152</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1153</v>
      </c>
      <c r="D27" s="1139">
        <f>SUM(D19:D26)</f>
        <v>21893.210000000003</v>
      </c>
      <c r="E27" s="1140">
        <f>IF(SUM(E19:E26)='数据-基础表'!BA5,SUM(E19:E26),IF(F27="地上面积有误","面积有误","地下面积有误"))</f>
        <v>32127.65</v>
      </c>
      <c r="F27" s="1139">
        <f>IF(SUM(F19:F26)=E8,SUM(F19:F26),"地上面积有误")</f>
        <v>28627.21</v>
      </c>
      <c r="G27" s="1141">
        <f>SUM(G19:G26)</f>
        <v>3500.4400000000023</v>
      </c>
      <c r="H27" s="1142">
        <f>SUM(H19:H26)</f>
        <v>685.18</v>
      </c>
      <c r="I27" s="1143">
        <f>SUM(I19:I26)</f>
        <v>1005.48</v>
      </c>
      <c r="J27" s="1138"/>
      <c r="K27" s="1146">
        <f>SUM(K19:K26)</f>
        <v>1005.48</v>
      </c>
      <c r="L27" s="1147">
        <f>SUM(L19:L26)</f>
        <v>0</v>
      </c>
      <c r="M27" s="1150">
        <f>SUM(M19:M26)</f>
        <v>1005.48</v>
      </c>
      <c r="N27" s="1146">
        <f t="shared" ref="N27:O27" si="10">SUM(N19:N26)</f>
        <v>0</v>
      </c>
      <c r="O27" s="1147">
        <f t="shared" si="10"/>
        <v>0</v>
      </c>
      <c r="P27" s="1148">
        <f>SUM(P19:P26)</f>
        <v>0</v>
      </c>
      <c r="R27" s="1027">
        <f>IF(SUM(R19:R26)=$D$3,SUM(R19:R26),SUM(R19:R26)&amp;"误差"&amp;ROUND(SUM(R19:R26)-$D$3,2))</f>
        <v>22578.39</v>
      </c>
      <c r="S27" s="1025">
        <f>IF(SUM(S19:S26)=$E$3,SUM(S19:S26),SUM(S19:S26)&amp;"误差"&amp;ROUND(SUM(S19:S26)-E3,2))</f>
        <v>33133.130000000005</v>
      </c>
    </row>
    <row r="28" spans="1:19">
      <c r="A28" s="1669"/>
      <c r="B28" s="46" t="s">
        <v>1154</v>
      </c>
      <c r="C28" s="1037" t="s">
        <v>1155</v>
      </c>
      <c r="D28" s="44">
        <f>ROUND($D$3*E28/$E$3,2)</f>
        <v>685.18</v>
      </c>
      <c r="E28" s="52">
        <f>SUM(F28:G28)</f>
        <v>1005.48</v>
      </c>
      <c r="F28" s="55">
        <f>'数据-基础表'!BQ5+'数据-基础表'!BS5</f>
        <v>866.09</v>
      </c>
      <c r="G28" s="56">
        <f>'数据-基础表'!BR5+'数据-基础表'!BT5</f>
        <v>139.38999999999999</v>
      </c>
      <c r="H28" s="2658"/>
      <c r="I28" s="2658"/>
      <c r="J28" s="2658"/>
      <c r="K28" s="2658"/>
      <c r="L28" s="2658"/>
      <c r="M28" s="2658"/>
      <c r="N28" s="2658"/>
      <c r="O28" s="2658"/>
      <c r="P28" s="2658"/>
    </row>
    <row r="29" spans="1:19">
      <c r="A29" s="1669"/>
      <c r="B29" s="46" t="s">
        <v>1154</v>
      </c>
      <c r="C29" s="1673" t="s">
        <v>1156</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1153</v>
      </c>
      <c r="D30" s="1139">
        <f>SUM(D28:D29)</f>
        <v>685.18</v>
      </c>
      <c r="E30" s="1139">
        <f>SUM(E28:E29)</f>
        <v>1005.48</v>
      </c>
      <c r="F30" s="1139">
        <f>SUM(F28:F29)</f>
        <v>866.09</v>
      </c>
      <c r="G30" s="1141">
        <f>SUM(G28:G29)</f>
        <v>139.38999999999999</v>
      </c>
      <c r="H30" s="2658"/>
      <c r="I30" s="2658"/>
      <c r="J30" s="2658"/>
      <c r="K30" s="2658"/>
      <c r="L30" s="2658"/>
      <c r="M30" s="2658"/>
      <c r="N30" s="2658"/>
      <c r="O30" s="2658"/>
      <c r="P30" s="2658"/>
    </row>
    <row r="31" spans="1:19" ht="15.75" thickBot="1">
      <c r="A31" s="1675"/>
      <c r="B31" s="1676"/>
      <c r="C31" s="834" t="s">
        <v>1157</v>
      </c>
      <c r="D31" s="675">
        <f>D27+D30</f>
        <v>22578.390000000003</v>
      </c>
      <c r="E31" s="675">
        <f>E27+E30</f>
        <v>33133.130000000005</v>
      </c>
      <c r="F31" s="676">
        <f>F27+F30</f>
        <v>29493.3</v>
      </c>
      <c r="G31" s="677">
        <f>G27+G30</f>
        <v>3639.8300000000022</v>
      </c>
      <c r="H31" s="2658"/>
      <c r="I31" s="2658"/>
      <c r="J31" s="2658"/>
      <c r="K31" s="2658"/>
      <c r="L31" s="2658"/>
      <c r="M31" s="2658"/>
      <c r="N31" s="2658"/>
      <c r="O31" s="2658"/>
      <c r="P31" s="2658"/>
    </row>
    <row r="32" spans="1:19">
      <c r="A32" s="1642"/>
      <c r="B32" s="1642" t="s">
        <v>1158</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3431</v>
      </c>
      <c r="O5" s="1701" t="s">
        <v>1180</v>
      </c>
      <c r="P5" s="1704" t="s">
        <v>1181</v>
      </c>
      <c r="Q5" s="60" t="s">
        <v>1182</v>
      </c>
      <c r="R5" s="1705" t="s">
        <v>1183</v>
      </c>
      <c r="S5" s="1706" t="s">
        <v>1184</v>
      </c>
      <c r="T5" s="1707" t="s">
        <v>1185</v>
      </c>
      <c r="U5" s="1045" t="s">
        <v>1186</v>
      </c>
      <c r="V5" s="1046" t="s">
        <v>1187</v>
      </c>
      <c r="W5" s="1046" t="s">
        <v>1188</v>
      </c>
      <c r="X5" s="62"/>
      <c r="Y5" s="61" t="s">
        <v>1189</v>
      </c>
      <c r="Z5" s="1708" t="s">
        <v>1186</v>
      </c>
      <c r="AA5" s="1046" t="s">
        <v>1187</v>
      </c>
      <c r="AB5" s="1046" t="s">
        <v>1188</v>
      </c>
      <c r="AC5" s="62"/>
      <c r="AD5" s="62" t="s">
        <v>1189</v>
      </c>
      <c r="AE5" s="1045" t="s">
        <v>1190</v>
      </c>
      <c r="AF5" s="1046" t="s">
        <v>1191</v>
      </c>
      <c r="AG5" s="61" t="s">
        <v>1192</v>
      </c>
      <c r="AH5" s="1045" t="s">
        <v>1193</v>
      </c>
      <c r="AI5" s="1708" t="s">
        <v>1194</v>
      </c>
      <c r="AJ5" s="1708" t="s">
        <v>1195</v>
      </c>
      <c r="AK5" s="1046" t="s">
        <v>1196</v>
      </c>
      <c r="AL5" s="1046" t="s">
        <v>1197</v>
      </c>
      <c r="AM5" s="61"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1#办公</v>
      </c>
      <c r="B6" s="1712" t="str">
        <f>IF(A6=0,"","经营性")</f>
        <v>经营性</v>
      </c>
      <c r="C6" s="1713" t="s">
        <v>3</v>
      </c>
      <c r="D6" s="857">
        <f>SUMIF(项目基本情况!C$12:I$12,C6,项目基本情况!C$14:I$14)</f>
        <v>50</v>
      </c>
      <c r="E6" s="856">
        <f>IF(B6="","",SUMIF(项目基本情况!C$12:I$12,C6,项目基本情况!C$13:I$13))</f>
        <v>57314</v>
      </c>
      <c r="F6" s="63">
        <f>SUMIF(项目基本情况!C$12:I$12,C6,项目基本情况!C$15:I$15)</f>
        <v>33.4</v>
      </c>
      <c r="G6" s="64">
        <f>IF(ISERROR(ROUND(POWER(1+H6,D6-F6)*(POWER(1+H6,F6)-1)/(POWER(1+H6,D6)-1),3)),0,ROUND(POWER(1+H6,D6-F6)*(POWER(1+H6,F6)-1)/(POWER(1+H6,D6)-1),3))</f>
        <v>0.88100000000000001</v>
      </c>
      <c r="H6" s="731">
        <v>0.05</v>
      </c>
      <c r="I6" s="731">
        <v>5.5E-2</v>
      </c>
      <c r="J6" s="65">
        <v>7.0000000000000007E-2</v>
      </c>
      <c r="K6" s="1029">
        <f>SUMIF('数据-汇总表'!C$19:C$33,A6,'数据-汇总表'!E$19:E$33)</f>
        <v>26313.08</v>
      </c>
      <c r="L6" s="732">
        <v>3200</v>
      </c>
      <c r="M6" s="66">
        <f t="shared" ref="M6:M14" si="0">ROUND(K6*L6/10000,0)</f>
        <v>8420</v>
      </c>
      <c r="N6" s="730">
        <f>N19</f>
        <v>0.87</v>
      </c>
      <c r="O6" s="66" t="str">
        <f>IF($N$5="成新度","——",ROUND(M6*N6,0))</f>
        <v>——</v>
      </c>
      <c r="P6" s="67" t="str">
        <f>IF($N$5="成新度","——",M6-O6)</f>
        <v>——</v>
      </c>
      <c r="Q6" s="733">
        <v>0.1</v>
      </c>
      <c r="R6" s="68">
        <f ca="1">SUMIF('数据-汇总表'!C$19:C$33,A6,'数据-汇总表'!R$19:R$27)</f>
        <v>18492.07</v>
      </c>
      <c r="S6" s="50">
        <f>IF('数据-汇总表'!$I$17="按面积比例",SUMIF('数据-汇总表'!C$19:C$33,A6,'数据-汇总表'!K$19:K$33),SUMIF('数据-汇总表'!C$19:C$33,A6,'数据-汇总表'!N$19:N$33))</f>
        <v>823.5</v>
      </c>
      <c r="T6" s="1171">
        <f>ROUND($L$14*S6/10000,0)</f>
        <v>206</v>
      </c>
      <c r="U6" s="3427">
        <v>1.8</v>
      </c>
      <c r="V6" s="69">
        <v>0</v>
      </c>
      <c r="W6" s="69">
        <v>0.1</v>
      </c>
      <c r="X6" s="1039"/>
      <c r="Y6" s="70">
        <f>N6</f>
        <v>0.87</v>
      </c>
      <c r="Z6" s="71"/>
      <c r="AA6" s="65"/>
      <c r="AB6" s="65"/>
      <c r="AC6" s="1039"/>
      <c r="AD6" s="72"/>
      <c r="AE6" s="1040">
        <f ca="1">IF(AN6="",0,SUMIF(INDIRECT("'"&amp;AN6&amp;"'"&amp;"!E:E"),$AE$5,INDIRECT("'"&amp;AN6&amp;"'"&amp;"!F:F")))</f>
        <v>33.4</v>
      </c>
      <c r="AF6" s="1347"/>
      <c r="AG6" s="137">
        <f>IF(AF6="",0,AE6-AF6)</f>
        <v>0</v>
      </c>
      <c r="AH6" s="73"/>
      <c r="AI6" s="75">
        <v>365</v>
      </c>
      <c r="AJ6" s="76"/>
      <c r="AK6" s="77">
        <v>0.01</v>
      </c>
      <c r="AL6" s="78">
        <v>1.5E-3</v>
      </c>
      <c r="AM6" s="79">
        <v>0.01</v>
      </c>
      <c r="AN6" s="1714" t="s">
        <v>3439</v>
      </c>
      <c r="AO6" s="51">
        <f ca="1">SUMIF(INDIRECT("'"&amp;AN6&amp;"'"&amp;"!A:A"),"总价",INDIRECT("'"&amp;AN6&amp;"'"&amp;"!B:B"))</f>
        <v>17764</v>
      </c>
      <c r="AP6" s="1715">
        <f>IF(C6="住宅",K6*L6,0)</f>
        <v>0</v>
      </c>
      <c r="AQ6" s="51">
        <f>ROUND($L$14*$N$14*S6/10000,0)</f>
        <v>179</v>
      </c>
      <c r="AR6" s="51">
        <f>ROUND($L$14*(1-$N$14)*S6/10000,0)</f>
        <v>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2#酒店</v>
      </c>
      <c r="B7" s="1712" t="str">
        <f t="shared" ref="B7:B13" si="1">IF(A7=0,"","经营性")</f>
        <v>经营性</v>
      </c>
      <c r="C7" s="1713" t="s">
        <v>3</v>
      </c>
      <c r="D7" s="857">
        <f>SUMIF(项目基本情况!C$12:I$12,C7,项目基本情况!C$14:I$14)</f>
        <v>50</v>
      </c>
      <c r="E7" s="856">
        <f>IF(B7="","",SUMIF(项目基本情况!C$12:I$12,C7,项目基本情况!C$13:I$13))</f>
        <v>57314</v>
      </c>
      <c r="F7" s="63">
        <f>SUMIF(项目基本情况!C$12:I$12,C7,项目基本情况!C$15:I$15)</f>
        <v>33.4</v>
      </c>
      <c r="G7" s="64">
        <f t="shared" ref="G7:G11" si="2">IF(ISERROR(ROUND(POWER(1+H7,D7-F7)*(POWER(1+H7,F7)-1)/(POWER(1+H7,D7)-1),3)),0,ROUND(POWER(1+H7,D7-F7)*(POWER(1+H7,F7)-1)/(POWER(1+H7,D7)-1),3))</f>
        <v>0.88100000000000001</v>
      </c>
      <c r="H7" s="731">
        <v>0.05</v>
      </c>
      <c r="I7" s="731">
        <v>0.06</v>
      </c>
      <c r="J7" s="65">
        <f>J6</f>
        <v>7.0000000000000007E-2</v>
      </c>
      <c r="K7" s="1029">
        <f>SUMIF('数据-汇总表'!C$19:C$33,A7,'数据-汇总表'!E$19:E$33)</f>
        <v>5814.57</v>
      </c>
      <c r="L7" s="732">
        <v>6000</v>
      </c>
      <c r="M7" s="66">
        <f t="shared" si="0"/>
        <v>3489</v>
      </c>
      <c r="N7" s="730">
        <f>N6</f>
        <v>0.87</v>
      </c>
      <c r="O7" s="66" t="str">
        <f t="shared" ref="O7:O14" si="3">IF($N$5="成新度","——",ROUND(M7*N7,0))</f>
        <v>——</v>
      </c>
      <c r="P7" s="67" t="str">
        <f t="shared" ref="P7:P14" si="4">IF($N$5="成新度","——",M7-O7)</f>
        <v>——</v>
      </c>
      <c r="Q7" s="733">
        <v>0.1</v>
      </c>
      <c r="R7" s="68">
        <f ca="1">SUMIF('数据-汇总表'!C$19:C$33,A7,'数据-汇总表'!R$19:R$27)</f>
        <v>4086.32</v>
      </c>
      <c r="S7" s="50">
        <f>IF('数据-汇总表'!$I$17="按面积比例",SUMIF('数据-汇总表'!C$19:C$33,A7,'数据-汇总表'!K$19:K$33),SUMIF('数据-汇总表'!C$19:C$33,A7,'数据-汇总表'!N$19:N$33))</f>
        <v>181.98</v>
      </c>
      <c r="T7" s="1171">
        <f t="shared" ref="T7:T13" si="5">ROUND($L$14*S7/10000,0)</f>
        <v>45</v>
      </c>
      <c r="U7" s="3427"/>
      <c r="V7" s="69"/>
      <c r="W7" s="69"/>
      <c r="X7" s="1039"/>
      <c r="Y7" s="70">
        <f>Y6</f>
        <v>0.87</v>
      </c>
      <c r="Z7" s="71"/>
      <c r="AA7" s="65"/>
      <c r="AB7" s="65"/>
      <c r="AC7" s="1039"/>
      <c r="AD7" s="72"/>
      <c r="AE7" s="1040">
        <f t="shared" ref="AE7:AE13" ca="1" si="6">IF(AN7="",0,SUMIF(INDIRECT("'"&amp;AN7&amp;"'"&amp;"!E:E"),$AE$5,INDIRECT("'"&amp;AN7&amp;"'"&amp;"!F:F")))</f>
        <v>0</v>
      </c>
      <c r="AF7" s="1347"/>
      <c r="AG7" s="137">
        <f t="shared" ref="AG7:AG13" si="7">IF(AF7="",0,AE7-AF7)</f>
        <v>0</v>
      </c>
      <c r="AH7" s="73"/>
      <c r="AI7" s="75">
        <v>365</v>
      </c>
      <c r="AJ7" s="76"/>
      <c r="AK7" s="77">
        <v>0.01</v>
      </c>
      <c r="AL7" s="78">
        <v>1.5E-3</v>
      </c>
      <c r="AM7" s="79">
        <v>0.01</v>
      </c>
      <c r="AN7" s="1714" t="s">
        <v>3447</v>
      </c>
      <c r="AO7" s="51">
        <f t="shared" ref="AO7:AO13" ca="1" si="8">SUMIF(INDIRECT("'"&amp;AN7&amp;"'"&amp;"!A:A"),"总价",INDIRECT("'"&amp;AN7&amp;"'"&amp;"!B:B"))</f>
        <v>6753</v>
      </c>
      <c r="AP7" s="1715">
        <f t="shared" ref="AP7:AP13" si="9">IF(C7="住宅",K7*L7,0)</f>
        <v>0</v>
      </c>
      <c r="AQ7" s="51">
        <f t="shared" ref="AQ7:AQ13" si="10">ROUND($L$14*$N$14*S7/10000,0)</f>
        <v>40</v>
      </c>
      <c r="AR7" s="51">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3"/>
      <c r="G14" s="64"/>
      <c r="H14" s="1028"/>
      <c r="I14" s="1028"/>
      <c r="J14" s="1028"/>
      <c r="K14" s="1029">
        <f>SUMIF('数据-汇总表'!C$19:C$33,A14,'数据-汇总表'!E$19:E$33)</f>
        <v>1005.48</v>
      </c>
      <c r="L14" s="81">
        <v>2500</v>
      </c>
      <c r="M14" s="66">
        <f t="shared" si="0"/>
        <v>251</v>
      </c>
      <c r="N14" s="82">
        <f>N6</f>
        <v>0.87</v>
      </c>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7"/>
      <c r="C16" s="832"/>
      <c r="D16" s="1719"/>
      <c r="E16" s="87"/>
      <c r="F16" s="87"/>
      <c r="G16" s="88">
        <f>ROUND(SUMPRODUCT(G6:G13,K6:K13)/SUMPRODUCT((G6:G13&gt;0)*(K6:K13)),3)</f>
        <v>0.88100000000000001</v>
      </c>
      <c r="H16" s="89">
        <f>ROUND(SUMPRODUCT(H6:H13,K6:K13)/SUMPRODUCT((H6:H13&gt;0)*(K6:K13)),3)</f>
        <v>0.05</v>
      </c>
      <c r="I16" s="90"/>
      <c r="J16" s="90"/>
      <c r="K16" s="91">
        <f>SUM(K6:K15)</f>
        <v>33133.130000000005</v>
      </c>
      <c r="L16" s="92">
        <f>ROUND(M16*10000/SUM(K6:K14),0)</f>
        <v>3670</v>
      </c>
      <c r="M16" s="92">
        <f>SUM(M6:M14)</f>
        <v>12160</v>
      </c>
      <c r="N16" s="93">
        <f>ROUND(SUMPRODUCT(M6:M14,N6:N14)/M16,3)</f>
        <v>0.87</v>
      </c>
      <c r="O16" s="92">
        <f>SUM(O6:O14)</f>
        <v>0</v>
      </c>
      <c r="P16" s="92">
        <f>SUM(P6:P14)</f>
        <v>0</v>
      </c>
      <c r="Q16" s="94">
        <f>ROUND(SUMPRODUCT(Q6:Q13,K6:K13)/SUMPRODUCT((Q6:Q13&gt;0)*(K6:K13)),2)</f>
        <v>0.1</v>
      </c>
      <c r="R16" s="1033">
        <f ca="1">SUM(R6:R13)</f>
        <v>22578.39</v>
      </c>
      <c r="S16" s="95">
        <f>SUM(S6:S13)</f>
        <v>1005.48</v>
      </c>
      <c r="T16" s="96">
        <f>IF(SUMIF(T6:T13,"&lt;9E307")=M14,SUMIF(T6:T13,"&lt;9E307"),"有误，请检查")</f>
        <v>251</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3470" t="s">
        <v>3432</v>
      </c>
      <c r="N17" s="730">
        <f>ROUND(1-(2023-2010)/60,2)</f>
        <v>0.78</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1209</v>
      </c>
      <c r="B18" s="2684"/>
      <c r="C18" s="2672"/>
      <c r="D18" s="2675"/>
      <c r="E18" s="2672"/>
      <c r="F18" s="2672"/>
      <c r="G18" s="2672"/>
      <c r="H18" s="2672"/>
      <c r="I18" s="2672"/>
      <c r="J18" s="2672"/>
      <c r="K18" s="2671"/>
      <c r="L18" s="2671"/>
      <c r="M18" s="3470" t="s">
        <v>3433</v>
      </c>
      <c r="N18" s="3471">
        <v>0.95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2">
        <v>0</v>
      </c>
      <c r="C19" s="2798" t="s">
        <v>2304</v>
      </c>
      <c r="D19" s="2675"/>
      <c r="E19" s="2672"/>
      <c r="F19" s="2672"/>
      <c r="G19" s="2672"/>
      <c r="H19" s="2672"/>
      <c r="I19" s="2672"/>
      <c r="J19" s="2672"/>
      <c r="K19" s="2671"/>
      <c r="L19" s="2671"/>
      <c r="M19" s="3470" t="s">
        <v>3434</v>
      </c>
      <c r="N19" s="2670">
        <f>ROUND((N17+N18)/2,2)</f>
        <v>0.87</v>
      </c>
      <c r="O19" s="2670"/>
      <c r="P19" s="2670"/>
      <c r="Q19" s="2670"/>
      <c r="R19" s="2670"/>
      <c r="S19" s="2670"/>
      <c r="T19" s="3470" t="s">
        <v>3435</v>
      </c>
      <c r="U19" s="2670">
        <v>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3">
        <v>2</v>
      </c>
      <c r="C20" s="2799" t="s">
        <v>2302</v>
      </c>
      <c r="D20" s="2675"/>
      <c r="E20" s="2672"/>
      <c r="F20" s="2672"/>
      <c r="G20" s="2672"/>
      <c r="H20" s="2672"/>
      <c r="I20" s="2672"/>
      <c r="J20" s="2672"/>
      <c r="K20" s="2671"/>
      <c r="L20" s="2671"/>
      <c r="M20" s="2670"/>
      <c r="N20" s="2670"/>
      <c r="O20" s="2670"/>
      <c r="P20" s="2670"/>
      <c r="Q20" s="2670"/>
      <c r="R20" s="2670"/>
      <c r="S20" s="2670"/>
      <c r="T20" s="3470" t="s">
        <v>3436</v>
      </c>
      <c r="U20" s="2670">
        <f>ROUND(U19*'数据-汇总表'!F19/'数据-汇总表'!E19,1)</f>
        <v>1.7</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3">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6">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1">
        <f ca="1">成本法!C10</f>
        <v>663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2">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8">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4"/>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4"/>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4"/>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4"/>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4"/>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4">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28" t="s">
        <v>2285</v>
      </c>
      <c r="B1" s="3629"/>
      <c r="C1" s="3629"/>
      <c r="D1" s="3629"/>
      <c r="E1" s="3629"/>
      <c r="F1" s="3629"/>
      <c r="G1" s="362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2" t="s">
        <v>2253</v>
      </c>
      <c r="C4" s="2467" t="s">
        <v>2254</v>
      </c>
      <c r="D4" s="2464"/>
      <c r="E4" s="2468"/>
      <c r="F4" s="1372" t="s">
        <v>2255</v>
      </c>
      <c r="G4" s="2469" t="s">
        <v>2256</v>
      </c>
      <c r="H4" s="798"/>
      <c r="I4" s="798"/>
      <c r="J4" s="798"/>
      <c r="K4" s="798"/>
      <c r="L4" s="798"/>
      <c r="M4" s="798"/>
      <c r="N4" s="798"/>
      <c r="O4" s="798"/>
      <c r="P4" s="798"/>
      <c r="Q4" s="798"/>
      <c r="R4" s="798"/>
    </row>
    <row r="5" spans="1:29" ht="36.75">
      <c r="A5" s="2441"/>
      <c r="B5" s="322" t="s">
        <v>2257</v>
      </c>
      <c r="C5" s="2467" t="s">
        <v>2258</v>
      </c>
      <c r="D5" s="2464"/>
      <c r="E5" s="2468"/>
      <c r="F5" s="322" t="s">
        <v>2259</v>
      </c>
      <c r="G5" s="2469" t="s">
        <v>2260</v>
      </c>
      <c r="H5" s="798"/>
      <c r="I5" s="798"/>
      <c r="J5" s="798"/>
      <c r="K5" s="798"/>
      <c r="L5" s="798"/>
      <c r="M5" s="798"/>
      <c r="N5" s="798"/>
      <c r="O5" s="798"/>
      <c r="P5" s="798"/>
      <c r="Q5" s="798"/>
      <c r="R5" s="798"/>
    </row>
    <row r="6" spans="1:29" ht="36">
      <c r="A6" s="2441"/>
      <c r="B6" s="322" t="s">
        <v>2261</v>
      </c>
      <c r="C6" s="2469" t="s">
        <v>2256</v>
      </c>
      <c r="D6" s="2464"/>
      <c r="E6" s="2468"/>
      <c r="F6" s="322" t="s">
        <v>2262</v>
      </c>
      <c r="G6" s="2469" t="s">
        <v>2263</v>
      </c>
      <c r="H6" s="798"/>
      <c r="I6" s="798"/>
      <c r="J6" s="798"/>
      <c r="K6" s="798"/>
      <c r="L6" s="798"/>
      <c r="M6" s="798"/>
      <c r="N6" s="798"/>
      <c r="O6" s="798"/>
      <c r="P6" s="798"/>
      <c r="Q6" s="798"/>
      <c r="R6" s="798"/>
    </row>
    <row r="7" spans="1:29" ht="24.75"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2"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2" t="s">
        <v>2262</v>
      </c>
      <c r="G20" s="2502" t="str">
        <f>G6</f>
        <v>估价对象所在区域基础设施水平</v>
      </c>
    </row>
    <row r="21" spans="1:18" ht="25.5">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33133.130000000005</v>
      </c>
      <c r="C1" s="2685"/>
      <c r="D1" s="2685"/>
      <c r="E1" s="2685"/>
      <c r="F1" s="2685"/>
      <c r="G1" s="2686"/>
      <c r="H1" s="2687"/>
      <c r="I1" s="2687"/>
      <c r="J1" s="2687"/>
      <c r="K1" s="2687"/>
    </row>
    <row r="2" spans="1:11" ht="16.5">
      <c r="A2" s="2511" t="s">
        <v>653</v>
      </c>
      <c r="B2" s="2511">
        <f>SUM(C14:C23)</f>
        <v>22578.39</v>
      </c>
      <c r="C2" s="2685"/>
      <c r="D2" s="2685"/>
      <c r="E2" s="2685"/>
      <c r="F2" s="2685"/>
      <c r="G2" s="2686"/>
      <c r="H2" s="2687"/>
      <c r="I2" s="2687"/>
      <c r="J2" s="2687"/>
      <c r="K2" s="2687"/>
    </row>
    <row r="3" spans="1:11" ht="16.5">
      <c r="A3" s="2511" t="s">
        <v>662</v>
      </c>
      <c r="B3" s="2513">
        <f>项目基本情况!D3</f>
        <v>45120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23656</v>
      </c>
      <c r="C5" s="2511">
        <f ca="1">IF(B5=D14,结果表!H102,ROUND(B5*10000/$B$1,0))</f>
        <v>7140</v>
      </c>
      <c r="D5" s="2511">
        <f ca="1">ROUND(B5*10000/$B$2,0)</f>
        <v>10477</v>
      </c>
      <c r="E5" s="2685"/>
      <c r="F5" s="2686"/>
      <c r="G5" s="2686"/>
      <c r="H5" s="2687"/>
      <c r="I5" s="2687"/>
      <c r="J5" s="2687"/>
      <c r="K5" s="2687"/>
    </row>
    <row r="6" spans="1:11" ht="16.5">
      <c r="A6" s="2511" t="s">
        <v>656</v>
      </c>
      <c r="B6" s="2511">
        <f ca="1">SUM(G14:G23)</f>
        <v>23656</v>
      </c>
      <c r="C6" s="2511">
        <f ca="1">IF(B6=G14,结果表!H108,ROUND(B6*10000/$B$1,0))</f>
        <v>7140</v>
      </c>
      <c r="D6" s="2511">
        <f ca="1">ROUND(B6*10000/$B$2,0)</f>
        <v>10477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33133.130000000005</v>
      </c>
      <c r="C14" s="2517">
        <f>结果表!C118</f>
        <v>22578.39</v>
      </c>
      <c r="D14" s="2517">
        <f ca="1">结果表!H118</f>
        <v>23656</v>
      </c>
      <c r="E14" s="2517">
        <f ca="1">ROUND(D14*10000/B14,0)</f>
        <v>7140</v>
      </c>
      <c r="F14" s="2517">
        <f ca="1">ROUND(D14*10000/C14,0)</f>
        <v>10477</v>
      </c>
      <c r="G14" s="2517">
        <f ca="1">结果表!D122</f>
        <v>23656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SheetLayoutView="70" zoomScalePageLayoutView="80" workbookViewId="0">
      <selection activeCell="W110" sqref="W11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97" t="str">
        <f>项目基本情况!S2</f>
        <v>北京市房地产</v>
      </c>
      <c r="B2" s="3698"/>
      <c r="C2" s="3698"/>
      <c r="D2" s="3698"/>
      <c r="E2" s="3698"/>
      <c r="F2" s="3698"/>
      <c r="G2" s="3698"/>
      <c r="H2" s="3698"/>
      <c r="I2" s="3699"/>
    </row>
    <row r="3" spans="1:12" ht="12.75">
      <c r="A3" s="3701" t="s">
        <v>1263</v>
      </c>
      <c r="B3" s="3702"/>
      <c r="C3" s="3702"/>
      <c r="D3" s="3702"/>
      <c r="E3" s="3702"/>
      <c r="F3" s="3702"/>
      <c r="G3" s="3702"/>
      <c r="H3" s="3702"/>
      <c r="I3" s="3702"/>
    </row>
    <row r="4" spans="1:12" ht="14.25">
      <c r="A4" s="1753" t="s">
        <v>1264</v>
      </c>
      <c r="B4" s="1754" t="s">
        <v>1265</v>
      </c>
      <c r="C4" s="1755" t="s">
        <v>3441</v>
      </c>
      <c r="D4" s="1755" t="s">
        <v>3442</v>
      </c>
      <c r="E4" s="3706" t="s">
        <v>1266</v>
      </c>
      <c r="F4" s="3707"/>
      <c r="G4" s="3707"/>
      <c r="H4" s="3707"/>
      <c r="I4" s="370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45" t="s">
        <v>1267</v>
      </c>
      <c r="B5" s="3700">
        <v>25</v>
      </c>
      <c r="C5" s="3703"/>
      <c r="D5" s="3691"/>
      <c r="E5" s="130" t="s">
        <v>1268</v>
      </c>
      <c r="F5" s="1756"/>
      <c r="G5" s="1756"/>
      <c r="H5" s="1756"/>
      <c r="I5" s="1372"/>
    </row>
    <row r="6" spans="1:12" ht="12.75">
      <c r="A6" s="3645"/>
      <c r="B6" s="3700"/>
      <c r="C6" s="3705"/>
      <c r="D6" s="3691"/>
      <c r="E6" s="130" t="s">
        <v>1269</v>
      </c>
      <c r="F6" s="1756"/>
      <c r="G6" s="1756"/>
      <c r="H6" s="1756"/>
      <c r="I6" s="1372"/>
    </row>
    <row r="7" spans="1:12" ht="12.75">
      <c r="A7" s="3645"/>
      <c r="B7" s="3700"/>
      <c r="C7" s="3704"/>
      <c r="D7" s="3691"/>
      <c r="E7" s="130" t="s">
        <v>1270</v>
      </c>
      <c r="F7" s="1756"/>
      <c r="G7" s="1756"/>
      <c r="H7" s="1756"/>
      <c r="I7" s="1372"/>
    </row>
    <row r="8" spans="1:12" ht="12.75">
      <c r="A8" s="3645" t="s">
        <v>1271</v>
      </c>
      <c r="B8" s="3700">
        <v>15</v>
      </c>
      <c r="C8" s="3703"/>
      <c r="D8" s="3691"/>
      <c r="E8" s="130" t="s">
        <v>1272</v>
      </c>
      <c r="F8" s="1756"/>
      <c r="G8" s="1756"/>
      <c r="H8" s="1756"/>
      <c r="I8" s="1372"/>
    </row>
    <row r="9" spans="1:12" ht="12.75">
      <c r="A9" s="3645"/>
      <c r="B9" s="3700"/>
      <c r="C9" s="3704"/>
      <c r="D9" s="3691"/>
      <c r="E9" s="130" t="s">
        <v>1273</v>
      </c>
      <c r="F9" s="1756"/>
      <c r="G9" s="1756"/>
      <c r="H9" s="1756"/>
      <c r="I9" s="1372"/>
    </row>
    <row r="10" spans="1:12" ht="12.75">
      <c r="A10" s="3645" t="s">
        <v>1274</v>
      </c>
      <c r="B10" s="3700">
        <v>15</v>
      </c>
      <c r="C10" s="3703"/>
      <c r="D10" s="3691"/>
      <c r="E10" s="130" t="s">
        <v>1275</v>
      </c>
      <c r="F10" s="1756"/>
      <c r="G10" s="1756"/>
      <c r="H10" s="1756"/>
      <c r="I10" s="1372"/>
    </row>
    <row r="11" spans="1:12" ht="12.75">
      <c r="A11" s="3645"/>
      <c r="B11" s="3700"/>
      <c r="C11" s="3704"/>
      <c r="D11" s="3691"/>
      <c r="E11" s="130" t="s">
        <v>1276</v>
      </c>
      <c r="F11" s="1756"/>
      <c r="G11" s="1756"/>
      <c r="H11" s="1756"/>
      <c r="I11" s="1372"/>
    </row>
    <row r="12" spans="1:12" ht="12.75">
      <c r="A12" s="3645" t="s">
        <v>1277</v>
      </c>
      <c r="B12" s="3700">
        <v>15</v>
      </c>
      <c r="C12" s="3703"/>
      <c r="D12" s="3691"/>
      <c r="E12" s="130" t="s">
        <v>1278</v>
      </c>
      <c r="F12" s="1756"/>
      <c r="G12" s="1756"/>
      <c r="H12" s="1756"/>
      <c r="I12" s="1372"/>
    </row>
    <row r="13" spans="1:12" ht="12.75">
      <c r="A13" s="3645"/>
      <c r="B13" s="3700"/>
      <c r="C13" s="3704"/>
      <c r="D13" s="3691"/>
      <c r="E13" s="130" t="s">
        <v>1279</v>
      </c>
      <c r="F13" s="1756"/>
      <c r="G13" s="1756"/>
      <c r="H13" s="1756"/>
      <c r="I13" s="1372"/>
    </row>
    <row r="14" spans="1:12" ht="12.75">
      <c r="A14" s="3645" t="s">
        <v>1280</v>
      </c>
      <c r="B14" s="3700">
        <v>30</v>
      </c>
      <c r="C14" s="3703">
        <v>5</v>
      </c>
      <c r="D14" s="3691">
        <v>5</v>
      </c>
      <c r="E14" s="130" t="s">
        <v>1281</v>
      </c>
      <c r="F14" s="1756"/>
      <c r="G14" s="1756"/>
      <c r="H14" s="1756"/>
      <c r="I14" s="1372"/>
    </row>
    <row r="15" spans="1:12" ht="12.75">
      <c r="A15" s="3645"/>
      <c r="B15" s="3700"/>
      <c r="C15" s="3705"/>
      <c r="D15" s="3691"/>
      <c r="E15" s="130" t="s">
        <v>1282</v>
      </c>
      <c r="F15" s="1756"/>
      <c r="G15" s="1756"/>
      <c r="H15" s="1756"/>
      <c r="I15" s="1372"/>
    </row>
    <row r="16" spans="1:12" ht="12.75">
      <c r="A16" s="3645"/>
      <c r="B16" s="3700"/>
      <c r="C16" s="3704"/>
      <c r="D16" s="3691"/>
      <c r="E16" s="130" t="s">
        <v>1283</v>
      </c>
      <c r="F16" s="1756"/>
      <c r="G16" s="1756"/>
      <c r="H16" s="1756"/>
      <c r="I16" s="1372"/>
    </row>
    <row r="17" spans="1:36" ht="15">
      <c r="A17" s="1757" t="s">
        <v>1284</v>
      </c>
      <c r="B17" s="55"/>
      <c r="C17" s="131">
        <f>SUM(C5:C16)</f>
        <v>5</v>
      </c>
      <c r="D17" s="131">
        <f>SUM(D5:D16)</f>
        <v>5</v>
      </c>
      <c r="E17" s="128"/>
      <c r="F17" s="128"/>
      <c r="G17" s="128"/>
      <c r="H17" s="128"/>
      <c r="I17" s="128"/>
      <c r="K17" s="301"/>
      <c r="L17" s="301" t="s">
        <v>1285</v>
      </c>
      <c r="M17" s="301" t="s">
        <v>1286</v>
      </c>
    </row>
    <row r="18" spans="1:36" ht="31.9" customHeight="1" thickBot="1">
      <c r="A18" s="1758" t="s">
        <v>1287</v>
      </c>
      <c r="B18" s="1759"/>
      <c r="C18" s="132">
        <f>ROUND(C17/SUM(C17:D17),2)</f>
        <v>0.5</v>
      </c>
      <c r="D18" s="132">
        <f>1-C18</f>
        <v>0.5</v>
      </c>
      <c r="E18" s="3722" t="s">
        <v>2130</v>
      </c>
      <c r="F18" s="3723"/>
      <c r="G18" s="3723"/>
      <c r="H18" s="3723"/>
      <c r="I18" s="3723"/>
      <c r="J18" s="724" t="s">
        <v>3471</v>
      </c>
      <c r="K18" s="301" t="s">
        <v>1288</v>
      </c>
      <c r="L18" s="301">
        <f>IF(C1="",'数据-汇总表'!E3,SUMIF(项目类型,C1,'数据-汇总表'!E17:E26)+SUMIF(项目类型,C1,'数据-汇总表'!I17:I26))</f>
        <v>33133.130000000005</v>
      </c>
      <c r="M18" s="301">
        <f>IF(C1="",'数据-汇总表'!E3,SUMIF(项目类型,C1,'数据-汇总表'!E17:E26))</f>
        <v>33133.130000000005</v>
      </c>
    </row>
    <row r="19" spans="1:36" ht="15">
      <c r="A19" s="1760" t="s">
        <v>1289</v>
      </c>
      <c r="B19" s="1761" t="s">
        <v>1290</v>
      </c>
      <c r="C19" s="133">
        <f ca="1">SUMIF(INDIRECT("'"&amp;C4&amp;"'"&amp;"!A:A"),结果表!B19,INDIRECT("'"&amp;C4&amp;"'"&amp;"!B:B"))</f>
        <v>22795</v>
      </c>
      <c r="D19" s="134">
        <f ca="1">SUMIF(INDIRECT("'"&amp;D4&amp;"'"&amp;"!A:A"),结果表!B19,INDIRECT("'"&amp;D4&amp;"'"&amp;"!B:B"))</f>
        <v>24517</v>
      </c>
      <c r="E19" s="1760" t="s">
        <v>1291</v>
      </c>
      <c r="F19" s="1761" t="s">
        <v>1290</v>
      </c>
      <c r="G19" s="135">
        <f ca="1">ROUND(C19*$C$18+D19*$D$18,0)</f>
        <v>23656</v>
      </c>
      <c r="H19" s="1762" t="s">
        <v>1292</v>
      </c>
      <c r="I19" s="128"/>
      <c r="J19" s="724">
        <v>23522</v>
      </c>
      <c r="K19" s="301" t="s">
        <v>1293</v>
      </c>
      <c r="L19" s="301">
        <f>IF(C1="",'数据-汇总表'!D3,SUMIF(项目类型,C1,'数据-汇总表'!D17:D26)+SUMIF(项目类型,C1,'数据-汇总表'!H17:H27))</f>
        <v>22578.39</v>
      </c>
      <c r="M19" s="301">
        <f>IF(C1="",'数据-汇总表'!D3,SUMIF(项目类型,C1,'数据-汇总表'!D17:D26))</f>
        <v>22578.39</v>
      </c>
    </row>
    <row r="20" spans="1:36" ht="15">
      <c r="A20" s="1763"/>
      <c r="B20" s="1025" t="s">
        <v>1294</v>
      </c>
      <c r="C20" s="136">
        <f ca="1">SUMIF(INDIRECT("'"&amp;C4&amp;"'"&amp;"!A:A"),结果表!B20,INDIRECT("'"&amp;C4&amp;"'"&amp;"!B:B"))</f>
        <v>6880</v>
      </c>
      <c r="D20" s="137">
        <f ca="1">SUMIF(INDIRECT("'"&amp;D4&amp;"'"&amp;"!A:A"),结果表!B20,INDIRECT("'"&amp;D4&amp;"'"&amp;"!B:B"))</f>
        <v>7400</v>
      </c>
      <c r="E20" s="1763"/>
      <c r="F20" s="1025" t="s">
        <v>1294</v>
      </c>
      <c r="G20" s="138">
        <f ca="1">ROUND(C20*$C$18+D20*$D$18,0)</f>
        <v>7140</v>
      </c>
      <c r="H20" s="807" t="s">
        <v>1295</v>
      </c>
      <c r="I20" s="128"/>
    </row>
    <row r="21" spans="1:36" ht="15" customHeight="1" thickBot="1">
      <c r="A21" s="827"/>
      <c r="B21" s="1764" t="s">
        <v>1296</v>
      </c>
      <c r="C21" s="718">
        <f ca="1">ROUND(C19*10000/L19,0)</f>
        <v>10096</v>
      </c>
      <c r="D21" s="719">
        <f ca="1">ROUND(D19*10000/L19,0)</f>
        <v>10859</v>
      </c>
      <c r="E21" s="827"/>
      <c r="F21" s="1764" t="s">
        <v>1296</v>
      </c>
      <c r="G21" s="139">
        <f ca="1">ROUND(G19*10000/L19,0)</f>
        <v>10477</v>
      </c>
      <c r="H21" s="1765" t="s">
        <v>1295</v>
      </c>
      <c r="I21" s="128"/>
    </row>
    <row r="22" spans="1:36" ht="15" thickBot="1">
      <c r="A22" s="1687" t="s">
        <v>1297</v>
      </c>
      <c r="B22" s="1766"/>
      <c r="C22" s="1767"/>
      <c r="D22" s="720">
        <f ca="1">IF(C19&lt;D19,D19/C19-1,C19/D19-1)</f>
        <v>7.5542882211011131E-2</v>
      </c>
      <c r="E22" s="128"/>
      <c r="F22" s="128"/>
      <c r="G22" s="128"/>
      <c r="H22" s="128"/>
      <c r="I22" s="128"/>
    </row>
    <row r="23" spans="1:36" ht="13.5" thickBot="1">
      <c r="A23" s="1746"/>
      <c r="B23" s="1746"/>
      <c r="C23" s="1746"/>
      <c r="D23" s="1746"/>
      <c r="E23" s="128"/>
      <c r="F23" s="128"/>
      <c r="G23" s="128"/>
      <c r="H23" s="128"/>
      <c r="I23" s="128"/>
    </row>
    <row r="24" spans="1:36" ht="14.25">
      <c r="A24" s="3715" t="s">
        <v>1298</v>
      </c>
      <c r="B24" s="1761" t="s">
        <v>1290</v>
      </c>
      <c r="C24" s="135">
        <f>IF(B30=0,0,D30)</f>
        <v>0</v>
      </c>
      <c r="D24" s="1768"/>
      <c r="E24" s="128"/>
      <c r="F24" s="128"/>
      <c r="G24" s="128"/>
      <c r="H24" s="128"/>
      <c r="I24" s="128"/>
    </row>
    <row r="25" spans="1:36" ht="14.25">
      <c r="A25" s="3716"/>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23656</v>
      </c>
      <c r="D32" s="1774" t="s">
        <v>3469</v>
      </c>
      <c r="E32" s="128"/>
      <c r="F32" s="128"/>
      <c r="G32" s="128"/>
      <c r="H32" s="128"/>
      <c r="I32" s="128"/>
    </row>
    <row r="33" spans="1:15" ht="15">
      <c r="A33" s="785" t="s">
        <v>1305</v>
      </c>
      <c r="B33" s="1775"/>
      <c r="C33" s="1776" t="s">
        <v>3470</v>
      </c>
      <c r="D33" s="1777" t="s">
        <v>3441</v>
      </c>
      <c r="E33" s="1778" t="s">
        <v>1306</v>
      </c>
      <c r="F33" s="1779" t="str">
        <f>IF(D32="楼面单价","取值（单价）","取值（总价）")</f>
        <v>取值（总价）</v>
      </c>
      <c r="G33" s="128"/>
      <c r="H33" s="128"/>
      <c r="I33" s="128"/>
    </row>
    <row r="34" spans="1:15" ht="15">
      <c r="A34" s="1780"/>
      <c r="B34" s="1781" t="s">
        <v>1307</v>
      </c>
      <c r="C34" s="147">
        <f ca="1">IF(C33="自定义",F34,C32-C35)</f>
        <v>8540</v>
      </c>
      <c r="D34" s="860">
        <f ca="1">IF(C33="自定义",ROUND(C34/C32,3),IF(C33="收益比率",SUMIF(INDIRECT("'"&amp;D33&amp;"'"&amp;"!b:b"),"土地收益比率",INDIRECT("'"&amp;D33&amp;"'"&amp;"!c:c")),SUMIF(INDIRECT("'"&amp;D33&amp;"'"&amp;"!b:b"),"土地成本比率",INDIRECT("'"&amp;D33&amp;"'"&amp;"!c:c"))))</f>
        <v>0.36099999999999999</v>
      </c>
      <c r="E34" s="1782" t="s">
        <v>1308</v>
      </c>
      <c r="F34" s="1329"/>
      <c r="G34" s="128"/>
      <c r="H34" s="128"/>
      <c r="I34" s="128"/>
    </row>
    <row r="35" spans="1:15" ht="15.75" thickBot="1">
      <c r="A35" s="1783"/>
      <c r="B35" s="1784" t="s">
        <v>1309</v>
      </c>
      <c r="C35" s="1169">
        <f ca="1">IF(C33="自定义",F35,ROUND(C32*D35,0))</f>
        <v>15116</v>
      </c>
      <c r="D35" s="1170">
        <f ca="1">IF(C33="自定义",ROUND(C35/C32,3),IF(C33="收益比率",SUMIF(INDIRECT("'"&amp;D33&amp;"'"&amp;"!b:b"),"建筑物收益比率",INDIRECT("'"&amp;D33&amp;"'"&amp;"!c:c")),SUMIF(INDIRECT("'"&amp;D33&amp;"'"&amp;"!b:b"),"建筑物成本比率",INDIRECT("'"&amp;D33&amp;"'"&amp;"!c:c"))))</f>
        <v>0.63900000000000001</v>
      </c>
      <c r="E35" s="1785" t="s">
        <v>1310</v>
      </c>
      <c r="F35" s="153"/>
      <c r="G35" s="128"/>
      <c r="H35" s="128"/>
      <c r="I35" s="128"/>
    </row>
    <row r="36" spans="1:15" ht="15.75" thickBot="1">
      <c r="A36" s="3692" t="s">
        <v>1311</v>
      </c>
      <c r="B36" s="1786" t="s">
        <v>1312</v>
      </c>
      <c r="C36" s="144"/>
      <c r="D36" s="1787"/>
      <c r="E36" s="1788"/>
      <c r="F36" s="1789"/>
      <c r="G36" s="128"/>
      <c r="H36" s="128"/>
      <c r="I36" s="128"/>
    </row>
    <row r="37" spans="1:15" ht="15.75" thickBot="1">
      <c r="A37" s="3693"/>
      <c r="B37" s="1673" t="s">
        <v>1313</v>
      </c>
      <c r="C37" s="146"/>
      <c r="D37" s="1138"/>
      <c r="E37" s="1138"/>
      <c r="F37" s="1789"/>
      <c r="G37" s="128"/>
      <c r="H37" s="128"/>
      <c r="I37" s="128"/>
    </row>
    <row r="38" spans="1:15" ht="15.75" thickBot="1">
      <c r="A38" s="3694"/>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712" t="s">
        <v>1325</v>
      </c>
      <c r="B45" s="3713"/>
      <c r="C45" s="3714"/>
      <c r="D45" s="154">
        <f ca="1">ROUND(H101*F45,0)</f>
        <v>23656</v>
      </c>
      <c r="E45" s="155" t="s">
        <v>1326</v>
      </c>
      <c r="F45" s="156">
        <v>1</v>
      </c>
      <c r="G45" s="157" t="s">
        <v>1327</v>
      </c>
      <c r="H45" s="128"/>
      <c r="I45" s="128"/>
      <c r="J45" s="3632" t="s">
        <v>1328</v>
      </c>
      <c r="K45" s="3632"/>
      <c r="L45" s="3632"/>
      <c r="M45" s="3632"/>
      <c r="N45" s="3632"/>
      <c r="O45" s="3632"/>
    </row>
    <row r="46" spans="1:15" ht="14.25" customHeight="1">
      <c r="A46" s="3709" t="s">
        <v>1329</v>
      </c>
      <c r="B46" s="3710"/>
      <c r="C46" s="3710"/>
      <c r="D46" s="3710"/>
      <c r="E46" s="3710"/>
      <c r="F46" s="3710"/>
      <c r="G46" s="3711"/>
      <c r="H46" s="1805"/>
      <c r="I46" s="158"/>
      <c r="J46" s="2522">
        <v>1</v>
      </c>
      <c r="K46" s="3633" t="s">
        <v>1330</v>
      </c>
      <c r="L46" s="3633"/>
      <c r="M46" s="3634"/>
      <c r="N46" s="3634"/>
      <c r="O46" s="3634"/>
    </row>
    <row r="47" spans="1:15" ht="12" customHeight="1">
      <c r="A47" s="159" t="s">
        <v>1331</v>
      </c>
      <c r="B47" s="160"/>
      <c r="C47" s="161"/>
      <c r="D47" s="1086" t="s">
        <v>1332</v>
      </c>
      <c r="E47" s="301" t="s">
        <v>1333</v>
      </c>
      <c r="F47" s="162" t="s">
        <v>1334</v>
      </c>
      <c r="G47" s="2545" t="s">
        <v>1335</v>
      </c>
      <c r="H47" s="2546"/>
      <c r="I47" s="158"/>
      <c r="J47" s="2522">
        <v>2</v>
      </c>
      <c r="K47" s="3633" t="s">
        <v>1336</v>
      </c>
      <c r="L47" s="3633"/>
      <c r="M47" s="3635">
        <f>'数据-取费表'!B2</f>
        <v>45120</v>
      </c>
      <c r="N47" s="3635"/>
      <c r="O47" s="3635"/>
    </row>
    <row r="48" spans="1:15" ht="25.5">
      <c r="A48" s="3695" t="s">
        <v>1337</v>
      </c>
      <c r="B48" s="3696"/>
      <c r="C48" s="369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633" t="s">
        <v>1339</v>
      </c>
      <c r="L48" s="3633"/>
      <c r="M48" s="3636">
        <f ca="1">H101</f>
        <v>23656</v>
      </c>
      <c r="N48" s="3636"/>
      <c r="O48" s="3636"/>
    </row>
    <row r="49" spans="1:35" ht="25.5" customHeight="1">
      <c r="A49" s="2332" t="s">
        <v>1340</v>
      </c>
      <c r="B49" s="3681" t="s">
        <v>1341</v>
      </c>
      <c r="C49" s="3681"/>
      <c r="D49" s="1589">
        <v>0</v>
      </c>
      <c r="E49" s="323" t="s">
        <v>1342</v>
      </c>
      <c r="F49" s="2423" t="s">
        <v>28</v>
      </c>
      <c r="G49" s="3664"/>
      <c r="H49" s="2309" t="s">
        <v>2133</v>
      </c>
      <c r="I49" s="2310"/>
      <c r="J49" s="2522">
        <v>4</v>
      </c>
      <c r="K49" s="3633" t="str">
        <f>IF(项目基本情况!E8="房地产抵押价值","房地产抵押价值","抵押担保权已注销时的房地产抵押价值")</f>
        <v>房地产抵押价值</v>
      </c>
      <c r="L49" s="3633"/>
      <c r="M49" s="3636">
        <f ca="1">IF(项目基本情况!E8="房地产抵押价值",H107,H109)</f>
        <v>23656</v>
      </c>
      <c r="N49" s="3636"/>
      <c r="O49" s="3636"/>
    </row>
    <row r="50" spans="1:35" ht="25.5" customHeight="1">
      <c r="A50" s="2550"/>
      <c r="B50" s="3681" t="s">
        <v>1343</v>
      </c>
      <c r="C50" s="3681"/>
      <c r="D50" s="2551"/>
      <c r="E50" s="331"/>
      <c r="F50" s="2423"/>
      <c r="G50" s="3665"/>
      <c r="H50" s="2311" t="s">
        <v>2134</v>
      </c>
      <c r="I50" s="2310"/>
      <c r="J50" s="3632" t="s">
        <v>1344</v>
      </c>
      <c r="K50" s="3632"/>
      <c r="L50" s="3632"/>
      <c r="M50" s="3632"/>
      <c r="N50" s="3632"/>
      <c r="O50" s="3632"/>
    </row>
    <row r="51" spans="1:35" ht="20.45" customHeight="1">
      <c r="A51" s="2552"/>
      <c r="B51" s="3681" t="s">
        <v>1345</v>
      </c>
      <c r="C51" s="3681"/>
      <c r="D51" s="1086"/>
      <c r="E51" s="326"/>
      <c r="F51" s="2423"/>
      <c r="G51" s="3666"/>
      <c r="H51" s="2311" t="s">
        <v>2135</v>
      </c>
      <c r="I51" s="2310"/>
      <c r="J51" s="2523" t="s">
        <v>1346</v>
      </c>
      <c r="K51" s="3633" t="s">
        <v>1347</v>
      </c>
      <c r="L51" s="3633"/>
      <c r="M51" s="2523" t="s">
        <v>1348</v>
      </c>
      <c r="N51" s="2523" t="s">
        <v>1349</v>
      </c>
      <c r="O51" s="2523" t="s">
        <v>1350</v>
      </c>
    </row>
    <row r="52" spans="1:35" ht="24" customHeight="1">
      <c r="A52" s="2334" t="s">
        <v>1351</v>
      </c>
      <c r="B52" s="3681" t="s">
        <v>1352</v>
      </c>
      <c r="C52" s="3681"/>
      <c r="D52" s="1086">
        <f ca="1">ROUND(D45*'数据-取费表'!B41/(1+'数据-取费表'!C42),0)</f>
        <v>1239</v>
      </c>
      <c r="E52" s="2333" t="s">
        <v>1353</v>
      </c>
      <c r="F52" s="2553">
        <f>'数据-取费表'!B41</f>
        <v>5.5000000000000007E-2</v>
      </c>
      <c r="G52" s="2554"/>
      <c r="H52" s="2543"/>
      <c r="I52" s="1806"/>
      <c r="J52" s="2522">
        <v>1</v>
      </c>
      <c r="K52" s="3658" t="s">
        <v>1354</v>
      </c>
      <c r="L52" s="3658"/>
      <c r="M52" s="2524" t="b">
        <f>D48</f>
        <v>0</v>
      </c>
      <c r="N52" s="2522" t="str">
        <f>E48</f>
        <v>销售额×税（费）率</v>
      </c>
      <c r="O52" s="2525">
        <f>F48</f>
        <v>5.5000000000000007E-2</v>
      </c>
    </row>
    <row r="53" spans="1:35" ht="12" customHeight="1">
      <c r="A53" s="2334" t="s">
        <v>1355</v>
      </c>
      <c r="B53" s="3682" t="s">
        <v>2290</v>
      </c>
      <c r="C53" s="3683"/>
      <c r="D53" s="1086">
        <f ca="1">ROUND(D45*'数据-取费表'!B41/(1+'数据-取费表'!C42),0)</f>
        <v>1239</v>
      </c>
      <c r="E53" s="2333" t="s">
        <v>1353</v>
      </c>
      <c r="F53" s="2553">
        <f>'数据-取费表'!B41</f>
        <v>5.5000000000000007E-2</v>
      </c>
      <c r="G53" s="2554"/>
      <c r="H53" s="2543"/>
      <c r="I53" s="1806"/>
      <c r="J53" s="2522">
        <v>2</v>
      </c>
      <c r="K53" s="3658" t="s">
        <v>1356</v>
      </c>
      <c r="L53" s="3658"/>
      <c r="M53" s="2524">
        <f t="shared" ref="M53:O54" ca="1" si="0">D55</f>
        <v>12</v>
      </c>
      <c r="N53" s="2522" t="str">
        <f t="shared" si="0"/>
        <v>销售额×税（费）率</v>
      </c>
      <c r="O53" s="2525" t="str">
        <f t="shared" si="0"/>
        <v>免征</v>
      </c>
    </row>
    <row r="54" spans="1:35" ht="12" customHeight="1">
      <c r="A54" s="2334" t="s">
        <v>1357</v>
      </c>
      <c r="B54" s="3682" t="s">
        <v>2291</v>
      </c>
      <c r="C54" s="3683"/>
      <c r="D54" s="1086">
        <f ca="1">C68</f>
        <v>1239</v>
      </c>
      <c r="E54" s="326" t="s">
        <v>1358</v>
      </c>
      <c r="F54" s="2553">
        <f>'数据-取费表'!B41</f>
        <v>5.5000000000000007E-2</v>
      </c>
      <c r="G54" s="2554"/>
      <c r="H54" s="2555"/>
      <c r="I54" s="1806"/>
      <c r="J54" s="2522">
        <v>3</v>
      </c>
      <c r="K54" s="3658" t="s">
        <v>1359</v>
      </c>
      <c r="L54" s="3658"/>
      <c r="M54" s="2524">
        <f t="shared" ca="1" si="0"/>
        <v>13411</v>
      </c>
      <c r="N54" s="2522" t="str">
        <f t="shared" si="0"/>
        <v>增值额×税（费）率</v>
      </c>
      <c r="O54" s="2526" t="str">
        <f t="shared" si="0"/>
        <v>免征</v>
      </c>
    </row>
    <row r="55" spans="1:35" ht="24" customHeight="1">
      <c r="A55" s="3718" t="s">
        <v>1360</v>
      </c>
      <c r="B55" s="3696"/>
      <c r="C55" s="3696"/>
      <c r="D55" s="2323">
        <f ca="1">IF(H55="个人住宅",0,ROUND(D45*I55,0))</f>
        <v>12</v>
      </c>
      <c r="E55" s="2333" t="s">
        <v>1361</v>
      </c>
      <c r="F55" s="2553" t="str">
        <f>IF(H55="正常",I55,"免征")</f>
        <v>免征</v>
      </c>
      <c r="G55" s="2554"/>
      <c r="H55" s="2549"/>
      <c r="I55" s="164">
        <f>'数据-取费表'!B49</f>
        <v>5.0000000000000001E-4</v>
      </c>
      <c r="J55" s="2522">
        <f>IF(H59="非个人房产","",4)</f>
        <v>4</v>
      </c>
      <c r="K55" s="3658" t="str">
        <f>IF(H59="非个人房产","——","个人所得税")</f>
        <v>个人所得税</v>
      </c>
      <c r="L55" s="3658"/>
      <c r="M55" s="2527">
        <f ca="1">D59</f>
        <v>225</v>
      </c>
      <c r="N55" s="2039" t="str">
        <f>E59</f>
        <v>差额计税</v>
      </c>
      <c r="O55" s="2528">
        <f>F59</f>
        <v>0.01</v>
      </c>
    </row>
    <row r="56" spans="1:35" ht="24.75">
      <c r="A56" s="3718" t="s">
        <v>1362</v>
      </c>
      <c r="B56" s="3696"/>
      <c r="C56" s="3696"/>
      <c r="D56" s="2323">
        <f ca="1">IF(H56="个人住宅",D57,D58)</f>
        <v>13411</v>
      </c>
      <c r="E56" s="2333" t="s">
        <v>1363</v>
      </c>
      <c r="F56" s="2553" t="str">
        <f>IF(H56="正常",F58,"免征")</f>
        <v>免征</v>
      </c>
      <c r="G56" s="2556" t="s">
        <v>1364</v>
      </c>
      <c r="H56" s="2557"/>
      <c r="I56" s="1807"/>
      <c r="J56" s="2522" t="str">
        <f>IF(项目基本情况!K6="上海银行",IF(J55="",4,J55+1),"")</f>
        <v/>
      </c>
      <c r="K56" s="3639" t="str">
        <f>IF(项目基本情况!K6="上海银行","其他处置费用","")</f>
        <v/>
      </c>
      <c r="L56" s="3640"/>
      <c r="M56" s="2524" t="str">
        <f>IF(项目基本情况!K6="上海银行",M69,"")</f>
        <v/>
      </c>
      <c r="N56" s="3639" t="str">
        <f>IF(项目基本情况!K6="上海银行","包含处置中涉及的律师、诉讼、拍卖、评估等费用","")</f>
        <v/>
      </c>
      <c r="O56" s="3642"/>
    </row>
    <row r="57" spans="1:35" ht="12.75">
      <c r="A57" s="2334" t="s">
        <v>1340</v>
      </c>
      <c r="B57" s="3682" t="s">
        <v>1365</v>
      </c>
      <c r="C57" s="3683"/>
      <c r="D57" s="1589">
        <v>0</v>
      </c>
      <c r="E57" s="323" t="s">
        <v>1342</v>
      </c>
      <c r="F57" s="301"/>
      <c r="G57" s="2554"/>
      <c r="H57" s="2558"/>
      <c r="I57" s="1807"/>
      <c r="J57" s="3658">
        <f>IF(AND(J55="",J56=""),4,IF(项目基本情况!K6="上海银行",结果表!J56+1,结果表!J55+1))</f>
        <v>5</v>
      </c>
      <c r="K57" s="3658" t="s">
        <v>1366</v>
      </c>
      <c r="L57" s="2529" t="s">
        <v>1367</v>
      </c>
      <c r="M57" s="2530"/>
      <c r="N57" s="2531">
        <f ca="1">SUMIF(M52:M56,"&lt;9e307")</f>
        <v>13648</v>
      </c>
      <c r="O57" s="2532"/>
      <c r="P57" s="2689">
        <f ca="1">N57/M49</f>
        <v>0.57693608386878592</v>
      </c>
    </row>
    <row r="58" spans="1:35" ht="24.75">
      <c r="A58" s="2334" t="s">
        <v>1351</v>
      </c>
      <c r="B58" s="3682" t="s">
        <v>1368</v>
      </c>
      <c r="C58" s="3681"/>
      <c r="D58" s="2323">
        <f ca="1">IF(H58="转让取得",C81,C97)</f>
        <v>13411</v>
      </c>
      <c r="E58" s="2333" t="s">
        <v>1363</v>
      </c>
      <c r="F58" s="301" t="s">
        <v>28</v>
      </c>
      <c r="G58" s="2554"/>
      <c r="H58" s="2557"/>
      <c r="I58" s="1807"/>
      <c r="J58" s="3658"/>
      <c r="K58" s="3658"/>
      <c r="L58" s="2529" t="s">
        <v>1369</v>
      </c>
      <c r="M58" s="2533"/>
      <c r="N58" s="2534" t="str">
        <f ca="1">NUMBERSTRING(INT(N57*10000),2)&amp;"元整"</f>
        <v>壹亿叁仟陆佰肆拾捌万元整</v>
      </c>
      <c r="O58" s="2535"/>
    </row>
    <row r="59" spans="1:35" ht="24.75" thickBot="1">
      <c r="A59" s="3662" t="s">
        <v>1370</v>
      </c>
      <c r="B59" s="3663"/>
      <c r="C59" s="3663"/>
      <c r="D59" s="2559">
        <f ca="1">IF(H59="非个人房产","——",IF(H59="个人住宅（满五唯一有凭证）",0,IF(H59="个人其他（无凭证）",ROUND(D45*F59,0),ROUND(C67*F59,0))))</f>
        <v>225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660">
        <f>J57+1</f>
        <v>6</v>
      </c>
      <c r="K59" s="3658" t="s">
        <v>1371</v>
      </c>
      <c r="L59" s="2522" t="s">
        <v>1367</v>
      </c>
      <c r="M59" s="2536"/>
      <c r="N59" s="2537">
        <f ca="1">M49-N57</f>
        <v>10008</v>
      </c>
      <c r="O59" s="2538"/>
    </row>
    <row r="60" spans="1:35" ht="12" customHeight="1">
      <c r="A60" s="1808"/>
      <c r="B60" s="1746"/>
      <c r="C60" s="1746"/>
      <c r="D60" s="1746"/>
      <c r="E60" s="1577"/>
      <c r="F60" s="1807"/>
      <c r="G60" s="1807"/>
      <c r="H60" s="1809"/>
      <c r="I60" s="128"/>
      <c r="J60" s="3661"/>
      <c r="K60" s="3658"/>
      <c r="L60" s="2529" t="s">
        <v>1369</v>
      </c>
      <c r="M60" s="2533"/>
      <c r="N60" s="2534" t="str">
        <f ca="1">NUMBERSTRING(INT(N59*10000),2)&amp;"元整"</f>
        <v>壹亿零捌万元整</v>
      </c>
      <c r="O60" s="2535"/>
    </row>
    <row r="61" spans="1:35" ht="13.5" thickBot="1">
      <c r="A61" s="3717" t="s">
        <v>1372</v>
      </c>
      <c r="B61" s="3717"/>
      <c r="C61" s="3717"/>
      <c r="D61" s="3717"/>
      <c r="E61" s="3717"/>
      <c r="F61" s="1807"/>
      <c r="G61" s="1807"/>
      <c r="H61" s="1809"/>
      <c r="I61" s="128"/>
      <c r="J61" s="2522">
        <f>J59+1</f>
        <v>7</v>
      </c>
      <c r="K61" s="3658" t="s">
        <v>1373</v>
      </c>
      <c r="L61" s="3658"/>
      <c r="M61" s="2539"/>
      <c r="N61" s="2540">
        <f ca="1">ROUND(N59*10000/'数据-汇总表'!E3,0)</f>
        <v>3021</v>
      </c>
      <c r="O61" s="2541"/>
    </row>
    <row r="62" spans="1:35" ht="12.75">
      <c r="A62" s="3677" t="s">
        <v>1374</v>
      </c>
      <c r="B62" s="3678"/>
      <c r="C62" s="2020"/>
      <c r="D62" s="2020" t="s">
        <v>1375</v>
      </c>
      <c r="E62" s="165" t="s">
        <v>1376</v>
      </c>
      <c r="F62" s="1807"/>
      <c r="G62" s="1807"/>
      <c r="H62" s="1809"/>
      <c r="I62" s="128"/>
    </row>
    <row r="63" spans="1:35" ht="12.75">
      <c r="A63" s="172" t="s">
        <v>330</v>
      </c>
      <c r="B63" s="166" t="s">
        <v>1377</v>
      </c>
      <c r="C63" s="2563">
        <f ca="1">ROUND((C64+C65)/(1+'数据-取费表'!C42),0)</f>
        <v>22530</v>
      </c>
      <c r="D63" s="166"/>
      <c r="E63" s="167"/>
      <c r="F63" s="1807"/>
      <c r="G63" s="1807"/>
      <c r="H63" s="1809"/>
      <c r="I63" s="128"/>
      <c r="J63" s="3641" t="s">
        <v>1378</v>
      </c>
      <c r="K63" s="1331" t="s">
        <v>1379</v>
      </c>
      <c r="L63" s="1331">
        <f ca="1">IF(M49&gt;10000,M49*0.5%,IF(AND(M49&gt;1000,M49&lt;=10000),M49*1%,IF(AND(M49&gt;100,M49&lt;=1000),M49*3%,IF(AND(M49&gt;10,M49&lt;=100),M49*5%,M49*8%))))</f>
        <v>118.28</v>
      </c>
      <c r="M63" s="301">
        <f ca="1">ROUND(L63,1)</f>
        <v>118.3</v>
      </c>
      <c r="N63" s="2542"/>
      <c r="Z63" s="1751"/>
      <c r="AI63" s="1752"/>
    </row>
    <row r="64" spans="1:35" ht="14.25" customHeight="1">
      <c r="A64" s="168" t="s">
        <v>325</v>
      </c>
      <c r="B64" s="169" t="s">
        <v>1380</v>
      </c>
      <c r="C64" s="2564">
        <f ca="1">D45</f>
        <v>23656</v>
      </c>
      <c r="D64" s="169" t="s">
        <v>26</v>
      </c>
      <c r="E64" s="171"/>
      <c r="F64" s="1807"/>
      <c r="G64" s="1807"/>
      <c r="H64" s="1809"/>
      <c r="I64" s="128"/>
      <c r="J64" s="3641"/>
      <c r="K64" s="1331" t="s">
        <v>1381</v>
      </c>
      <c r="L64" s="1331">
        <f ca="1">IF(M49&gt;2000,M49*0.5%,IF(AND(M49&gt;1000,M49&lt;=2000),M49*0.6%,IF(AND(M49&gt;500,M49&lt;=1000),M49*0.7%,IF(AND(M49&gt;200,M49&lt;=500),M49*0.8%,IF(AND(M49&gt;100,M49&lt;=200),M49*0.9%,IF(AND(M49&gt;50,M49&lt;=100),M49*1%,IF(AND(M49&gt;20,M49&lt;=50),M49*1.5%,IF(AND(M49&gt;10,M49&lt;=20),M49*2%,IF(AND(M49&gt;1,M49&lt;=10),M49*2.5%)))))))))</f>
        <v>118.28</v>
      </c>
      <c r="M64" s="301">
        <f t="shared" ref="M64:M65" ca="1" si="1">ROUND(L64,1)</f>
        <v>118.3</v>
      </c>
      <c r="N64" s="2543" t="s">
        <v>1382</v>
      </c>
      <c r="Z64" s="1751"/>
      <c r="AI64" s="1752"/>
    </row>
    <row r="65" spans="1:35" ht="14.25" customHeight="1">
      <c r="A65" s="168" t="s">
        <v>326</v>
      </c>
      <c r="B65" s="169" t="s">
        <v>1383</v>
      </c>
      <c r="C65" s="2565"/>
      <c r="D65" s="169"/>
      <c r="E65" s="171"/>
      <c r="F65" s="1807"/>
      <c r="G65" s="1807"/>
      <c r="H65" s="1809"/>
      <c r="I65" s="128"/>
      <c r="J65" s="3641"/>
      <c r="K65" s="1331" t="s">
        <v>1384</v>
      </c>
      <c r="L65" s="1331">
        <f ca="1">IF(M49&gt;1000,M49*0.1%,IF(AND(M49&gt;500,M49&lt;=1000),M49*0.5%,IF(AND(M49&gt;50,M49&lt;=500),M49*1%,IF(AND(M49&gt;1,M49&lt;=50),M49*1.5%))))</f>
        <v>23.655999999999999</v>
      </c>
      <c r="M65" s="301">
        <f t="shared" ca="1" si="1"/>
        <v>23.7</v>
      </c>
      <c r="N65" s="2543" t="s">
        <v>1382</v>
      </c>
      <c r="Z65" s="1751"/>
      <c r="AI65" s="1752"/>
    </row>
    <row r="66" spans="1:35" ht="14.25" customHeight="1">
      <c r="A66" s="172" t="s">
        <v>327</v>
      </c>
      <c r="B66" s="173" t="s">
        <v>1385</v>
      </c>
      <c r="C66" s="2566"/>
      <c r="D66" s="173" t="s">
        <v>26</v>
      </c>
      <c r="E66" s="1337" t="s">
        <v>671</v>
      </c>
      <c r="F66" s="1807"/>
      <c r="G66" s="1807"/>
      <c r="H66" s="1809"/>
      <c r="I66" s="128"/>
      <c r="J66" s="3641"/>
      <c r="K66" s="1331" t="s">
        <v>1386</v>
      </c>
      <c r="L66" s="1331">
        <f ca="1">M49*0.5%</f>
        <v>118.28</v>
      </c>
      <c r="M66" s="301">
        <f ca="1">IF(L66&gt;0.5,0.5,ROUND(L66,0))</f>
        <v>0.5</v>
      </c>
      <c r="N66" s="2543" t="s">
        <v>1387</v>
      </c>
      <c r="Z66" s="1751"/>
      <c r="AI66" s="1752"/>
    </row>
    <row r="67" spans="1:35" ht="14.25" customHeight="1">
      <c r="A67" s="172" t="s">
        <v>328</v>
      </c>
      <c r="B67" s="173" t="s">
        <v>1388</v>
      </c>
      <c r="C67" s="2567">
        <f ca="1">C63-C66</f>
        <v>22530</v>
      </c>
      <c r="D67" s="169" t="s">
        <v>26</v>
      </c>
      <c r="E67" s="171"/>
      <c r="F67" s="1807"/>
      <c r="G67" s="1807"/>
      <c r="H67" s="1809"/>
      <c r="I67" s="128"/>
      <c r="J67" s="3641"/>
      <c r="K67" s="1331" t="s">
        <v>1389</v>
      </c>
      <c r="L67" s="1331">
        <f ca="1">IF(M49&gt;=10000,(8.25+(M49-10000)*0.01%),IF(AND(M49&gt;=8000,M49&lt;10000),(7.85+(M49-8000)*0.02%),IF(AND(M49&gt;=5000,M49&lt;8000),(6.65+(M49-5000)*0.04%),IF(AND(M49&gt;=2000,M49&lt;5000),(4.25+(PM49-2000)*0.08%),IF(AND(M49&gt;=1000,M49&lt;2000),(2.75+(M49-1000)*0.15%),IF(AND(M49&gt;=100,M49&lt;1000),(0.5+(M49-100)*0.25%),IF(AND(M49&gt;0,M49&lt;100),M49*0.5%)))))))</f>
        <v>9.6156000000000006</v>
      </c>
      <c r="M67" s="301">
        <f ca="1">ROUND(L67*0.9,1)</f>
        <v>8.6999999999999993</v>
      </c>
      <c r="N67" s="2542"/>
      <c r="Z67" s="1751"/>
      <c r="AI67" s="1752"/>
    </row>
    <row r="68" spans="1:35" ht="14.25" customHeight="1" thickBot="1">
      <c r="A68" s="175" t="s">
        <v>329</v>
      </c>
      <c r="B68" s="176" t="s">
        <v>1390</v>
      </c>
      <c r="C68" s="2568">
        <f ca="1">IF(C67&lt;=0,0,ROUND(C67*D68,0))</f>
        <v>1239</v>
      </c>
      <c r="D68" s="2569">
        <f>'数据-取费表'!B41</f>
        <v>5.5000000000000007E-2</v>
      </c>
      <c r="E68" s="177"/>
      <c r="F68" s="1807"/>
      <c r="G68" s="1807"/>
      <c r="H68" s="1809"/>
      <c r="I68" s="128"/>
      <c r="J68" s="3641"/>
      <c r="K68" s="1331" t="s">
        <v>1391</v>
      </c>
      <c r="L68" s="1331">
        <f ca="1">IF(M49&gt;10000,M49*0.5%,IF(AND(M49&gt;5000,M49&lt;=10000),M49*1%,IF(AND(M49&gt;1000,M49&lt;=5000),M49*2%,IF(AND(M49&gt;200,M49&lt;=1000),M49*3%,M49*5%))))</f>
        <v>118.28</v>
      </c>
      <c r="M68" s="301">
        <f ca="1">ROUND(L68,1)</f>
        <v>118.3</v>
      </c>
      <c r="N68" s="2542"/>
      <c r="Z68" s="1751"/>
      <c r="AI68" s="1752"/>
    </row>
    <row r="69" spans="1:35" s="1771" customFormat="1" ht="16.5" customHeight="1">
      <c r="A69" s="1810"/>
      <c r="B69" s="1811"/>
      <c r="C69" s="1812"/>
      <c r="D69" s="1813"/>
      <c r="E69" s="1814"/>
      <c r="F69" s="1577"/>
      <c r="G69" s="1577"/>
      <c r="H69" s="1576"/>
      <c r="I69" s="1746"/>
      <c r="J69" s="3641"/>
      <c r="K69" s="1331" t="s">
        <v>1392</v>
      </c>
      <c r="L69" s="1331"/>
      <c r="M69" s="301">
        <f ca="1">ROUND(SUM(M63:M68),0)</f>
        <v>388</v>
      </c>
      <c r="N69" s="2544">
        <f ca="1">M69/M49</f>
        <v>1.6401758539059858E-2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85" t="s">
        <v>1393</v>
      </c>
      <c r="B70" s="3686"/>
      <c r="C70" s="3686"/>
      <c r="D70" s="3686"/>
      <c r="E70" s="3686"/>
      <c r="F70" s="3686"/>
      <c r="G70" s="3686"/>
      <c r="H70" s="368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77" t="s">
        <v>1374</v>
      </c>
      <c r="B71" s="3678"/>
      <c r="C71" s="2020"/>
      <c r="D71" s="2020" t="s">
        <v>1375</v>
      </c>
      <c r="E71" s="178" t="s">
        <v>1376</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1394</v>
      </c>
      <c r="C72" s="2567">
        <f ca="1">ROUND(D45/(1+'数据-取费表'!C42),0)</f>
        <v>22530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1395</v>
      </c>
      <c r="C73" s="2567">
        <f ca="1">C74+C78</f>
        <v>113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1397</v>
      </c>
      <c r="C75" s="2570"/>
      <c r="D75" s="169" t="s">
        <v>26</v>
      </c>
      <c r="E75" s="183" t="s">
        <v>1398</v>
      </c>
      <c r="F75" s="2571"/>
      <c r="G75" s="183"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3">
        <v>0.05</v>
      </c>
      <c r="E76" s="3682" t="s">
        <v>1401</v>
      </c>
      <c r="F76" s="3681"/>
      <c r="G76" s="3681"/>
      <c r="H76" s="368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4">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5">
        <f ca="1">ROUND(D45*D78/(1+'数据-取费表'!C42),0)</f>
        <v>113</v>
      </c>
      <c r="D78" s="2576">
        <f>'数据-取费表'!B43</f>
        <v>5.000000000000001E-3</v>
      </c>
      <c r="E78" s="3674" t="s">
        <v>1405</v>
      </c>
      <c r="F78" s="3675"/>
      <c r="G78" s="3675"/>
      <c r="H78" s="36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1406</v>
      </c>
      <c r="C79" s="2567">
        <f ca="1">C72-C73</f>
        <v>22417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7">
        <f ca="1">IF(C79&lt;=0,0,C79/C73)</f>
        <v>198.38053097345133</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1408</v>
      </c>
      <c r="C81" s="2578">
        <f ca="1">ROUND(IF(C79&lt;=0,0,IF(C80&gt;=200%,C79*60%-C73*35%,IF(C80&gt;=100%,C79*50%-C73*15%,IF(C80&gt;=50%,C79*40%-C73*5%,IF(C80&lt;50%,C79*30%,0))))),0)</f>
        <v>13411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85" t="s">
        <v>1409</v>
      </c>
      <c r="B83" s="3686"/>
      <c r="C83" s="3686"/>
      <c r="D83" s="3686"/>
      <c r="E83" s="3686"/>
      <c r="F83" s="3686"/>
      <c r="G83" s="3686"/>
      <c r="H83" s="368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7" t="s">
        <v>1374</v>
      </c>
      <c r="B84" s="3678"/>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1394</v>
      </c>
      <c r="C85" s="2567">
        <f ca="1">ROUND(D45/(1+'数据-取费表'!C42),0)</f>
        <v>22530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1395</v>
      </c>
      <c r="C86" s="2567">
        <f ca="1">IF(H88="仅含出让金",C87+C90+C91+C92+C93+C94,C87+C91+C92+C93+C94)</f>
        <v>113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1411</v>
      </c>
      <c r="C88" s="2581"/>
      <c r="D88" s="2576"/>
      <c r="E88" s="192" t="s">
        <v>1412</v>
      </c>
      <c r="F88" s="2326"/>
      <c r="G88" s="193" t="s">
        <v>1413</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1402</v>
      </c>
      <c r="C89" s="2575">
        <f>ROUND(C88*D89,0)</f>
        <v>0</v>
      </c>
      <c r="D89" s="2576">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1415</v>
      </c>
      <c r="C90" s="2581"/>
      <c r="D90" s="2576"/>
      <c r="E90" s="192" t="str">
        <f>IF(H88="-","土地取得成本中已包含该笔费用"," ")</f>
        <v xml:space="preserve"> </v>
      </c>
      <c r="F90" s="2326"/>
      <c r="G90" s="3643" t="s">
        <v>2128</v>
      </c>
      <c r="H90" s="364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5">
        <f>IF(H91="——",成本法!C33,I91)</f>
        <v>0</v>
      </c>
      <c r="D91" s="2576"/>
      <c r="E91" s="3674" t="s">
        <v>1418</v>
      </c>
      <c r="F91" s="3675"/>
      <c r="G91" s="367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5">
        <f>ROUND((C87+C90+C91)*D92,0)</f>
        <v>0</v>
      </c>
      <c r="D92" s="2582"/>
      <c r="E92" s="3674" t="s">
        <v>1421</v>
      </c>
      <c r="F92" s="3675"/>
      <c r="G92" s="3675"/>
      <c r="H92" s="367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5">
        <f ca="1">ROUND(D45*D93/(1+'数据-取费表'!C42),0)</f>
        <v>113</v>
      </c>
      <c r="D93" s="2576">
        <f>'数据-取费表'!B43</f>
        <v>5.000000000000001E-3</v>
      </c>
      <c r="E93" s="3674" t="s">
        <v>1405</v>
      </c>
      <c r="F93" s="3675"/>
      <c r="G93" s="3675"/>
      <c r="H93" s="36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81">
        <f>ROUND((C87+C90+C91)*D94,0)</f>
        <v>0</v>
      </c>
      <c r="D94" s="2576">
        <v>0.2</v>
      </c>
      <c r="E94" s="3719" t="s">
        <v>1425</v>
      </c>
      <c r="F94" s="3720"/>
      <c r="G94" s="3720"/>
      <c r="H94" s="372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1406</v>
      </c>
      <c r="C95" s="2567">
        <f ca="1">ROUND(C85-C86,0)</f>
        <v>22417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7">
        <f ca="1">IF(C95&lt;=0,0,C95/C86)</f>
        <v>198.38053097345133</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1408</v>
      </c>
      <c r="C97" s="2578">
        <f ca="1">ROUND(IF(C95&lt;=0,0,IF(C96&gt;=200%,C95*60%-C86*35%,IF(C96&gt;=100%,C95*50%-C86*15%,IF(C96&gt;=50%,C95*40%-C86*5%,IF(C96&lt;50%,C95*30%,0))))),0)</f>
        <v>13411</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624" t="s">
        <v>1427</v>
      </c>
      <c r="B100" s="3625"/>
      <c r="C100" s="3625"/>
      <c r="D100" s="3659"/>
      <c r="E100" s="3625" t="s">
        <v>1428</v>
      </c>
      <c r="F100" s="3625"/>
      <c r="G100" s="3625"/>
      <c r="H100" s="3659"/>
      <c r="I100" s="128"/>
    </row>
    <row r="101" spans="1:35" ht="18.75" customHeight="1">
      <c r="A101" s="3667" t="s">
        <v>1429</v>
      </c>
      <c r="B101" s="3668"/>
      <c r="C101" s="2584" t="str">
        <f>C4</f>
        <v>成本法</v>
      </c>
      <c r="D101" s="2585" t="str">
        <f>D4</f>
        <v>收益法（汇总）</v>
      </c>
      <c r="E101" s="3637" t="s">
        <v>1430</v>
      </c>
      <c r="F101" s="3638"/>
      <c r="G101" s="1826" t="s">
        <v>1431</v>
      </c>
      <c r="H101" s="2594">
        <f ca="1">H118</f>
        <v>23656</v>
      </c>
      <c r="I101" s="128"/>
    </row>
    <row r="102" spans="1:35" ht="18.75" customHeight="1">
      <c r="A102" s="3669" t="s">
        <v>1432</v>
      </c>
      <c r="B102" s="2583" t="s">
        <v>1431</v>
      </c>
      <c r="C102" s="2584">
        <f ca="1">IF(D32="楼面单价",ROUND(C19,0),C19)</f>
        <v>22795</v>
      </c>
      <c r="D102" s="2585">
        <f ca="1">IF(D32="楼面单价",ROUND(D19,0),D19)</f>
        <v>24517</v>
      </c>
      <c r="E102" s="3637"/>
      <c r="F102" s="3638"/>
      <c r="G102" s="1826" t="s">
        <v>1433</v>
      </c>
      <c r="H102" s="2554">
        <f ca="1">I118</f>
        <v>7140</v>
      </c>
      <c r="I102" s="128"/>
    </row>
    <row r="103" spans="1:35" ht="42.75" customHeight="1">
      <c r="A103" s="3669"/>
      <c r="B103" s="2583" t="s">
        <v>1433</v>
      </c>
      <c r="C103" s="2586">
        <f ca="1">C20</f>
        <v>6880</v>
      </c>
      <c r="D103" s="2587">
        <f ca="1">D20</f>
        <v>7400</v>
      </c>
      <c r="E103" s="3630" t="s">
        <v>1434</v>
      </c>
      <c r="F103" s="3631"/>
      <c r="G103" s="1827" t="s">
        <v>1435</v>
      </c>
      <c r="H103" s="2594">
        <f>IF(D36="正常操作",H104+H105+H106,H105+H106)</f>
        <v>0</v>
      </c>
      <c r="I103" s="128"/>
    </row>
    <row r="104" spans="1:35" ht="18.75" customHeight="1">
      <c r="A104" s="3669" t="s">
        <v>1436</v>
      </c>
      <c r="B104" s="2588" t="s">
        <v>1431</v>
      </c>
      <c r="C104" s="2589">
        <f ca="1">H118</f>
        <v>23656</v>
      </c>
      <c r="D104" s="2590"/>
      <c r="E104" s="1673" t="s">
        <v>1437</v>
      </c>
      <c r="F104" s="1665"/>
      <c r="G104" s="1827" t="s">
        <v>1435</v>
      </c>
      <c r="H104" s="2595">
        <f>IF(D36="同一抵押权人同一抵押物续贷",C36&amp;"（续贷，未扣减，详见特别提示）",C36)</f>
        <v>0</v>
      </c>
      <c r="I104" s="128"/>
    </row>
    <row r="105" spans="1:35" ht="18.75" customHeight="1" thickBot="1">
      <c r="A105" s="3679"/>
      <c r="B105" s="2591" t="s">
        <v>1433</v>
      </c>
      <c r="C105" s="2592">
        <f ca="1">I118</f>
        <v>7140</v>
      </c>
      <c r="D105" s="2593"/>
      <c r="E105" s="1673" t="s">
        <v>1438</v>
      </c>
      <c r="F105" s="1665"/>
      <c r="G105" s="1827" t="s">
        <v>1435</v>
      </c>
      <c r="H105" s="2596">
        <f>C37</f>
        <v>0</v>
      </c>
      <c r="I105" s="128"/>
    </row>
    <row r="106" spans="1:35" ht="18.75" customHeight="1">
      <c r="A106" s="1746" t="s">
        <v>1439</v>
      </c>
      <c r="B106" s="1746"/>
      <c r="C106" s="1746"/>
      <c r="D106" s="1746"/>
      <c r="E106" s="1828" t="s">
        <v>1440</v>
      </c>
      <c r="F106" s="1665"/>
      <c r="G106" s="1827" t="s">
        <v>1435</v>
      </c>
      <c r="H106" s="2596">
        <f>C38</f>
        <v>0</v>
      </c>
      <c r="I106" s="128"/>
    </row>
    <row r="107" spans="1:35" ht="18.75" customHeight="1">
      <c r="A107" s="128"/>
      <c r="B107" s="128"/>
      <c r="C107" s="128"/>
      <c r="D107" s="128"/>
      <c r="E107" s="3670" t="str">
        <f>IF(项目基本情况!E8="已注销","——","3.房地产抵押价值")</f>
        <v>3.房地产抵押价值</v>
      </c>
      <c r="F107" s="3638"/>
      <c r="G107" s="1826" t="s">
        <v>1431</v>
      </c>
      <c r="H107" s="2594">
        <f ca="1">IF(E107="——","——",H101-H103)</f>
        <v>23656</v>
      </c>
      <c r="I107" s="128"/>
    </row>
    <row r="108" spans="1:35" ht="18.75" customHeight="1">
      <c r="A108" s="128"/>
      <c r="B108" s="128"/>
      <c r="C108" s="128"/>
      <c r="D108" s="128"/>
      <c r="E108" s="3670"/>
      <c r="F108" s="3638"/>
      <c r="G108" s="1826" t="s">
        <v>1433</v>
      </c>
      <c r="H108" s="2554">
        <f ca="1">IF(H107=H101,H102,ROUND(H107*10000/'数据-汇总表'!E3,0))</f>
        <v>7140</v>
      </c>
      <c r="I108" s="128"/>
    </row>
    <row r="109" spans="1:35" ht="18.75" customHeight="1">
      <c r="A109" s="128"/>
      <c r="B109" s="128"/>
      <c r="C109" s="128"/>
      <c r="D109" s="128"/>
      <c r="E109" s="3670" t="str">
        <f>IF(项目基本情况!E8="已注销及未注销","4.抵押担保权已注销时的房地产抵押价值",IF(项目基本情况!E8="已注销","3.抵押担保权已注销时的房地产抵押价值","——"))</f>
        <v>——</v>
      </c>
      <c r="F109" s="3638"/>
      <c r="G109" s="1826" t="s">
        <v>1431</v>
      </c>
      <c r="H109" s="2597" t="str">
        <f>IF(E109="——","——",H101-H105-H106)</f>
        <v>——</v>
      </c>
      <c r="I109" s="128"/>
    </row>
    <row r="110" spans="1:35" ht="18.75" customHeight="1">
      <c r="A110" s="128"/>
      <c r="B110" s="128"/>
      <c r="C110" s="128"/>
      <c r="D110" s="128"/>
      <c r="E110" s="3670"/>
      <c r="F110" s="3638"/>
      <c r="G110" s="1826" t="s">
        <v>1433</v>
      </c>
      <c r="H110" s="2554" t="str">
        <f>IF(H109="——","——",ROUND(H109*10000/'数据-汇总表'!E3,0))</f>
        <v>——</v>
      </c>
      <c r="I110" s="128"/>
    </row>
    <row r="111" spans="1:35" ht="18.75" customHeight="1">
      <c r="A111" s="128"/>
      <c r="B111" s="128"/>
      <c r="C111" s="128"/>
      <c r="D111" s="128"/>
      <c r="E111" s="3671" t="str">
        <f>IF(项目基本情况!E9="抵押净值",IF(OR(项目基本情况!E8="已注销",项目基本情况!E8="房地产抵押价值"),"4.抵押净值","5.抵押净值"),"——")</f>
        <v>——</v>
      </c>
      <c r="F111" s="3657"/>
      <c r="G111" s="1826" t="s">
        <v>1431</v>
      </c>
      <c r="H111" s="2594" t="str">
        <f>IF(E111="——","——",N59)</f>
        <v>——</v>
      </c>
      <c r="I111" s="128"/>
    </row>
    <row r="112" spans="1:35" ht="18.75" customHeight="1" thickBot="1">
      <c r="A112" s="128"/>
      <c r="B112" s="128"/>
      <c r="C112" s="128"/>
      <c r="D112" s="128"/>
      <c r="E112" s="3672"/>
      <c r="F112" s="3673"/>
      <c r="G112" s="1829" t="s">
        <v>1433</v>
      </c>
      <c r="H112" s="2598" t="str">
        <f>IF(E111="——","——",N61)</f>
        <v>——</v>
      </c>
      <c r="I112" s="128"/>
    </row>
    <row r="113" spans="1:27" ht="18.75" customHeight="1">
      <c r="A113" s="128"/>
      <c r="B113" s="128"/>
      <c r="C113" s="128"/>
      <c r="D113" s="128"/>
      <c r="E113" s="3680" t="s">
        <v>1439</v>
      </c>
      <c r="F113" s="3680"/>
      <c r="G113" s="3680"/>
      <c r="H113" s="3680"/>
      <c r="I113" s="128"/>
    </row>
    <row r="114" spans="1:27" ht="3.75" customHeight="1">
      <c r="A114" s="1746"/>
      <c r="B114" s="1746"/>
      <c r="C114" s="1746"/>
      <c r="D114" s="1746"/>
      <c r="E114" s="1808"/>
      <c r="F114" s="1808"/>
      <c r="G114" s="1808"/>
      <c r="H114" s="1808"/>
      <c r="I114" s="1746"/>
    </row>
    <row r="115" spans="1:27" ht="18.75" customHeight="1">
      <c r="A115" s="3688" t="s">
        <v>1441</v>
      </c>
      <c r="B115" s="3689"/>
      <c r="C115" s="3689"/>
      <c r="D115" s="3689"/>
      <c r="E115" s="3689"/>
      <c r="F115" s="3689"/>
      <c r="G115" s="3689"/>
      <c r="H115" s="3689"/>
      <c r="I115" s="3690"/>
    </row>
    <row r="116" spans="1:27" ht="27" customHeight="1">
      <c r="A116" s="3645" t="s">
        <v>1442</v>
      </c>
      <c r="B116" s="3649" t="s">
        <v>1443</v>
      </c>
      <c r="C116" s="3649" t="s">
        <v>1444</v>
      </c>
      <c r="D116" s="3655" t="s">
        <v>1445</v>
      </c>
      <c r="E116" s="3656"/>
      <c r="F116" s="3687" t="s">
        <v>1446</v>
      </c>
      <c r="G116" s="3687"/>
      <c r="H116" s="3645" t="s">
        <v>1447</v>
      </c>
      <c r="I116" s="3645"/>
    </row>
    <row r="117" spans="1:27" ht="18.75" customHeight="1">
      <c r="A117" s="3645"/>
      <c r="B117" s="3650"/>
      <c r="C117" s="3650"/>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33133.130000000005</v>
      </c>
      <c r="C118" s="2328">
        <f>M19</f>
        <v>22578.39</v>
      </c>
      <c r="D118" s="2328">
        <f ca="1">ROUND(IF(D32="总价",C34,E118*B118/10000),0)</f>
        <v>8540</v>
      </c>
      <c r="E118" s="2328">
        <f ca="1">ROUND(IF(C33="自定义",IF(D32="楼面单价",C34,D118*10000/B118),I118-G118),0)</f>
        <v>2578</v>
      </c>
      <c r="F118" s="2328">
        <f ca="1">ROUND(IF(D32="总价",C35,G118*B118/10000),0)</f>
        <v>15116</v>
      </c>
      <c r="G118" s="2328">
        <f ca="1">ROUND(IF(D32="楼面单价",C35,F118*10000/B118),0)</f>
        <v>4562</v>
      </c>
      <c r="H118" s="2328">
        <f ca="1">ROUND(IF(D32="总价",C32,I118*B118/10000),0)</f>
        <v>23656</v>
      </c>
      <c r="I118" s="2328">
        <f ca="1">ROUND(IF(D32="楼面单价",C32,H118*10000/B118),0)</f>
        <v>7140</v>
      </c>
    </row>
    <row r="119" spans="1:27" ht="18.75" customHeight="1">
      <c r="A119" s="3645" t="s">
        <v>1451</v>
      </c>
      <c r="B119" s="3645"/>
      <c r="C119" s="3645"/>
      <c r="D119" s="3651" t="str">
        <f ca="1">NUMBERSTRING(INT(D118*10000),2)&amp;"元整"</f>
        <v>捌仟伍佰肆拾万元整</v>
      </c>
      <c r="E119" s="3652"/>
      <c r="F119" s="3651" t="str">
        <f ca="1">NUMBERSTRING(INT(F118*10000),2)&amp;"元整"</f>
        <v>壹亿伍仟壹佰壹拾陆万元整</v>
      </c>
      <c r="G119" s="3652"/>
      <c r="H119" s="3651" t="str">
        <f ca="1">NUMBERSTRING(INT(H118*10000),2)&amp;"元整"</f>
        <v>贰亿叁仟陆佰伍拾陆万元整</v>
      </c>
      <c r="I119" s="3652"/>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1" t="s">
        <v>1451</v>
      </c>
      <c r="B121" s="3653"/>
      <c r="C121" s="3652"/>
      <c r="D121" s="3651" t="str">
        <f>IF(D120=0,"零元整",NUMBERSTRING(INT(D120*10000),2)&amp;"元整")</f>
        <v>零元整</v>
      </c>
      <c r="E121" s="3653"/>
      <c r="F121" s="3653"/>
      <c r="G121" s="3653"/>
      <c r="H121" s="3653"/>
      <c r="I121" s="3652"/>
      <c r="AA121" s="724"/>
    </row>
    <row r="122" spans="1:27" ht="18.75" customHeight="1">
      <c r="A122" s="3657" t="str">
        <f>IF(项目基本情况!B9="房地产市场价值","",MID(E107,3,LEN(E107)-2))</f>
        <v>房地产抵押价值</v>
      </c>
      <c r="B122" s="3657"/>
      <c r="C122" s="3657"/>
      <c r="D122" s="3646">
        <f ca="1">H107</f>
        <v>23656</v>
      </c>
      <c r="E122" s="3647"/>
      <c r="F122" s="3647"/>
      <c r="G122" s="3647"/>
      <c r="H122" s="3647"/>
      <c r="I122" s="3648"/>
      <c r="AA122" s="724"/>
    </row>
    <row r="123" spans="1:27" ht="18.75" customHeight="1">
      <c r="A123" s="3645" t="s">
        <v>1451</v>
      </c>
      <c r="B123" s="3645"/>
      <c r="C123" s="3645"/>
      <c r="D123" s="3651" t="str">
        <f ca="1">NUMBERSTRING(INT(D122*10000),2)&amp;"元整"</f>
        <v>贰亿叁仟陆佰伍拾陆万元整</v>
      </c>
      <c r="E123" s="3653"/>
      <c r="F123" s="3653"/>
      <c r="G123" s="3653"/>
      <c r="H123" s="3653"/>
      <c r="I123" s="3652"/>
      <c r="AA123" s="724"/>
    </row>
    <row r="124" spans="1:27" ht="18.75" customHeight="1">
      <c r="A124" s="3657" t="str">
        <f>IF(项目基本情况!B9="房地产市场价值","",MID(E109,3,LEN(E109)-2))</f>
        <v/>
      </c>
      <c r="B124" s="3657"/>
      <c r="C124" s="3657"/>
      <c r="D124" s="3646" t="str">
        <f>H109</f>
        <v>——</v>
      </c>
      <c r="E124" s="3647"/>
      <c r="F124" s="3647"/>
      <c r="G124" s="3647"/>
      <c r="H124" s="3647"/>
      <c r="I124" s="3648"/>
      <c r="AA124" s="724"/>
    </row>
    <row r="125" spans="1:27" ht="18.75" customHeight="1">
      <c r="A125" s="3645" t="s">
        <v>1451</v>
      </c>
      <c r="B125" s="3645"/>
      <c r="C125" s="3645"/>
      <c r="D125" s="3651" t="e">
        <f>NUMBERSTRING(INT(D124*10000),2)&amp;"元整"</f>
        <v>#VALUE!</v>
      </c>
      <c r="E125" s="3653"/>
      <c r="F125" s="3653"/>
      <c r="G125" s="3653"/>
      <c r="H125" s="3653"/>
      <c r="I125" s="3652"/>
      <c r="AA125" s="724"/>
    </row>
    <row r="126" spans="1:27" ht="18.75" customHeight="1">
      <c r="A126" s="3657" t="str">
        <f>IF(项目基本情况!B9="房地产市场价值","",MID(E111,3,LEN(E111)-2))</f>
        <v/>
      </c>
      <c r="B126" s="3657"/>
      <c r="C126" s="3657"/>
      <c r="D126" s="3646" t="str">
        <f>H111</f>
        <v>——</v>
      </c>
      <c r="E126" s="3647"/>
      <c r="F126" s="3647"/>
      <c r="G126" s="3647"/>
      <c r="H126" s="3647"/>
      <c r="I126" s="3648"/>
      <c r="AA126" s="724"/>
    </row>
    <row r="127" spans="1:27" ht="18.75" customHeight="1">
      <c r="A127" s="3645" t="s">
        <v>1451</v>
      </c>
      <c r="B127" s="3645"/>
      <c r="C127" s="3645"/>
      <c r="D127" s="3651" t="e">
        <f>NUMBERSTRING(INT(D126*10000),2)&amp;"元整"</f>
        <v>#VALUE!</v>
      </c>
      <c r="E127" s="3653"/>
      <c r="F127" s="3653"/>
      <c r="G127" s="3653"/>
      <c r="H127" s="3653"/>
      <c r="I127" s="3652"/>
      <c r="AA127" s="724"/>
    </row>
    <row r="128" spans="1:27" ht="21.75" customHeight="1">
      <c r="A128" s="3654" t="s">
        <v>1452</v>
      </c>
      <c r="B128" s="3654"/>
      <c r="C128" s="3654"/>
      <c r="D128" s="3654"/>
      <c r="E128" s="3654"/>
      <c r="F128" s="3654"/>
      <c r="G128" s="3654"/>
      <c r="H128" s="3654"/>
      <c r="I128" s="365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41" t="str">
        <f>项目基本情况!B1</f>
        <v>北京市房地产抵押价值预评估</v>
      </c>
      <c r="C37" s="3541"/>
      <c r="D37" s="3541"/>
      <c r="E37" s="3541"/>
      <c r="F37" s="3541"/>
      <c r="G37" s="3541"/>
      <c r="H37" s="3541"/>
      <c r="I37" s="354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85" zoomScaleNormal="70" zoomScaleSheetLayoutView="85" workbookViewId="0">
      <selection activeCell="K46" sqref="K4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8</v>
      </c>
    </row>
    <row r="2" spans="1:9" s="199" customFormat="1" ht="18" customHeight="1">
      <c r="A2" s="200" t="s">
        <v>1461</v>
      </c>
      <c r="B2" s="201">
        <f ca="1">IF(D2="——",C52,C52-E2)</f>
        <v>22795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6880</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6369</v>
      </c>
      <c r="D5" s="210" t="s">
        <v>1468</v>
      </c>
      <c r="E5" s="211" t="s">
        <v>1469</v>
      </c>
      <c r="F5" s="211" t="s">
        <v>1470</v>
      </c>
      <c r="G5" s="212"/>
    </row>
    <row r="6" spans="1:9" s="213" customFormat="1" ht="13.5" customHeight="1">
      <c r="A6" s="777" t="s">
        <v>1471</v>
      </c>
      <c r="B6" s="214" t="s">
        <v>1472</v>
      </c>
      <c r="C6" s="215">
        <f>基准地价修正!B2</f>
        <v>5537</v>
      </c>
      <c r="D6" s="216"/>
      <c r="E6" s="217"/>
      <c r="F6" s="217"/>
      <c r="G6" s="218"/>
    </row>
    <row r="7" spans="1:9" s="213" customFormat="1" ht="13.5" customHeight="1">
      <c r="A7" s="777" t="s">
        <v>1473</v>
      </c>
      <c r="B7" s="214" t="s">
        <v>1474</v>
      </c>
      <c r="C7" s="219">
        <f>ROUND(C6*F7,0)</f>
        <v>169</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663</v>
      </c>
      <c r="D8" s="221"/>
      <c r="E8" s="219"/>
      <c r="F8" s="220"/>
      <c r="G8" s="1855" t="s">
        <v>3466</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t="s">
        <v>3467</v>
      </c>
      <c r="H9" s="1136"/>
      <c r="I9" s="1857" t="s">
        <v>1478</v>
      </c>
    </row>
    <row r="10" spans="1:9" s="213" customFormat="1" ht="13.5" customHeight="1">
      <c r="A10" s="778" t="s">
        <v>356</v>
      </c>
      <c r="B10" s="223" t="s">
        <v>1479</v>
      </c>
      <c r="C10" s="224">
        <f ca="1">ROUND(D10*E10/10000,0)</f>
        <v>663</v>
      </c>
      <c r="D10" s="844">
        <f ca="1">IF(B1="",'数据-汇总表'!E6,IF(INDIRECT("'数据-取费表'!c"&amp;$G$1)="住宅",INDIRECT("'数据-取费表'!s"&amp;$G$1),INDIRECT("'数据-取费表'!k"&amp;$G$1)+INDIRECT("'数据-取费表'!s"&amp;$G$1)))</f>
        <v>33133.130000000005</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33133.130000000005</v>
      </c>
      <c r="E19" s="210">
        <f>'数据-取费表'!B31</f>
        <v>200</v>
      </c>
      <c r="F19" s="230"/>
      <c r="G19" s="1855" t="s">
        <v>3468</v>
      </c>
    </row>
    <row r="20" spans="1:7" s="213" customFormat="1" ht="13.5" customHeight="1">
      <c r="A20" s="254" t="s">
        <v>1492</v>
      </c>
      <c r="B20" s="209" t="s">
        <v>1493</v>
      </c>
      <c r="C20" s="231">
        <f ca="1">ROUND((C5+C19)*F20,0)</f>
        <v>127</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465</v>
      </c>
      <c r="D22" s="234">
        <f ca="1">C26</f>
        <v>6.9999999999999999E-4</v>
      </c>
      <c r="E22" s="235" t="s">
        <v>1497</v>
      </c>
      <c r="F22" s="236">
        <f ca="1">'数据-取费表'!B40</f>
        <v>3.5499999999999997E-2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460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5</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4.75">
      <c r="A27" s="254" t="s">
        <v>1511</v>
      </c>
      <c r="B27" s="243" t="s">
        <v>1512</v>
      </c>
      <c r="C27" s="244">
        <f ca="1">C28</f>
        <v>650</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ROUND((C5+C19+C20)*F27*'数据-取费表'!B21/'数据-取费表'!B20,0)</f>
        <v>650</v>
      </c>
      <c r="D28" s="234"/>
      <c r="E28" s="235"/>
      <c r="F28" s="245"/>
      <c r="G28" s="246"/>
    </row>
    <row r="29" spans="1:7" s="213" customFormat="1" ht="13.5" customHeight="1">
      <c r="A29" s="779" t="s">
        <v>347</v>
      </c>
      <c r="B29" s="247" t="s">
        <v>1516</v>
      </c>
      <c r="C29" s="237">
        <f ca="1">ROUND(C21*F27*'数据-取费表'!B21/'数据-取费表'!B20,4)</f>
        <v>2E-3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8229</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13370</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12160</v>
      </c>
      <c r="D34" s="216"/>
      <c r="E34" s="219"/>
      <c r="F34" s="256">
        <f ca="1">IF('数据-取费表'!B24=0,1,IF(B1="",'数据-取费表'!N16,INDIRECT("'数据-取费表'!n"&amp;$G$1)))</f>
        <v>1</v>
      </c>
      <c r="G34" s="218" t="s">
        <v>1525</v>
      </c>
    </row>
    <row r="35" spans="1:7" ht="13.5" customHeight="1">
      <c r="A35" s="779" t="s">
        <v>351</v>
      </c>
      <c r="B35" s="214" t="s">
        <v>1526</v>
      </c>
      <c r="C35" s="219">
        <f ca="1">ROUND(C34*F35,0)</f>
        <v>365</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663</v>
      </c>
      <c r="D37" s="216">
        <f ca="1">D19</f>
        <v>33133.130000000005</v>
      </c>
      <c r="E37" s="248">
        <f>'数据-取费表'!B35</f>
        <v>200</v>
      </c>
      <c r="F37" s="258"/>
      <c r="G37" s="260" t="s">
        <v>1531</v>
      </c>
    </row>
    <row r="38" spans="1:7" ht="13.5" customHeight="1">
      <c r="A38" s="779" t="s">
        <v>354</v>
      </c>
      <c r="B38" s="214" t="s">
        <v>1532</v>
      </c>
      <c r="C38" s="219">
        <f ca="1">ROUND(C34*F38,0)</f>
        <v>182</v>
      </c>
      <c r="D38" s="219"/>
      <c r="E38" s="219"/>
      <c r="F38" s="258">
        <f>'数据-取费表'!B36</f>
        <v>1.4999999999999999E-2</v>
      </c>
      <c r="G38" s="218" t="s">
        <v>1527</v>
      </c>
    </row>
    <row r="39" spans="1:7" s="213" customFormat="1" ht="13.5" customHeight="1">
      <c r="A39" s="254" t="s">
        <v>1533</v>
      </c>
      <c r="B39" s="209" t="s">
        <v>1534</v>
      </c>
      <c r="C39" s="231">
        <f ca="1">ROUND(C33*F20,0)</f>
        <v>267</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484</v>
      </c>
      <c r="D41" s="234">
        <f ca="1">C44</f>
        <v>6.9999999999999999E-4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475</v>
      </c>
      <c r="D42" s="237"/>
      <c r="E42" s="237"/>
      <c r="F42" s="238"/>
      <c r="G42" s="3724" t="s">
        <v>1543</v>
      </c>
    </row>
    <row r="43" spans="1:7" ht="13.5" customHeight="1">
      <c r="A43" s="779" t="s">
        <v>347</v>
      </c>
      <c r="B43" s="214" t="s">
        <v>1544</v>
      </c>
      <c r="C43" s="237">
        <f ca="1">ROUND(IF('数据-取费表'!B22&lt;=1,C39*F22*'数据-取费表'!B21/2,C39*(POWER((1+F22),'数据-取费表'!B21/2)-1)),0)</f>
        <v>9</v>
      </c>
      <c r="D43" s="237"/>
      <c r="E43" s="237"/>
      <c r="F43" s="238"/>
      <c r="G43" s="3725"/>
    </row>
    <row r="44" spans="1:7" ht="13.5" customHeight="1">
      <c r="A44" s="779" t="s">
        <v>348</v>
      </c>
      <c r="B44" s="214" t="s">
        <v>1545</v>
      </c>
      <c r="C44" s="237">
        <f ca="1">ROUND(IF('数据-取费表'!B22&lt;=1,C40*F22*'数据-取费表'!B21/2,C40*(POWER((1+F22),'数据-取费表'!B21/2)-1)),4)</f>
        <v>6.9999999999999999E-4</v>
      </c>
      <c r="D44" s="237"/>
      <c r="E44" s="237"/>
      <c r="F44" s="238"/>
      <c r="G44" s="3726"/>
    </row>
    <row r="45" spans="1:7" s="213" customFormat="1" ht="13.5" customHeight="1">
      <c r="A45" s="254" t="s">
        <v>1546</v>
      </c>
      <c r="B45" s="243" t="s">
        <v>1512</v>
      </c>
      <c r="C45" s="244">
        <f ca="1">C46</f>
        <v>1364</v>
      </c>
      <c r="D45" s="234">
        <f ca="1">C47</f>
        <v>2E-3</v>
      </c>
      <c r="E45" s="235" t="s">
        <v>1538</v>
      </c>
      <c r="F45" s="245">
        <f ca="1">F27</f>
        <v>0.1</v>
      </c>
      <c r="G45" s="246" t="s">
        <v>1547</v>
      </c>
    </row>
    <row r="46" spans="1:7" s="213" customFormat="1" ht="13.5" customHeight="1">
      <c r="A46" s="779" t="s">
        <v>346</v>
      </c>
      <c r="B46" s="247" t="s">
        <v>1548</v>
      </c>
      <c r="C46" s="248">
        <f ca="1">ROUND((C33+C39)*F27,0)</f>
        <v>1364</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1326">
        <f>ROUND(F30/(1+'数据-取费表'!C42),4)</f>
        <v>5.2400000000000002E-2</v>
      </c>
      <c r="D48" s="235" t="s">
        <v>1538</v>
      </c>
      <c r="E48" s="231"/>
      <c r="F48" s="236">
        <f>F30</f>
        <v>5.5000000000000007E-2</v>
      </c>
      <c r="G48" s="233" t="s">
        <v>1551</v>
      </c>
    </row>
    <row r="49" spans="1:7" ht="16.5" customHeight="1">
      <c r="A49" s="254" t="s">
        <v>1517</v>
      </c>
      <c r="B49" s="209" t="s">
        <v>1552</v>
      </c>
      <c r="C49" s="231">
        <f ca="1">ROUND((C33+C39+C41+C45)/(1-C40-D41-D45-C48),0)</f>
        <v>16742</v>
      </c>
      <c r="D49" s="231"/>
      <c r="E49" s="231"/>
      <c r="F49" s="263"/>
      <c r="G49" s="233" t="s">
        <v>1553</v>
      </c>
    </row>
    <row r="50" spans="1:7" s="257" customFormat="1" ht="24">
      <c r="A50" s="254" t="s">
        <v>1554</v>
      </c>
      <c r="B50" s="209" t="s">
        <v>1555</v>
      </c>
      <c r="C50" s="231"/>
      <c r="D50" s="231"/>
      <c r="E50" s="231"/>
      <c r="F50" s="263">
        <f>IF('数据-取费表'!B24=0,'数据-取费表'!N16,1)</f>
        <v>0.87</v>
      </c>
      <c r="G50" s="246" t="s">
        <v>1556</v>
      </c>
    </row>
    <row r="51" spans="1:7" ht="16.5" customHeight="1">
      <c r="A51" s="254" t="s">
        <v>1557</v>
      </c>
      <c r="B51" s="209" t="s">
        <v>1558</v>
      </c>
      <c r="C51" s="231">
        <f ca="1">ROUND(C49*F50,0)</f>
        <v>14566</v>
      </c>
      <c r="D51" s="231"/>
      <c r="E51" s="231"/>
      <c r="F51" s="263"/>
      <c r="G51" s="233" t="s">
        <v>1559</v>
      </c>
    </row>
    <row r="52" spans="1:7" s="207" customFormat="1" ht="16.5" thickBot="1">
      <c r="A52" s="264" t="s">
        <v>1560</v>
      </c>
      <c r="B52" s="265"/>
      <c r="C52" s="266">
        <f ca="1">C31+C51</f>
        <v>22795</v>
      </c>
      <c r="D52" s="265"/>
      <c r="E52" s="265"/>
      <c r="F52" s="265"/>
      <c r="G52" s="267"/>
    </row>
    <row r="55" spans="1:7" ht="15">
      <c r="B55" s="269" t="s">
        <v>1561</v>
      </c>
      <c r="C55" s="270"/>
    </row>
    <row r="56" spans="1:7">
      <c r="B56" s="272" t="s">
        <v>802</v>
      </c>
      <c r="C56" s="274">
        <f ca="1">1-C57</f>
        <v>0.36099999999999999</v>
      </c>
    </row>
    <row r="57" spans="1:7">
      <c r="B57" s="272" t="s">
        <v>803</v>
      </c>
      <c r="C57" s="273">
        <f ca="1">ROUND(C51/C52,3)</f>
        <v>0.63900000000000001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8</v>
      </c>
      <c r="H1" s="1060" t="str">
        <f>IF(ISERROR(FIND("住宅",B1)),"非住宅","住宅")</f>
        <v>非住宅</v>
      </c>
    </row>
    <row r="2" spans="1:8" s="199" customFormat="1" ht="18" customHeight="1">
      <c r="A2" s="200" t="s">
        <v>1461</v>
      </c>
      <c r="B2" s="3423">
        <f ca="1">ROUND(IF(D2="——",C52/10000,C52/10000-E2),4)</f>
        <v>16278.6054</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4913</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6626626</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6626626</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6626626</v>
      </c>
      <c r="D10" s="844">
        <f ca="1">IF(B1="",'数据-汇总表'!E6,IF(INDIRECT("'数据-取费表'!c"&amp;$G$1)="住宅",INDIRECT("'数据-取费表'!s"&amp;$G$1),INDIRECT("'数据-取费表'!k"&amp;$G$1)+INDIRECT("'数据-取费表'!s"&amp;$G$1)))</f>
        <v>33133.130000000005</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6626626</v>
      </c>
      <c r="D19" s="848">
        <f ca="1">D9+D10</f>
        <v>33133.130000000005</v>
      </c>
      <c r="E19" s="210">
        <f>'数据-取费表'!B31</f>
        <v>200</v>
      </c>
      <c r="F19" s="230"/>
      <c r="G19" s="1855"/>
    </row>
    <row r="20" spans="1:7" s="213" customFormat="1" ht="13.5" customHeight="1">
      <c r="A20" s="254" t="s">
        <v>1573</v>
      </c>
      <c r="B20" s="209" t="s">
        <v>1574</v>
      </c>
      <c r="C20" s="231">
        <f ca="1">ROUND((C5+C19)*F20,0)</f>
        <v>265065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967094</v>
      </c>
      <c r="D22" s="234">
        <f ca="1">C26</f>
        <v>6.9999999999999999E-4</v>
      </c>
      <c r="E22" s="235" t="s">
        <v>1578</v>
      </c>
      <c r="F22" s="236">
        <f ca="1">'数据-取费表'!B40</f>
        <v>3.5499999999999997E-2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478842</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478842</v>
      </c>
      <c r="D24" s="237"/>
      <c r="E24" s="237"/>
      <c r="F24" s="238"/>
      <c r="G24" s="239" t="s">
        <v>1585</v>
      </c>
    </row>
    <row r="25" spans="1:7" s="213" customFormat="1" ht="24">
      <c r="A25" s="779" t="s">
        <v>1475</v>
      </c>
      <c r="B25" s="214" t="s">
        <v>1586</v>
      </c>
      <c r="C25" s="1127">
        <f ca="1">ROUND(IF('数据-取费表'!B22&lt;=1,C20*F22*'数据-取费表'!B22/2,C20*(POWER((1+F22),'数据-取费表'!B22/2)-1)),0)</f>
        <v>9410</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4.75">
      <c r="A27" s="254" t="s">
        <v>1511</v>
      </c>
      <c r="B27" s="243" t="s">
        <v>1512</v>
      </c>
      <c r="C27" s="244">
        <f ca="1">C28</f>
        <v>1351832</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ROUND((C5+C19+C20)*F27,0)</f>
        <v>1351832</v>
      </c>
      <c r="D28" s="234"/>
      <c r="E28" s="235"/>
      <c r="F28" s="245"/>
      <c r="G28" s="246"/>
    </row>
    <row r="29" spans="1:7" s="213" customFormat="1" ht="13.5" customHeight="1">
      <c r="A29" s="779" t="s">
        <v>347</v>
      </c>
      <c r="B29" s="247" t="s">
        <v>1516</v>
      </c>
      <c r="C29" s="237">
        <f ca="1">ROUND(C21*F27,4)</f>
        <v>2E-3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17123195</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133701736</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121602976</v>
      </c>
      <c r="D34" s="216"/>
      <c r="E34" s="219"/>
      <c r="F34" s="256"/>
      <c r="G34" s="218"/>
    </row>
    <row r="35" spans="1:7" ht="13.5" customHeight="1">
      <c r="A35" s="779" t="s">
        <v>351</v>
      </c>
      <c r="B35" s="214" t="s">
        <v>1526</v>
      </c>
      <c r="C35" s="219">
        <f ca="1">ROUND(C34*F35,0)</f>
        <v>3648089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6626626</v>
      </c>
      <c r="D37" s="216">
        <f ca="1">D19</f>
        <v>33133.130000000005</v>
      </c>
      <c r="E37" s="248">
        <f>'数据-取费表'!B35</f>
        <v>200</v>
      </c>
      <c r="F37" s="258"/>
      <c r="G37" s="260"/>
    </row>
    <row r="38" spans="1:7" ht="13.5" customHeight="1">
      <c r="A38" s="779" t="s">
        <v>354</v>
      </c>
      <c r="B38" s="214" t="s">
        <v>1532</v>
      </c>
      <c r="C38" s="219">
        <f ca="1">ROUND(C34*F38,0)</f>
        <v>1824045</v>
      </c>
      <c r="D38" s="219"/>
      <c r="E38" s="219"/>
      <c r="F38" s="258">
        <f>'数据-取费表'!B36</f>
        <v>1.4999999999999999E-2</v>
      </c>
      <c r="G38" s="218" t="s">
        <v>1527</v>
      </c>
    </row>
    <row r="39" spans="1:7" s="213" customFormat="1" ht="13.5" customHeight="1">
      <c r="A39" s="254" t="s">
        <v>1533</v>
      </c>
      <c r="B39" s="209" t="s">
        <v>1534</v>
      </c>
      <c r="C39" s="231">
        <f ca="1">ROUND(C33*F20,0)</f>
        <v>2674035</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4841340</v>
      </c>
      <c r="D41" s="234">
        <f ca="1">C44</f>
        <v>6.9999999999999999E-4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4746412</v>
      </c>
      <c r="D42" s="237"/>
      <c r="E42" s="237"/>
      <c r="F42" s="238"/>
      <c r="G42" s="3724" t="s">
        <v>1590</v>
      </c>
    </row>
    <row r="43" spans="1:7" ht="13.5" customHeight="1">
      <c r="A43" s="779" t="s">
        <v>347</v>
      </c>
      <c r="B43" s="214" t="s">
        <v>1544</v>
      </c>
      <c r="C43" s="237">
        <f ca="1">ROUND(IF('数据-取费表'!B22&lt;=1,C39*F22*'数据-取费表'!B20/2,C39*(POWER((1+F22),'数据-取费表'!B20/2)-1)),0)</f>
        <v>94928</v>
      </c>
      <c r="D43" s="237"/>
      <c r="E43" s="237"/>
      <c r="F43" s="238"/>
      <c r="G43" s="3725"/>
    </row>
    <row r="44" spans="1:7" ht="13.5" customHeight="1">
      <c r="A44" s="779" t="s">
        <v>348</v>
      </c>
      <c r="B44" s="214" t="s">
        <v>1545</v>
      </c>
      <c r="C44" s="237">
        <f ca="1">ROUND(IF('数据-取费表'!B22&lt;=1,C40*F22*'数据-取费表'!B20/2,C40*(POWER((1+F22),'数据-取费表'!B20/2)-1)),4)</f>
        <v>6.9999999999999999E-4</v>
      </c>
      <c r="D44" s="237"/>
      <c r="E44" s="237"/>
      <c r="F44" s="238"/>
      <c r="G44" s="3726"/>
    </row>
    <row r="45" spans="1:7" s="213" customFormat="1" ht="13.5" customHeight="1">
      <c r="A45" s="254" t="s">
        <v>1546</v>
      </c>
      <c r="B45" s="243" t="s">
        <v>1512</v>
      </c>
      <c r="C45" s="244">
        <f ca="1">C46</f>
        <v>13637577</v>
      </c>
      <c r="D45" s="234">
        <f ca="1">C47</f>
        <v>2E-3</v>
      </c>
      <c r="E45" s="235" t="s">
        <v>1538</v>
      </c>
      <c r="F45" s="245">
        <f ca="1">F27</f>
        <v>0.1</v>
      </c>
      <c r="G45" s="246" t="s">
        <v>1547</v>
      </c>
    </row>
    <row r="46" spans="1:7" s="213" customFormat="1" ht="13.5" customHeight="1">
      <c r="A46" s="779" t="s">
        <v>346</v>
      </c>
      <c r="B46" s="247" t="s">
        <v>1548</v>
      </c>
      <c r="C46" s="248">
        <f ca="1">ROUND((C33+C39)*F27,0)</f>
        <v>13637577</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261">
        <f>ROUND(F30/(1+'数据-取费表'!C42),4)</f>
        <v>5.2400000000000002E-2</v>
      </c>
      <c r="D48" s="235" t="s">
        <v>1538</v>
      </c>
      <c r="E48" s="231"/>
      <c r="F48" s="236">
        <f>F30</f>
        <v>5.5000000000000007E-2</v>
      </c>
      <c r="G48" s="233" t="s">
        <v>1551</v>
      </c>
    </row>
    <row r="49" spans="1:7" ht="16.5" customHeight="1">
      <c r="A49" s="254" t="s">
        <v>1517</v>
      </c>
      <c r="B49" s="209" t="s">
        <v>1591</v>
      </c>
      <c r="C49" s="231">
        <f ca="1">ROUND((C33+C39+C41+C45)/(1-C40-D41-D45-C48),0)</f>
        <v>167428574</v>
      </c>
      <c r="D49" s="231"/>
      <c r="E49" s="231"/>
      <c r="F49" s="263"/>
      <c r="G49" s="233" t="s">
        <v>1553</v>
      </c>
    </row>
    <row r="50" spans="1:7" s="257" customFormat="1">
      <c r="A50" s="254" t="s">
        <v>1554</v>
      </c>
      <c r="B50" s="209" t="s">
        <v>1555</v>
      </c>
      <c r="C50" s="231"/>
      <c r="D50" s="231"/>
      <c r="E50" s="231"/>
      <c r="F50" s="263">
        <f>IF('数据-取费表'!B24=0,'数据-取费表'!N16,1)</f>
        <v>0.87</v>
      </c>
      <c r="G50" s="246"/>
    </row>
    <row r="51" spans="1:7" ht="16.5" customHeight="1">
      <c r="A51" s="254" t="s">
        <v>1557</v>
      </c>
      <c r="B51" s="209" t="s">
        <v>1592</v>
      </c>
      <c r="C51" s="231">
        <f ca="1">ROUND(C49*F50,0)</f>
        <v>145662859</v>
      </c>
      <c r="D51" s="231"/>
      <c r="E51" s="231"/>
      <c r="F51" s="263"/>
      <c r="G51" s="233" t="s">
        <v>1559</v>
      </c>
    </row>
    <row r="52" spans="1:7" s="207" customFormat="1" ht="16.5" thickBot="1">
      <c r="A52" s="264" t="s">
        <v>1560</v>
      </c>
      <c r="B52" s="265"/>
      <c r="C52" s="266">
        <f ca="1">C31+C51</f>
        <v>162786054</v>
      </c>
      <c r="D52" s="265"/>
      <c r="E52" s="265"/>
      <c r="F52" s="265"/>
      <c r="G52" s="267"/>
    </row>
    <row r="55" spans="1:7" ht="15">
      <c r="B55" s="269" t="s">
        <v>1561</v>
      </c>
      <c r="C55" s="270"/>
    </row>
    <row r="56" spans="1:7">
      <c r="B56" s="272" t="s">
        <v>802</v>
      </c>
      <c r="C56" s="274">
        <f ca="1">1-C57</f>
        <v>0.10499999999999998</v>
      </c>
    </row>
    <row r="57" spans="1:7">
      <c r="B57" s="272" t="s">
        <v>803</v>
      </c>
      <c r="C57" s="273">
        <f ca="1">ROUND(C51/C52,3)</f>
        <v>0.89500000000000002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5"/>
      <c r="F1" s="2805"/>
      <c r="G1" s="2670"/>
      <c r="H1" s="2805"/>
      <c r="I1" s="2805"/>
      <c r="J1" s="2805"/>
      <c r="K1" s="2806">
        <f>MATCH(C1,'数据-取费表'!A6:A16,0)+5</f>
        <v>8</v>
      </c>
    </row>
    <row r="2" spans="1:33" ht="18" customHeight="1">
      <c r="A2" s="200" t="s">
        <v>1461</v>
      </c>
      <c r="B2" s="203">
        <f ca="1">C32</f>
        <v>0</v>
      </c>
      <c r="C2" s="275" t="s">
        <v>1594</v>
      </c>
      <c r="D2" s="275"/>
      <c r="E2" s="2805"/>
      <c r="F2" s="2805"/>
      <c r="G2" s="2805"/>
      <c r="H2" s="2805"/>
      <c r="I2" s="2805"/>
      <c r="J2" s="2805"/>
      <c r="K2" s="2805"/>
    </row>
    <row r="3" spans="1:33" ht="18" customHeight="1" thickBot="1">
      <c r="A3" s="202" t="s">
        <v>1463</v>
      </c>
      <c r="B3" s="203">
        <f ca="1">ROUND(B2*10000/IF(C1="",'数据-汇总表'!E3,INDIRECT("'数据-取费表'!K"&amp;$K$1)),0)</f>
        <v>0</v>
      </c>
      <c r="C3" s="275" t="s">
        <v>1595</v>
      </c>
      <c r="D3" s="275"/>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0">
        <f ca="1">ROUND(C11*F12,0)</f>
        <v>0</v>
      </c>
      <c r="D12" s="801"/>
      <c r="E12" s="328"/>
      <c r="F12" s="811">
        <f>'数据-取费表'!B33</f>
        <v>0.03</v>
      </c>
      <c r="G12" s="5" t="s">
        <v>1613</v>
      </c>
      <c r="H12" s="796"/>
      <c r="I12" s="796"/>
      <c r="J12" s="796"/>
      <c r="K12" s="797"/>
    </row>
    <row r="13" spans="1:33" s="802" customFormat="1" ht="13.5" customHeight="1">
      <c r="A13" s="799" t="s">
        <v>637</v>
      </c>
      <c r="B13" s="800" t="s">
        <v>1614</v>
      </c>
      <c r="C13" s="20">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0">
        <f ca="1">ROUND(D14*E14*F11/10000,0)</f>
        <v>0</v>
      </c>
      <c r="D14" s="845">
        <f ca="1">IF(C1="",'数据-汇总表'!E3,INDIRECT("'数据-取费表'!K"&amp;$K$1)+INDIRECT("'数据-取费表'!S"&amp;$K$1))</f>
        <v>33133.130000000005</v>
      </c>
      <c r="E14" s="20">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0">
        <f ca="1">ROUND(D17*E17/10000,0)</f>
        <v>0</v>
      </c>
      <c r="D17" s="845">
        <f ca="1">D14</f>
        <v>33133.130000000005</v>
      </c>
      <c r="E17" s="20">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0">
        <f ca="1">C19+C20-IF(C1="",'数据-取费表'!B29,IF(G18="已全部缴纳",C19+C20,H18))</f>
        <v>0</v>
      </c>
      <c r="D18" s="845"/>
      <c r="E18" s="20"/>
      <c r="F18" s="803"/>
      <c r="G18" s="1861"/>
      <c r="H18" s="1186"/>
      <c r="I18" s="1862" t="s">
        <v>1624</v>
      </c>
      <c r="J18" s="806"/>
      <c r="K18" s="807"/>
    </row>
    <row r="19" spans="1:33" s="802" customFormat="1" ht="13.5" customHeight="1">
      <c r="A19" s="799" t="s">
        <v>360</v>
      </c>
      <c r="B19" s="800" t="s">
        <v>1625</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1626</v>
      </c>
      <c r="C20" s="20">
        <f ca="1">ROUND(D20*E20/10000,0)</f>
        <v>663</v>
      </c>
      <c r="D20" s="845">
        <f ca="1">IF(C1="",'数据-汇总表'!E6,IF(INDIRECT("'数据-取费表'!c"&amp;$K$1)="住宅",INDIRECT("'数据-取费表'!s"&amp;$K$1),INDIRECT("'数据-取费表'!k"&amp;$K$1)+INDIRECT("'数据-取费表'!s"&amp;$K$1)))</f>
        <v>33133.130000000005</v>
      </c>
      <c r="E20" s="20">
        <f>'数据-取费表'!B28</f>
        <v>200</v>
      </c>
      <c r="F20" s="803"/>
      <c r="G20" s="11"/>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60" sqref="J6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3443</v>
      </c>
      <c r="D1" s="1361" t="s">
        <v>43</v>
      </c>
      <c r="E1" s="1362" t="s">
        <v>678</v>
      </c>
      <c r="F1" s="1061">
        <f ca="1">J53</f>
        <v>33.4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17764</v>
      </c>
      <c r="C2" s="1386" t="s">
        <v>805</v>
      </c>
      <c r="D2" s="1386"/>
      <c r="E2" s="1387"/>
      <c r="F2" s="1388"/>
      <c r="G2" s="2705"/>
      <c r="H2" s="2694"/>
      <c r="I2" s="2694"/>
      <c r="J2" s="2694"/>
      <c r="K2" s="2695"/>
      <c r="L2" s="2694"/>
      <c r="M2" s="2694"/>
    </row>
    <row r="3" spans="1:37" ht="18" customHeight="1" thickBot="1">
      <c r="A3" s="1389" t="s">
        <v>806</v>
      </c>
      <c r="B3" s="1390">
        <f ca="1">IF(ISERROR(B2*10000/F43),0,ROUND(B2*10000/F43,0))</f>
        <v>6751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1558</v>
      </c>
      <c r="D5" s="1363" t="s">
        <v>693</v>
      </c>
      <c r="E5" s="1070"/>
      <c r="F5" s="1071"/>
      <c r="G5" s="1383"/>
      <c r="H5" s="298">
        <v>1</v>
      </c>
      <c r="I5" s="299" t="s">
        <v>692</v>
      </c>
      <c r="J5" s="1069">
        <f ca="1">J6+J10+J12</f>
        <v>0</v>
      </c>
      <c r="K5" s="1363" t="s">
        <v>693</v>
      </c>
      <c r="L5" s="1070"/>
      <c r="M5" s="1071"/>
    </row>
    <row r="6" spans="1:37" ht="18" customHeight="1">
      <c r="A6" s="1068" t="s">
        <v>398</v>
      </c>
      <c r="B6" s="3729" t="s">
        <v>694</v>
      </c>
      <c r="C6" s="1073">
        <f ca="1">ROUND(F6*F8*F7*(1-F9)/10000,0)</f>
        <v>1556</v>
      </c>
      <c r="D6" s="154" t="s">
        <v>2108</v>
      </c>
      <c r="E6" s="301" t="s">
        <v>696</v>
      </c>
      <c r="F6" s="302">
        <f ca="1">INDIRECT("'数据-取费表'!u"&amp;$G$1)</f>
        <v>1.8</v>
      </c>
      <c r="G6" s="1383"/>
      <c r="H6" s="1068" t="s">
        <v>398</v>
      </c>
      <c r="I6" s="3729" t="s">
        <v>694</v>
      </c>
      <c r="J6" s="300">
        <f ca="1">ROUND(M6*M8*M7*(1-M9)/10000,0)</f>
        <v>0</v>
      </c>
      <c r="K6" s="154" t="s">
        <v>2107</v>
      </c>
      <c r="L6" s="301" t="s">
        <v>696</v>
      </c>
      <c r="M6" s="302">
        <f ca="1">INDIRECT("'数据-取费表'!z"&amp;$G$1)</f>
        <v>0</v>
      </c>
    </row>
    <row r="7" spans="1:37" ht="18" customHeight="1">
      <c r="A7" s="1072"/>
      <c r="B7" s="3730"/>
      <c r="C7" s="1074"/>
      <c r="D7" s="306"/>
      <c r="E7" s="1075" t="s">
        <v>697</v>
      </c>
      <c r="F7" s="302">
        <f ca="1">IF(INDIRECT("'数据-取费表'!ah"&amp;$G$1)="",INDIRECT("'数据-取费表'!k"&amp;$G$1),INDIRECT("'数据-取费表'!ah"&amp;$G$1))</f>
        <v>26313.08</v>
      </c>
      <c r="G7" s="1383"/>
      <c r="H7" s="303"/>
      <c r="I7" s="3730"/>
      <c r="J7" s="305"/>
      <c r="K7" s="306"/>
      <c r="L7" s="301" t="s">
        <v>697</v>
      </c>
      <c r="M7" s="302">
        <f ca="1">F7</f>
        <v>26313.08</v>
      </c>
    </row>
    <row r="8" spans="1:37" ht="18" customHeight="1">
      <c r="A8" s="303"/>
      <c r="B8" s="3730"/>
      <c r="C8" s="305"/>
      <c r="D8" s="306"/>
      <c r="E8" s="301" t="s">
        <v>698</v>
      </c>
      <c r="F8" s="302">
        <f ca="1">INDIRECT("'数据-取费表'!ai"&amp;$G$1)</f>
        <v>365</v>
      </c>
      <c r="G8" s="1383"/>
      <c r="H8" s="303"/>
      <c r="I8" s="3730"/>
      <c r="J8" s="305"/>
      <c r="K8" s="306"/>
      <c r="L8" s="301" t="s">
        <v>698</v>
      </c>
      <c r="M8" s="302">
        <f ca="1">INDIRECT("'数据-取费表'!ai"&amp;$G$1)</f>
        <v>365</v>
      </c>
    </row>
    <row r="9" spans="1:37" ht="18" customHeight="1">
      <c r="A9" s="303"/>
      <c r="B9" s="3731"/>
      <c r="C9" s="305"/>
      <c r="D9" s="306"/>
      <c r="E9" s="301" t="s">
        <v>699</v>
      </c>
      <c r="F9" s="311">
        <f ca="1">INDIRECT("'数据-取费表'!w"&amp;$G$1)</f>
        <v>0.1</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2</v>
      </c>
      <c r="D10" s="1365" t="s">
        <v>2116</v>
      </c>
      <c r="E10" s="312" t="s">
        <v>701</v>
      </c>
      <c r="F10" s="1115" t="s">
        <v>3444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10412</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8626</v>
      </c>
      <c r="D14" s="1344" t="s">
        <v>708</v>
      </c>
      <c r="E14" s="1341"/>
      <c r="F14" s="318"/>
      <c r="G14" s="1383"/>
      <c r="H14" s="981" t="s">
        <v>398</v>
      </c>
      <c r="I14" s="301" t="s">
        <v>709</v>
      </c>
      <c r="J14" s="20">
        <f ca="1">C29</f>
        <v>11968</v>
      </c>
      <c r="K14" s="11"/>
      <c r="L14" s="806"/>
      <c r="M14" s="807"/>
    </row>
    <row r="15" spans="1:37" s="1396" customFormat="1" ht="18" customHeight="1" thickBot="1">
      <c r="A15" s="981" t="s">
        <v>399</v>
      </c>
      <c r="B15" s="301" t="s">
        <v>710</v>
      </c>
      <c r="C15" s="20">
        <f ca="1">ROUND(C14*F15,0)</f>
        <v>259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122</v>
      </c>
      <c r="K16" s="1086" t="s">
        <v>715</v>
      </c>
      <c r="L16" s="1087"/>
      <c r="M16" s="1071"/>
    </row>
    <row r="17" spans="1:37" s="1396" customFormat="1" ht="18" customHeight="1">
      <c r="A17" s="981" t="s">
        <v>681</v>
      </c>
      <c r="B17" s="301" t="s">
        <v>716</v>
      </c>
      <c r="C17" s="20">
        <f ca="1">ROUND(F17*(F43+INDIRECT("'数据-取费表'!S"&amp;$G$1))/10000,0)</f>
        <v>543</v>
      </c>
      <c r="D17" s="301" t="s">
        <v>717</v>
      </c>
      <c r="E17" s="301" t="s">
        <v>718</v>
      </c>
      <c r="F17" s="22">
        <f>'数据-取费表'!B35</f>
        <v>200</v>
      </c>
      <c r="G17" s="1395"/>
      <c r="H17" s="981" t="s">
        <v>398</v>
      </c>
      <c r="I17" s="301" t="s">
        <v>719</v>
      </c>
      <c r="J17" s="2315">
        <f ca="1">ROUND(IF(AND(项目基本情况!B11="自然人",项目基本情况!B10="北京市"),J6*M17/(1+'数据-取费表'!C42),J18+J19+J20),2)</f>
        <v>2.77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129</v>
      </c>
      <c r="D18" s="301" t="s">
        <v>711</v>
      </c>
      <c r="E18" s="301" t="s">
        <v>712</v>
      </c>
      <c r="F18" s="321">
        <f>'数据-取费表'!B36</f>
        <v>1.4999999999999999E-2</v>
      </c>
      <c r="G18" s="1395"/>
      <c r="H18" s="981" t="s">
        <v>397</v>
      </c>
      <c r="I18" s="301" t="s">
        <v>723</v>
      </c>
      <c r="J18" s="20">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9557</v>
      </c>
      <c r="D19" s="130" t="s">
        <v>726</v>
      </c>
      <c r="E19" s="1359"/>
      <c r="F19" s="22"/>
      <c r="G19" s="1383"/>
      <c r="H19" s="981" t="s">
        <v>399</v>
      </c>
      <c r="I19" s="301" t="s">
        <v>727</v>
      </c>
      <c r="J19" s="20">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0">
        <f ca="1">ROUND(C19*F20,0)</f>
        <v>191</v>
      </c>
      <c r="D20" s="322" t="s">
        <v>729</v>
      </c>
      <c r="E20" s="301" t="s">
        <v>712</v>
      </c>
      <c r="F20" s="321">
        <f>'数据-取费表'!B37</f>
        <v>0.02</v>
      </c>
      <c r="G20" s="1395"/>
      <c r="H20" s="981" t="s">
        <v>680</v>
      </c>
      <c r="I20" s="154" t="s">
        <v>730</v>
      </c>
      <c r="J20" s="21">
        <f ca="1">ROUND(M20*M21/10000,2)</f>
        <v>2.77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18492.07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119.68</v>
      </c>
      <c r="K22" s="1343"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346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-122</v>
      </c>
      <c r="K25" s="1094" t="s">
        <v>753</v>
      </c>
      <c r="L25" s="1095"/>
      <c r="M25" s="1096"/>
    </row>
    <row r="26" spans="1:37">
      <c r="A26" s="981" t="s">
        <v>397</v>
      </c>
      <c r="B26" s="301" t="s">
        <v>754</v>
      </c>
      <c r="C26" s="20">
        <f ca="1">ROUND((C19+C20)*F26,0)</f>
        <v>975</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11968</v>
      </c>
      <c r="D29" s="1091"/>
      <c r="E29" s="1089"/>
      <c r="F29" s="1092"/>
      <c r="G29" s="1395"/>
      <c r="H29" s="333" t="s">
        <v>396</v>
      </c>
      <c r="I29" s="334" t="s">
        <v>768</v>
      </c>
      <c r="J29" s="335">
        <f ca="1">ROUND(J26/(1+F40)^F41,0)</f>
        <v>0</v>
      </c>
      <c r="K29" s="336" t="s">
        <v>769</v>
      </c>
      <c r="L29" s="337"/>
      <c r="M29" s="338">
        <f ca="1">INDIRECT("'数据-取费表'!k"&amp;$G$1)</f>
        <v>26313.08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413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262.10000000000002</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IF(项目基本情况!B11="自然人","——",ROUND(C6*F32/(1+'数据-取费表'!C42),2))</f>
        <v>81.5</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177.83</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2.77</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18492.07</v>
      </c>
      <c r="G35" s="1383"/>
      <c r="H35" s="2696"/>
      <c r="I35" s="1397"/>
      <c r="J35" s="1398"/>
      <c r="K35" s="2700"/>
      <c r="L35" s="2699"/>
      <c r="M35" s="2699"/>
    </row>
    <row r="36" spans="1:18" ht="18" customHeight="1">
      <c r="A36" s="1101" t="s">
        <v>402</v>
      </c>
      <c r="B36" s="301" t="s">
        <v>738</v>
      </c>
      <c r="C36" s="20">
        <f ca="1">ROUND(C29*F36,2)</f>
        <v>119.68</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15.62</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15.58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1145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17336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33.4</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f ca="1">ROUND(C40*10000/F43,0)</f>
        <v>6588</v>
      </c>
      <c r="D43" s="336" t="s">
        <v>777</v>
      </c>
      <c r="E43" s="337" t="s">
        <v>778</v>
      </c>
      <c r="F43" s="338">
        <f ca="1">INDIRECT("'数据-取费表'!k"&amp;$G$1)</f>
        <v>26313.08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-19425</v>
      </c>
      <c r="D46" s="1405" t="str">
        <f>C2</f>
        <v>万元</v>
      </c>
      <c r="E46" s="1399"/>
      <c r="F46" s="1399"/>
      <c r="I46" s="1406" t="s">
        <v>810</v>
      </c>
      <c r="J46" s="1407"/>
      <c r="K46" s="1408"/>
      <c r="L46" s="1409">
        <f ca="1">IF(M47="住宅",0,IF(L48&gt;J51,L60,J60))</f>
        <v>428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3445</v>
      </c>
      <c r="K47" s="1415" t="s">
        <v>816</v>
      </c>
      <c r="L47" s="1416">
        <f ca="1">INDIRECT("'数据-取费表'!d"&amp;$G$1)</f>
        <v>50</v>
      </c>
      <c r="M47" s="1379" t="str">
        <f>IF(ISNUMBER(FIND("住宅",C1)),"住宅","非住宅")</f>
        <v>非住宅</v>
      </c>
      <c r="O47" s="1417" t="s">
        <v>403</v>
      </c>
      <c r="P47" s="1418" t="s">
        <v>817</v>
      </c>
      <c r="Q47" s="1419">
        <f ca="1">C40+J29</f>
        <v>17336</v>
      </c>
      <c r="R47" s="1419" t="s">
        <v>818</v>
      </c>
    </row>
    <row r="48" spans="1:18" s="1383" customFormat="1" ht="28.5" thickBot="1">
      <c r="A48" s="1109" t="s">
        <v>438</v>
      </c>
      <c r="B48" s="299" t="s">
        <v>692</v>
      </c>
      <c r="C48" s="1358">
        <f ca="1">C49+C53+C55</f>
        <v>0</v>
      </c>
      <c r="D48" s="1111"/>
      <c r="E48" s="1112"/>
      <c r="F48" s="961"/>
      <c r="G48" s="721"/>
      <c r="H48" s="722"/>
      <c r="I48" s="1420" t="s">
        <v>819</v>
      </c>
      <c r="J48" s="1421" t="s">
        <v>3446</v>
      </c>
      <c r="K48" s="1422" t="s">
        <v>820</v>
      </c>
      <c r="L48" s="1423">
        <f ca="1">INDIRECT("'数据-取费表'!f"&amp;$G$1)</f>
        <v>33.4</v>
      </c>
      <c r="O48" s="1417" t="s">
        <v>404</v>
      </c>
      <c r="P48" s="1418" t="s">
        <v>821</v>
      </c>
      <c r="Q48" s="1419">
        <f ca="1">J60</f>
        <v>428</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2010</v>
      </c>
      <c r="K49" s="1422" t="s">
        <v>824</v>
      </c>
      <c r="L49" s="1426"/>
      <c r="O49" s="1427" t="s">
        <v>405</v>
      </c>
      <c r="P49" s="1418" t="s">
        <v>825</v>
      </c>
      <c r="Q49" s="1419">
        <f ca="1">C29</f>
        <v>11968</v>
      </c>
      <c r="R49" s="1419" t="s">
        <v>818</v>
      </c>
    </row>
    <row r="50" spans="1:18" s="1383" customFormat="1" ht="13.5" thickBot="1">
      <c r="A50" s="975"/>
      <c r="B50" s="978"/>
      <c r="C50" s="1117"/>
      <c r="D50" s="952"/>
      <c r="E50" s="1055" t="s">
        <v>697</v>
      </c>
      <c r="F50" s="1056">
        <f ca="1">F7</f>
        <v>26313.08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7483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33.4</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33.4</v>
      </c>
      <c r="K53" s="3727" t="s">
        <v>837</v>
      </c>
      <c r="L53" s="3728"/>
      <c r="O53" s="1417" t="s">
        <v>409</v>
      </c>
      <c r="P53" s="1418" t="s">
        <v>838</v>
      </c>
      <c r="Q53" s="1419">
        <f ca="1">Q47+Q48</f>
        <v>17764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10412</v>
      </c>
      <c r="D56" s="1446"/>
      <c r="E56" s="1447"/>
      <c r="F56" s="1439"/>
      <c r="I56" s="1448" t="s">
        <v>842</v>
      </c>
      <c r="J56" s="1449" t="s">
        <v>3424</v>
      </c>
      <c r="K56" s="1420" t="s">
        <v>843</v>
      </c>
      <c r="L56" s="1423" t="str">
        <f ca="1">IF(L48&lt;J51,"——",L48-J53)</f>
        <v>——</v>
      </c>
      <c r="O56" s="1417" t="s">
        <v>403</v>
      </c>
      <c r="P56" s="1418" t="s">
        <v>817</v>
      </c>
      <c r="Q56" s="1419">
        <f ca="1">C40+J29</f>
        <v>17336</v>
      </c>
      <c r="R56" s="1419" t="s">
        <v>818</v>
      </c>
    </row>
    <row r="57" spans="1:18" s="1383" customFormat="1" ht="24.75" thickBot="1">
      <c r="A57" s="1450"/>
      <c r="B57" s="949" t="s">
        <v>767</v>
      </c>
      <c r="C57" s="237">
        <f ca="1">C29</f>
        <v>11968</v>
      </c>
      <c r="D57" s="1451"/>
      <c r="E57" s="1452"/>
      <c r="F57" s="1453"/>
      <c r="I57" s="1454" t="s">
        <v>844</v>
      </c>
      <c r="J57" s="1455">
        <f ca="1">IF(OR(M47="住宅",J51&lt;L48,J56="是"),"——",J51-L48)</f>
        <v>13.600000000000001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138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4787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5.5000000000000007E-2</v>
      </c>
      <c r="I60" s="1457" t="s">
        <v>853</v>
      </c>
      <c r="J60" s="1458">
        <f ca="1">IF(OR(M47="住宅",J51&lt;L48,J56="是"),"0",ROUND(J59/(1+J52)^J53,0))</f>
        <v>428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2.77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17336</v>
      </c>
      <c r="R62" s="1419" t="s">
        <v>410</v>
      </c>
    </row>
    <row r="63" spans="1:18" s="1383" customFormat="1" ht="13.5" thickBot="1">
      <c r="A63" s="325"/>
      <c r="B63" s="955"/>
      <c r="C63" s="25"/>
      <c r="D63" s="965"/>
      <c r="E63" s="949" t="s">
        <v>788</v>
      </c>
      <c r="F63" s="302">
        <f t="shared" ca="1" si="0"/>
        <v>18492.07</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119.68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15.62</v>
      </c>
      <c r="D65" s="963" t="s">
        <v>743</v>
      </c>
      <c r="E65" s="949" t="s">
        <v>744</v>
      </c>
      <c r="F65" s="329">
        <f t="shared" ca="1" si="0"/>
        <v>1.5E-3</v>
      </c>
      <c r="I65" s="1461" t="s">
        <v>867</v>
      </c>
      <c r="J65" s="1462">
        <v>40</v>
      </c>
      <c r="K65" s="1462">
        <v>30</v>
      </c>
      <c r="L65" s="1462">
        <v>50</v>
      </c>
      <c r="M65" s="1464">
        <v>0.02</v>
      </c>
      <c r="O65" s="1417" t="s">
        <v>403</v>
      </c>
      <c r="P65" s="1418" t="s">
        <v>868</v>
      </c>
      <c r="Q65" s="1419">
        <f ca="1">C40+J29</f>
        <v>17336</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-138</v>
      </c>
      <c r="D67" s="962" t="s">
        <v>753</v>
      </c>
      <c r="E67" s="967"/>
      <c r="F67" s="968"/>
      <c r="O67" s="1427" t="s">
        <v>405</v>
      </c>
      <c r="P67" s="1418" t="s">
        <v>850</v>
      </c>
      <c r="Q67" s="1465">
        <f ca="1">L51</f>
        <v>7483</v>
      </c>
      <c r="R67" s="1419" t="s">
        <v>870</v>
      </c>
    </row>
    <row r="68" spans="1:18" s="1383" customFormat="1" ht="16.5" thickBot="1">
      <c r="A68" s="946" t="s">
        <v>395</v>
      </c>
      <c r="B68" s="947" t="s">
        <v>774</v>
      </c>
      <c r="C68" s="300">
        <f ca="1">ROUND(C67*(1-((1+F70)/(1+F68))^F69)/(F68-F70),0)</f>
        <v>-2089</v>
      </c>
      <c r="D68" s="964" t="s">
        <v>758</v>
      </c>
      <c r="E68" s="949" t="s">
        <v>759</v>
      </c>
      <c r="F68" s="311">
        <f ca="1">F40</f>
        <v>5.5E-2</v>
      </c>
      <c r="O68" s="1427" t="s">
        <v>406</v>
      </c>
      <c r="P68" s="1466" t="s">
        <v>871</v>
      </c>
      <c r="Q68" s="1419">
        <f ca="1">ROUND(Q69-Q70*Q71,0)</f>
        <v>416</v>
      </c>
      <c r="R68" s="1419" t="s">
        <v>414</v>
      </c>
    </row>
    <row r="69" spans="1:18" s="1383" customFormat="1" ht="13.5" thickBot="1">
      <c r="A69" s="950"/>
      <c r="B69" s="951"/>
      <c r="C69" s="305"/>
      <c r="D69" s="969" t="s">
        <v>762</v>
      </c>
      <c r="E69" s="949" t="s">
        <v>763</v>
      </c>
      <c r="F69" s="332">
        <f ca="1">F41</f>
        <v>33.4</v>
      </c>
      <c r="O69" s="1427" t="s">
        <v>411</v>
      </c>
      <c r="P69" s="1466" t="s">
        <v>872</v>
      </c>
      <c r="Q69" s="1419">
        <f ca="1">C39</f>
        <v>1145</v>
      </c>
      <c r="R69" s="1419" t="s">
        <v>818</v>
      </c>
    </row>
    <row r="70" spans="1:18" s="1383" customFormat="1" ht="13.5" thickBot="1">
      <c r="A70" s="953"/>
      <c r="B70" s="954"/>
      <c r="C70" s="309"/>
      <c r="D70" s="965"/>
      <c r="E70" s="949" t="s">
        <v>766</v>
      </c>
      <c r="F70" s="1053"/>
      <c r="O70" s="1427" t="s">
        <v>412</v>
      </c>
      <c r="P70" s="1466" t="s">
        <v>873</v>
      </c>
      <c r="Q70" s="1419">
        <f ca="1">C13</f>
        <v>10412</v>
      </c>
      <c r="R70" s="1419" t="s">
        <v>818</v>
      </c>
    </row>
    <row r="71" spans="1:18" s="1383" customFormat="1" ht="13.5" thickBot="1">
      <c r="A71" s="970" t="s">
        <v>396</v>
      </c>
      <c r="B71" s="971" t="s">
        <v>776</v>
      </c>
      <c r="C71" s="335">
        <f ca="1">ROUND(C68*10000/F71,0)</f>
        <v>-794</v>
      </c>
      <c r="D71" s="972" t="s">
        <v>777</v>
      </c>
      <c r="E71" s="973" t="s">
        <v>778</v>
      </c>
      <c r="F71" s="338">
        <f ca="1">F43</f>
        <v>26313.08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729</v>
      </c>
      <c r="D75" s="1383"/>
      <c r="E75" s="1383"/>
      <c r="F75" s="1383"/>
      <c r="K75" s="1401"/>
      <c r="L75" s="1383"/>
      <c r="O75" s="1417" t="s">
        <v>409</v>
      </c>
      <c r="P75" s="1418" t="s">
        <v>838</v>
      </c>
      <c r="Q75" s="1419">
        <f ca="1">Q65+Q66</f>
        <v>17336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0.36299999999999999</v>
      </c>
    </row>
    <row r="80" spans="1:18">
      <c r="B80" s="339" t="s">
        <v>800</v>
      </c>
      <c r="C80" s="273">
        <f ca="1">ROUND(C75/C39,3)</f>
        <v>0.63700000000000001</v>
      </c>
    </row>
    <row r="81" spans="2:3">
      <c r="B81" s="269" t="s">
        <v>801</v>
      </c>
      <c r="C81" s="237"/>
    </row>
    <row r="82" spans="2:3">
      <c r="B82" s="272" t="s">
        <v>802</v>
      </c>
      <c r="C82" s="274">
        <f ca="1">1-C83</f>
        <v>0.39900000000000002</v>
      </c>
    </row>
    <row r="83" spans="2:3">
      <c r="B83" s="272" t="s">
        <v>803</v>
      </c>
      <c r="C83" s="273">
        <f ca="1">ROUND(C13/C40,3)</f>
        <v>0.60099999999999998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729" t="s">
        <v>694</v>
      </c>
      <c r="C6" s="1073">
        <f ca="1">ROUND(F6*F8*F7*(1-F9),0)</f>
        <v>0</v>
      </c>
      <c r="D6" s="154" t="s">
        <v>2105</v>
      </c>
      <c r="E6" s="301" t="s">
        <v>696</v>
      </c>
      <c r="F6" s="302">
        <f ca="1">INDIRECT("'数据-取费表'!u"&amp;$G$1)</f>
        <v>0</v>
      </c>
      <c r="G6" s="1383"/>
      <c r="H6" s="1068" t="s">
        <v>398</v>
      </c>
      <c r="I6" s="3729" t="s">
        <v>694</v>
      </c>
      <c r="J6" s="300">
        <f ca="1">ROUND(M6*M8*M7*(1-M9),0)</f>
        <v>0</v>
      </c>
      <c r="K6" s="1375" t="s">
        <v>2106</v>
      </c>
      <c r="L6" s="301" t="s">
        <v>696</v>
      </c>
      <c r="M6" s="302">
        <f ca="1">INDIRECT("'数据-取费表'!z"&amp;$G$1)</f>
        <v>0</v>
      </c>
    </row>
    <row r="7" spans="1:37" ht="18" customHeight="1">
      <c r="A7" s="1072"/>
      <c r="B7" s="3730"/>
      <c r="C7" s="1074"/>
      <c r="D7" s="306"/>
      <c r="E7" s="1075" t="s">
        <v>697</v>
      </c>
      <c r="F7" s="302">
        <f ca="1">IF(INDIRECT("'数据-取费表'!ah"&amp;$G$1)="",INDIRECT("'数据-取费表'!k"&amp;$G$1),INDIRECT("'数据-取费表'!ah"&amp;$G$1))</f>
        <v>0</v>
      </c>
      <c r="G7" s="1383"/>
      <c r="H7" s="303"/>
      <c r="I7" s="3730"/>
      <c r="J7" s="305"/>
      <c r="K7" s="306"/>
      <c r="L7" s="301" t="s">
        <v>697</v>
      </c>
      <c r="M7" s="302">
        <f ca="1">F7</f>
        <v>0</v>
      </c>
    </row>
    <row r="8" spans="1:37" ht="18" customHeight="1">
      <c r="A8" s="303"/>
      <c r="B8" s="3730"/>
      <c r="C8" s="305"/>
      <c r="D8" s="306"/>
      <c r="E8" s="301" t="s">
        <v>698</v>
      </c>
      <c r="F8" s="302">
        <f ca="1">INDIRECT("'数据-取费表'!ai"&amp;$G$1)</f>
        <v>0</v>
      </c>
      <c r="G8" s="1383"/>
      <c r="H8" s="303"/>
      <c r="I8" s="3730"/>
      <c r="J8" s="305"/>
      <c r="K8" s="306"/>
      <c r="L8" s="301" t="s">
        <v>698</v>
      </c>
      <c r="M8" s="302">
        <f ca="1">INDIRECT("'数据-取费表'!ai"&amp;$G$1)</f>
        <v>0</v>
      </c>
    </row>
    <row r="9" spans="1:37" ht="18" customHeight="1">
      <c r="A9" s="303"/>
      <c r="B9" s="3731"/>
      <c r="C9" s="305"/>
      <c r="D9" s="306"/>
      <c r="E9" s="301" t="s">
        <v>699</v>
      </c>
      <c r="F9" s="311">
        <f ca="1">INDIRECT("'数据-取费表'!w"&amp;$G$1)</f>
        <v>0</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1.4999999999999999E-2</v>
      </c>
      <c r="G18" s="1395"/>
      <c r="H18" s="981" t="s">
        <v>397</v>
      </c>
      <c r="I18" s="301" t="s">
        <v>723</v>
      </c>
      <c r="J18" s="20">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t="e">
        <f ca="1">ROUND((C68-C40)/10000,4)</f>
        <v>#DIV/0!</v>
      </c>
      <c r="D45" s="3431" t="s">
        <v>3351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3448</v>
      </c>
      <c r="D1" s="1361" t="s">
        <v>43</v>
      </c>
      <c r="E1" s="1362" t="s">
        <v>678</v>
      </c>
      <c r="F1" s="1061">
        <f ca="1">J53</f>
        <v>33.4</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171</v>
      </c>
      <c r="C2" s="1386" t="s">
        <v>805</v>
      </c>
      <c r="D2" s="1386"/>
      <c r="E2" s="1387"/>
      <c r="F2" s="1388"/>
      <c r="G2" s="2705"/>
      <c r="H2" s="2694"/>
      <c r="I2" s="2694"/>
      <c r="J2" s="2694"/>
      <c r="K2" s="2695"/>
      <c r="L2" s="2694"/>
      <c r="M2" s="2694"/>
    </row>
    <row r="3" spans="1:37" ht="18" customHeight="1" thickBot="1">
      <c r="A3" s="1389" t="s">
        <v>806</v>
      </c>
      <c r="B3" s="1390">
        <f ca="1">IF(ISERROR(B2*10000/F43),0,ROUND(B2*10000/F43,0))</f>
        <v>294</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729" t="s">
        <v>694</v>
      </c>
      <c r="C6" s="1073">
        <f ca="1">ROUND(F6*F8*F7*(1-F9)/10000,0)</f>
        <v>0</v>
      </c>
      <c r="D6" s="154" t="s">
        <v>2108</v>
      </c>
      <c r="E6" s="301" t="s">
        <v>696</v>
      </c>
      <c r="F6" s="302">
        <f ca="1">INDIRECT("'数据-取费表'!u"&amp;$G$1)</f>
        <v>0</v>
      </c>
      <c r="G6" s="1383"/>
      <c r="H6" s="1068" t="s">
        <v>398</v>
      </c>
      <c r="I6" s="3729" t="s">
        <v>694</v>
      </c>
      <c r="J6" s="300">
        <f ca="1">ROUND(M6*M8*M7*(1-M9)/10000,0)</f>
        <v>0</v>
      </c>
      <c r="K6" s="154" t="s">
        <v>2107</v>
      </c>
      <c r="L6" s="301" t="s">
        <v>696</v>
      </c>
      <c r="M6" s="302">
        <f ca="1">INDIRECT("'数据-取费表'!z"&amp;$G$1)</f>
        <v>0</v>
      </c>
    </row>
    <row r="7" spans="1:37" ht="18" customHeight="1">
      <c r="A7" s="1072"/>
      <c r="B7" s="3730"/>
      <c r="C7" s="1074"/>
      <c r="D7" s="306"/>
      <c r="E7" s="3452" t="s">
        <v>697</v>
      </c>
      <c r="F7" s="302">
        <f ca="1">IF(INDIRECT("'数据-取费表'!ah"&amp;$G$1)="",INDIRECT("'数据-取费表'!k"&amp;$G$1),INDIRECT("'数据-取费表'!ah"&amp;$G$1))</f>
        <v>5814.57</v>
      </c>
      <c r="G7" s="1383"/>
      <c r="H7" s="303"/>
      <c r="I7" s="3730"/>
      <c r="J7" s="305"/>
      <c r="K7" s="306"/>
      <c r="L7" s="301" t="s">
        <v>697</v>
      </c>
      <c r="M7" s="302">
        <f ca="1">F7</f>
        <v>5814.57</v>
      </c>
    </row>
    <row r="8" spans="1:37" ht="18" customHeight="1">
      <c r="A8" s="303"/>
      <c r="B8" s="3730"/>
      <c r="C8" s="305"/>
      <c r="D8" s="306"/>
      <c r="E8" s="301" t="s">
        <v>698</v>
      </c>
      <c r="F8" s="302">
        <f ca="1">INDIRECT("'数据-取费表'!ai"&amp;$G$1)</f>
        <v>365</v>
      </c>
      <c r="G8" s="1383"/>
      <c r="H8" s="303"/>
      <c r="I8" s="3730"/>
      <c r="J8" s="305"/>
      <c r="K8" s="306"/>
      <c r="L8" s="301" t="s">
        <v>698</v>
      </c>
      <c r="M8" s="302">
        <f ca="1">INDIRECT("'数据-取费表'!ai"&amp;$G$1)</f>
        <v>365</v>
      </c>
    </row>
    <row r="9" spans="1:37" ht="18" customHeight="1">
      <c r="A9" s="303"/>
      <c r="B9" s="3731"/>
      <c r="C9" s="305"/>
      <c r="D9" s="306"/>
      <c r="E9" s="301" t="s">
        <v>699</v>
      </c>
      <c r="F9" s="311">
        <f ca="1">INDIRECT("'数据-取费表'!w"&amp;$G$1)</f>
        <v>0</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3444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4154</v>
      </c>
      <c r="D13" s="3449" t="s">
        <v>705</v>
      </c>
      <c r="E13" s="3449"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3534</v>
      </c>
      <c r="D14" s="3455" t="s">
        <v>708</v>
      </c>
      <c r="E14" s="3454"/>
      <c r="F14" s="318"/>
      <c r="G14" s="1383"/>
      <c r="H14" s="981" t="s">
        <v>398</v>
      </c>
      <c r="I14" s="301" t="s">
        <v>709</v>
      </c>
      <c r="J14" s="20">
        <f ca="1">C29</f>
        <v>4775</v>
      </c>
      <c r="K14" s="3451"/>
      <c r="L14" s="806"/>
      <c r="M14" s="807"/>
    </row>
    <row r="15" spans="1:37" s="1396" customFormat="1" ht="18" customHeight="1" thickBot="1">
      <c r="A15" s="981" t="s">
        <v>399</v>
      </c>
      <c r="B15" s="301" t="s">
        <v>710</v>
      </c>
      <c r="C15" s="20">
        <f ca="1">ROUND(C14*F15,0)</f>
        <v>106</v>
      </c>
      <c r="D15" s="3450" t="s">
        <v>711</v>
      </c>
      <c r="E15" s="3450"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48</v>
      </c>
      <c r="K16" s="1086" t="s">
        <v>715</v>
      </c>
      <c r="L16" s="3457"/>
      <c r="M16" s="1071"/>
    </row>
    <row r="17" spans="1:37" s="1396" customFormat="1" ht="18" customHeight="1">
      <c r="A17" s="981" t="s">
        <v>681</v>
      </c>
      <c r="B17" s="301" t="s">
        <v>716</v>
      </c>
      <c r="C17" s="20">
        <f ca="1">ROUND(F17*(F43+INDIRECT("'数据-取费表'!S"&amp;$G$1))/10000,0)</f>
        <v>120</v>
      </c>
      <c r="D17" s="301" t="s">
        <v>717</v>
      </c>
      <c r="E17" s="301" t="s">
        <v>718</v>
      </c>
      <c r="F17" s="22">
        <f>'数据-取费表'!B35</f>
        <v>200</v>
      </c>
      <c r="G17" s="1395"/>
      <c r="H17" s="981" t="s">
        <v>398</v>
      </c>
      <c r="I17" s="301" t="s">
        <v>719</v>
      </c>
      <c r="J17" s="2315">
        <f ca="1">ROUND(IF(AND(项目基本情况!B11="自然人",项目基本情况!B10="北京市"),J6*M17/(1+'数据-取费表'!C42),J18+J19+J20),2)</f>
        <v>0.61</v>
      </c>
      <c r="K17" s="3455" t="s">
        <v>720</v>
      </c>
      <c r="L17" s="345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53</v>
      </c>
      <c r="D18" s="301" t="s">
        <v>711</v>
      </c>
      <c r="E18" s="301" t="s">
        <v>712</v>
      </c>
      <c r="F18" s="321">
        <f>'数据-取费表'!B36</f>
        <v>1.4999999999999999E-2</v>
      </c>
      <c r="G18" s="1395"/>
      <c r="H18" s="981" t="s">
        <v>397</v>
      </c>
      <c r="I18" s="301" t="s">
        <v>723</v>
      </c>
      <c r="J18" s="20">
        <f ca="1">ROUND(J6*M18/(1+'数据-取费表'!C42),2)</f>
        <v>0</v>
      </c>
      <c r="K18" s="3456"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3813</v>
      </c>
      <c r="D19" s="130" t="s">
        <v>726</v>
      </c>
      <c r="E19" s="3459"/>
      <c r="F19" s="22"/>
      <c r="G19" s="1383"/>
      <c r="H19" s="981" t="s">
        <v>399</v>
      </c>
      <c r="I19" s="301" t="s">
        <v>727</v>
      </c>
      <c r="J19" s="20">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0">
        <f ca="1">ROUND(C19*F20,0)</f>
        <v>76</v>
      </c>
      <c r="D20" s="2427" t="s">
        <v>729</v>
      </c>
      <c r="E20" s="301" t="s">
        <v>712</v>
      </c>
      <c r="F20" s="321">
        <f>'数据-取费表'!B37</f>
        <v>0.02</v>
      </c>
      <c r="G20" s="1395"/>
      <c r="H20" s="981" t="s">
        <v>680</v>
      </c>
      <c r="I20" s="154" t="s">
        <v>730</v>
      </c>
      <c r="J20" s="21">
        <f ca="1">ROUND(M20*M21/10000,2)</f>
        <v>0.61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2427" t="s">
        <v>734</v>
      </c>
      <c r="E21" s="301" t="s">
        <v>735</v>
      </c>
      <c r="F21" s="321">
        <f>'数据-取费表'!B38</f>
        <v>0.02</v>
      </c>
      <c r="G21" s="1395"/>
      <c r="H21" s="325"/>
      <c r="I21" s="310"/>
      <c r="J21" s="25"/>
      <c r="K21" s="326"/>
      <c r="L21" s="301" t="s">
        <v>736</v>
      </c>
      <c r="M21" s="302">
        <f ca="1">INDIRECT("'数据-取费表'!r"&amp;$G$1)</f>
        <v>4086.32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3459"/>
      <c r="F22" s="22"/>
      <c r="G22" s="1383"/>
      <c r="H22" s="981" t="s">
        <v>402</v>
      </c>
      <c r="I22" s="301" t="s">
        <v>738</v>
      </c>
      <c r="J22" s="20">
        <f ca="1">ROUND(J14*M22,2)</f>
        <v>47.75</v>
      </c>
      <c r="K22" s="3456"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138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3456"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3459"/>
      <c r="F25" s="22"/>
      <c r="G25" s="1383"/>
      <c r="H25" s="1078" t="s">
        <v>394</v>
      </c>
      <c r="I25" s="1093" t="s">
        <v>752</v>
      </c>
      <c r="J25" s="309">
        <f ca="1">J5-J16</f>
        <v>-48</v>
      </c>
      <c r="K25" s="1094" t="s">
        <v>753</v>
      </c>
      <c r="L25" s="1095"/>
      <c r="M25" s="1096"/>
    </row>
    <row r="26" spans="1:37">
      <c r="A26" s="981" t="s">
        <v>397</v>
      </c>
      <c r="B26" s="301" t="s">
        <v>754</v>
      </c>
      <c r="C26" s="20">
        <f ca="1">ROUND((C19+C20)*F26,0)</f>
        <v>389</v>
      </c>
      <c r="D26" s="2427"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0.06</v>
      </c>
    </row>
    <row r="27" spans="1:37" ht="18" customHeight="1">
      <c r="A27" s="981" t="s">
        <v>399</v>
      </c>
      <c r="B27" s="301" t="s">
        <v>760</v>
      </c>
      <c r="C27" s="20">
        <f ca="1">ROUND(F21*F26,4)</f>
        <v>2E-3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2427"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4775</v>
      </c>
      <c r="D29" s="1091"/>
      <c r="E29" s="1089"/>
      <c r="F29" s="1092"/>
      <c r="G29" s="1395"/>
      <c r="H29" s="333" t="s">
        <v>396</v>
      </c>
      <c r="I29" s="334" t="s">
        <v>768</v>
      </c>
      <c r="J29" s="335">
        <f ca="1">ROUND(J26/(1+F40)^F41,0)</f>
        <v>0</v>
      </c>
      <c r="K29" s="336" t="s">
        <v>769</v>
      </c>
      <c r="L29" s="337"/>
      <c r="M29" s="338">
        <f ca="1">INDIRECT("'数据-取费表'!k"&amp;$G$1)</f>
        <v>5814.57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55</v>
      </c>
      <c r="D30" s="1086" t="s">
        <v>715</v>
      </c>
      <c r="E30" s="345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0.61</v>
      </c>
      <c r="D31" s="3455" t="s">
        <v>720</v>
      </c>
      <c r="E31" s="3456"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IF(项目基本情况!B11="自然人","——",ROUND(C6*F32/(1+'数据-取费表'!C42),2))</f>
        <v>0</v>
      </c>
      <c r="D32" s="3456"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0.61</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4086.32</v>
      </c>
      <c r="G35" s="1383"/>
      <c r="H35" s="2696"/>
      <c r="I35" s="1397"/>
      <c r="J35" s="1398"/>
      <c r="K35" s="2700"/>
      <c r="L35" s="2699"/>
      <c r="M35" s="2699"/>
    </row>
    <row r="36" spans="1:18" ht="18" customHeight="1">
      <c r="A36" s="1101" t="s">
        <v>402</v>
      </c>
      <c r="B36" s="301" t="s">
        <v>738</v>
      </c>
      <c r="C36" s="20">
        <f ca="1">ROUND(C29*F36,2)</f>
        <v>47.75</v>
      </c>
      <c r="D36" s="3456"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6.23</v>
      </c>
      <c r="D37" s="3456"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-55</v>
      </c>
      <c r="D39" s="1094" t="s">
        <v>773</v>
      </c>
      <c r="E39" s="1095"/>
      <c r="F39" s="1096"/>
      <c r="G39" s="1383"/>
      <c r="H39" s="2699"/>
      <c r="I39" s="1397"/>
      <c r="J39" s="1398"/>
      <c r="K39" s="2703"/>
      <c r="L39" s="2699"/>
      <c r="M39" s="2699"/>
    </row>
    <row r="40" spans="1:18" ht="18" customHeight="1">
      <c r="A40" s="298" t="s">
        <v>395</v>
      </c>
      <c r="B40" s="299" t="s">
        <v>774</v>
      </c>
      <c r="C40" s="300">
        <f ca="1">ROUND(C39*(1-((1+F42)/(1+F40))^F41)/(F40-F42),0)</f>
        <v>0</v>
      </c>
      <c r="D40" s="323" t="s">
        <v>758</v>
      </c>
      <c r="E40" s="301" t="s">
        <v>759</v>
      </c>
      <c r="F40" s="311">
        <f ca="1">INDIRECT("'数据-取费表'!I"&amp;$G$1)</f>
        <v>0.06</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f ca="1">ROUND(C40*10000/F43,0)</f>
        <v>0</v>
      </c>
      <c r="D43" s="336" t="s">
        <v>777</v>
      </c>
      <c r="E43" s="337" t="s">
        <v>778</v>
      </c>
      <c r="F43" s="338">
        <f ca="1">INDIRECT("'数据-取费表'!k"&amp;$G$1)</f>
        <v>5814.57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0</v>
      </c>
      <c r="D46" s="1405" t="str">
        <f>C2</f>
        <v>万元</v>
      </c>
      <c r="E46" s="1399"/>
      <c r="F46" s="1399"/>
      <c r="I46" s="1406" t="s">
        <v>810</v>
      </c>
      <c r="J46" s="1407"/>
      <c r="K46" s="1408"/>
      <c r="L46" s="1409">
        <f ca="1">IF(M47="住宅",0,IF(L48&gt;J51,L60,J60))</f>
        <v>171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3445</v>
      </c>
      <c r="K47" s="1415" t="s">
        <v>816</v>
      </c>
      <c r="L47" s="1416">
        <f ca="1">INDIRECT("'数据-取费表'!d"&amp;$G$1)</f>
        <v>50</v>
      </c>
      <c r="M47" s="1379" t="str">
        <f>IF(ISNUMBER(FIND("住宅",C1)),"住宅","非住宅")</f>
        <v>非住宅</v>
      </c>
      <c r="O47" s="1417" t="s">
        <v>403</v>
      </c>
      <c r="P47" s="1418" t="s">
        <v>817</v>
      </c>
      <c r="Q47" s="1419">
        <f ca="1">C40+J29</f>
        <v>0</v>
      </c>
      <c r="R47" s="1419" t="s">
        <v>818</v>
      </c>
    </row>
    <row r="48" spans="1:18" s="1383" customFormat="1" ht="28.5" thickBot="1">
      <c r="A48" s="1109" t="s">
        <v>438</v>
      </c>
      <c r="B48" s="299" t="s">
        <v>692</v>
      </c>
      <c r="C48" s="3458">
        <f ca="1">C49+C53+C55</f>
        <v>0</v>
      </c>
      <c r="D48" s="1111"/>
      <c r="E48" s="1112"/>
      <c r="F48" s="961"/>
      <c r="G48" s="721"/>
      <c r="H48" s="722"/>
      <c r="I48" s="1420" t="s">
        <v>819</v>
      </c>
      <c r="J48" s="1421" t="s">
        <v>3446</v>
      </c>
      <c r="K48" s="1422" t="s">
        <v>820</v>
      </c>
      <c r="L48" s="1423">
        <f ca="1">INDIRECT("'数据-取费表'!f"&amp;$G$1)</f>
        <v>33.4</v>
      </c>
      <c r="O48" s="1417" t="s">
        <v>404</v>
      </c>
      <c r="P48" s="1418" t="s">
        <v>821</v>
      </c>
      <c r="Q48" s="1419">
        <f ca="1">J60</f>
        <v>171</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2010</v>
      </c>
      <c r="K49" s="1422" t="s">
        <v>824</v>
      </c>
      <c r="L49" s="1426"/>
      <c r="O49" s="1427" t="s">
        <v>405</v>
      </c>
      <c r="P49" s="1418" t="s">
        <v>825</v>
      </c>
      <c r="Q49" s="1419">
        <f ca="1">C29</f>
        <v>4775</v>
      </c>
      <c r="R49" s="1419" t="s">
        <v>818</v>
      </c>
    </row>
    <row r="50" spans="1:18" s="1383" customFormat="1" ht="13.5" thickBot="1">
      <c r="A50" s="975"/>
      <c r="B50" s="978"/>
      <c r="C50" s="1117"/>
      <c r="D50" s="952"/>
      <c r="E50" s="1055" t="s">
        <v>697</v>
      </c>
      <c r="F50" s="1056">
        <f ca="1">F7</f>
        <v>5814.57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-6217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33.4</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33.4</v>
      </c>
      <c r="K53" s="3727" t="s">
        <v>837</v>
      </c>
      <c r="L53" s="3728"/>
      <c r="O53" s="1417" t="s">
        <v>409</v>
      </c>
      <c r="P53" s="1418" t="s">
        <v>838</v>
      </c>
      <c r="Q53" s="1419">
        <f ca="1">Q47+Q48</f>
        <v>171</v>
      </c>
      <c r="R53" s="1419" t="s">
        <v>410</v>
      </c>
    </row>
    <row r="54" spans="1:18" s="1383" customFormat="1" ht="13.5" thickBot="1">
      <c r="A54" s="1152"/>
      <c r="B54" s="1366" t="s">
        <v>679</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0.22700000000000001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4154</v>
      </c>
      <c r="D56" s="1446"/>
      <c r="E56" s="1447"/>
      <c r="F56" s="1439"/>
      <c r="I56" s="1448" t="s">
        <v>842</v>
      </c>
      <c r="J56" s="1449" t="s">
        <v>3424</v>
      </c>
      <c r="K56" s="1420" t="s">
        <v>843</v>
      </c>
      <c r="L56" s="1423" t="str">
        <f ca="1">IF(L48&lt;J51,"——",L48-J53)</f>
        <v>——</v>
      </c>
      <c r="O56" s="1417" t="s">
        <v>403</v>
      </c>
      <c r="P56" s="1418" t="s">
        <v>817</v>
      </c>
      <c r="Q56" s="1419">
        <f ca="1">C40+J29</f>
        <v>0</v>
      </c>
      <c r="R56" s="1419" t="s">
        <v>818</v>
      </c>
    </row>
    <row r="57" spans="1:18" s="1383" customFormat="1" ht="24.75" thickBot="1">
      <c r="A57" s="1450"/>
      <c r="B57" s="949" t="s">
        <v>767</v>
      </c>
      <c r="C57" s="237">
        <f ca="1">C29</f>
        <v>4775</v>
      </c>
      <c r="D57" s="1451"/>
      <c r="E57" s="1452"/>
      <c r="F57" s="1453"/>
      <c r="I57" s="1454" t="s">
        <v>844</v>
      </c>
      <c r="J57" s="1455">
        <f ca="1">IF(OR(M47="住宅",J51&lt;L48,J56="是"),"——",J51-L48)</f>
        <v>13.600000000000001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55</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1910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5.5000000000000007E-2</v>
      </c>
      <c r="I60" s="1457" t="s">
        <v>853</v>
      </c>
      <c r="J60" s="1458">
        <f ca="1">IF(OR(M47="住宅",J51&lt;L48,J56="是"),"0",ROUND(J59/(1+J52)^J53,0))</f>
        <v>171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0.61</v>
      </c>
      <c r="D62" s="964" t="s">
        <v>786</v>
      </c>
      <c r="E62" s="949" t="s">
        <v>787</v>
      </c>
      <c r="F62" s="324">
        <f t="shared" si="0"/>
        <v>1.5</v>
      </c>
      <c r="I62" s="1461" t="s">
        <v>858</v>
      </c>
      <c r="J62" s="1462" t="s">
        <v>859</v>
      </c>
      <c r="K62" s="1462" t="s">
        <v>860</v>
      </c>
      <c r="L62" s="1462" t="s">
        <v>861</v>
      </c>
      <c r="M62" s="1463" t="s">
        <v>862</v>
      </c>
      <c r="O62" s="1417" t="s">
        <v>409</v>
      </c>
      <c r="P62" s="1418" t="s">
        <v>863</v>
      </c>
      <c r="Q62" s="1419">
        <f ca="1">Q56+Q57</f>
        <v>0</v>
      </c>
      <c r="R62" s="1419" t="s">
        <v>410</v>
      </c>
    </row>
    <row r="63" spans="1:18" s="1383" customFormat="1" ht="13.5" thickBot="1">
      <c r="A63" s="325"/>
      <c r="B63" s="955"/>
      <c r="C63" s="25"/>
      <c r="D63" s="965"/>
      <c r="E63" s="949" t="s">
        <v>788</v>
      </c>
      <c r="F63" s="302">
        <f t="shared" ca="1" si="0"/>
        <v>4086.32</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0">
        <f ca="1">ROUND(C57*F64,2)</f>
        <v>47.75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6.23</v>
      </c>
      <c r="D65" s="963" t="s">
        <v>743</v>
      </c>
      <c r="E65" s="949" t="s">
        <v>744</v>
      </c>
      <c r="F65" s="329">
        <f t="shared" ca="1" si="0"/>
        <v>1.5E-3</v>
      </c>
      <c r="I65" s="1461" t="s">
        <v>867</v>
      </c>
      <c r="J65" s="1462">
        <v>40</v>
      </c>
      <c r="K65" s="1462">
        <v>30</v>
      </c>
      <c r="L65" s="1462">
        <v>50</v>
      </c>
      <c r="M65" s="1464">
        <v>0.02</v>
      </c>
      <c r="O65" s="1417" t="s">
        <v>403</v>
      </c>
      <c r="P65" s="1418" t="s">
        <v>868</v>
      </c>
      <c r="Q65" s="1419">
        <f ca="1">C40+J29</f>
        <v>0</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-55</v>
      </c>
      <c r="D67" s="962" t="s">
        <v>753</v>
      </c>
      <c r="E67" s="967"/>
      <c r="F67" s="968"/>
      <c r="O67" s="1427" t="s">
        <v>405</v>
      </c>
      <c r="P67" s="1418" t="s">
        <v>850</v>
      </c>
      <c r="Q67" s="1465">
        <f ca="1">L51</f>
        <v>-6217</v>
      </c>
      <c r="R67" s="1419" t="s">
        <v>870</v>
      </c>
    </row>
    <row r="68" spans="1:18" s="1383" customFormat="1" ht="16.5" thickBot="1">
      <c r="A68" s="946" t="s">
        <v>395</v>
      </c>
      <c r="B68" s="947" t="s">
        <v>774</v>
      </c>
      <c r="C68" s="300">
        <f ca="1">ROUND(C67*(1-((1+F70)/(1+F68))^F69)/(F68-F70),0)</f>
        <v>0</v>
      </c>
      <c r="D68" s="964" t="s">
        <v>758</v>
      </c>
      <c r="E68" s="949" t="s">
        <v>759</v>
      </c>
      <c r="F68" s="311">
        <f ca="1">F40</f>
        <v>0.06</v>
      </c>
      <c r="O68" s="1427" t="s">
        <v>406</v>
      </c>
      <c r="P68" s="1466" t="s">
        <v>871</v>
      </c>
      <c r="Q68" s="1419">
        <f ca="1">ROUND(Q69-Q70*Q71,0)</f>
        <v>-346</v>
      </c>
      <c r="R68" s="1419" t="s">
        <v>414</v>
      </c>
    </row>
    <row r="69" spans="1:18" s="1383" customFormat="1" ht="13.5" thickBot="1">
      <c r="A69" s="950"/>
      <c r="B69" s="951"/>
      <c r="C69" s="305"/>
      <c r="D69" s="969" t="s">
        <v>762</v>
      </c>
      <c r="E69" s="949" t="s">
        <v>763</v>
      </c>
      <c r="F69" s="332">
        <f ca="1">F41</f>
        <v>0</v>
      </c>
      <c r="O69" s="1427" t="s">
        <v>411</v>
      </c>
      <c r="P69" s="1466" t="s">
        <v>872</v>
      </c>
      <c r="Q69" s="1419">
        <f ca="1">C39</f>
        <v>-55</v>
      </c>
      <c r="R69" s="1419" t="s">
        <v>818</v>
      </c>
    </row>
    <row r="70" spans="1:18" s="1383" customFormat="1" ht="13.5" thickBot="1">
      <c r="A70" s="953"/>
      <c r="B70" s="954"/>
      <c r="C70" s="309"/>
      <c r="D70" s="965"/>
      <c r="E70" s="949" t="s">
        <v>766</v>
      </c>
      <c r="F70" s="1053"/>
      <c r="O70" s="1427" t="s">
        <v>412</v>
      </c>
      <c r="P70" s="1466" t="s">
        <v>873</v>
      </c>
      <c r="Q70" s="1419">
        <f ca="1">C13</f>
        <v>4154</v>
      </c>
      <c r="R70" s="1419" t="s">
        <v>818</v>
      </c>
    </row>
    <row r="71" spans="1:18" s="1383" customFormat="1" ht="13.5" thickBot="1">
      <c r="A71" s="970" t="s">
        <v>396</v>
      </c>
      <c r="B71" s="971" t="s">
        <v>776</v>
      </c>
      <c r="C71" s="335">
        <f ca="1">ROUND(C68*10000/F71,0)</f>
        <v>0</v>
      </c>
      <c r="D71" s="972" t="s">
        <v>777</v>
      </c>
      <c r="E71" s="973" t="s">
        <v>778</v>
      </c>
      <c r="F71" s="338">
        <f ca="1">F43</f>
        <v>5814.57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291</v>
      </c>
      <c r="D75" s="1383"/>
      <c r="E75" s="1383"/>
      <c r="F75" s="1383"/>
      <c r="K75" s="1401"/>
      <c r="L75" s="1383"/>
      <c r="O75" s="1417" t="s">
        <v>409</v>
      </c>
      <c r="P75" s="1418" t="s">
        <v>838</v>
      </c>
      <c r="Q75" s="1419">
        <f ca="1">Q65+Q66</f>
        <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6.2910000000000004</v>
      </c>
    </row>
    <row r="80" spans="1:18">
      <c r="B80" s="339" t="s">
        <v>800</v>
      </c>
      <c r="C80" s="273">
        <f ca="1">ROUND(C75/C39,3)</f>
        <v>-5.2910000000000004</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50" sqref="F5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f ca="1">IF(D2="——",C40,C40+E2)</f>
        <v>6753</v>
      </c>
      <c r="C2" s="2843" t="s">
        <v>2319</v>
      </c>
      <c r="D2" s="3442" t="s">
        <v>3357</v>
      </c>
      <c r="E2" s="3443">
        <f ca="1">'收益法-酒店'!L46</f>
        <v>171</v>
      </c>
      <c r="F2" s="2845"/>
      <c r="G2" s="2846"/>
      <c r="H2" s="2847"/>
      <c r="I2" s="2848"/>
      <c r="J2" s="3732" t="s">
        <v>2320</v>
      </c>
      <c r="K2" s="373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f ca="1">ROUND(B2*10000/B4,0)</f>
        <v>11614</v>
      </c>
      <c r="C3" s="2843" t="s">
        <v>2329</v>
      </c>
      <c r="D3" s="2843"/>
      <c r="E3" s="2844"/>
      <c r="F3" s="2845"/>
      <c r="G3" s="2846"/>
      <c r="H3" s="2847"/>
      <c r="I3" s="2848"/>
      <c r="J3" s="3734" t="s">
        <v>2330</v>
      </c>
      <c r="K3" s="3735"/>
      <c r="L3" s="2855"/>
      <c r="M3" s="2855"/>
      <c r="N3" s="2855"/>
      <c r="O3" s="2855"/>
      <c r="P3" s="2855"/>
      <c r="Q3" s="2856"/>
      <c r="R3" s="2857">
        <f>SUM(L3:Q3)</f>
        <v>0</v>
      </c>
      <c r="S3" s="2840"/>
      <c r="T3" s="2840"/>
      <c r="U3" s="2840"/>
      <c r="V3" s="2848"/>
    </row>
    <row r="4" spans="1:22" s="2852" customFormat="1" ht="13.15" customHeight="1">
      <c r="A4" s="2858" t="s">
        <v>2331</v>
      </c>
      <c r="B4" s="2859">
        <f>'数据-汇总表'!E20</f>
        <v>5814.57</v>
      </c>
      <c r="C4" s="2843"/>
      <c r="D4" s="2843"/>
      <c r="E4" s="2844"/>
      <c r="F4" s="2845"/>
      <c r="G4" s="2846"/>
      <c r="H4" s="2847"/>
      <c r="I4" s="2848"/>
      <c r="J4" s="3734" t="s">
        <v>2332</v>
      </c>
      <c r="K4" s="3735"/>
      <c r="L4" s="2860"/>
      <c r="M4" s="2860"/>
      <c r="N4" s="2860"/>
      <c r="O4" s="2860"/>
      <c r="P4" s="2860"/>
      <c r="Q4" s="2861"/>
      <c r="R4" s="2862">
        <f>SUM(L4:Q4)</f>
        <v>0</v>
      </c>
      <c r="S4" s="2840"/>
      <c r="T4" s="2840"/>
      <c r="U4" s="2840"/>
      <c r="V4" s="2848"/>
    </row>
    <row r="5" spans="1:22" s="2852" customFormat="1" ht="13.15" customHeight="1" thickBot="1">
      <c r="A5" s="2863" t="s">
        <v>2333</v>
      </c>
      <c r="B5" s="2864">
        <f>'数据-汇总表'!D20</f>
        <v>3962.31</v>
      </c>
      <c r="C5" s="2843"/>
      <c r="D5" s="2865"/>
      <c r="E5" s="2845"/>
      <c r="F5" s="2845"/>
      <c r="G5" s="2846"/>
      <c r="H5" s="2847"/>
      <c r="I5" s="2848"/>
      <c r="J5" s="2866" t="s">
        <v>2334</v>
      </c>
      <c r="K5" s="2867"/>
      <c r="L5" s="2867"/>
      <c r="M5" s="2868"/>
      <c r="N5" s="2868"/>
      <c r="O5" s="2868"/>
      <c r="P5" s="2868"/>
      <c r="Q5" s="2868"/>
      <c r="R5" s="2851">
        <f>SUM(R14,R19,R24,R25,R27,R28)</f>
        <v>1206</v>
      </c>
      <c r="S5" s="2840"/>
      <c r="T5" s="2840" t="s">
        <v>2335</v>
      </c>
      <c r="U5" s="2840" t="e">
        <f>ROUND(R5*10000/365/R3,1)</f>
        <v>#DIV/0!</v>
      </c>
      <c r="V5" s="2848"/>
    </row>
    <row r="6" spans="1:22" s="2852" customFormat="1" ht="13.15" customHeight="1" thickBot="1">
      <c r="A6" s="3736" t="s">
        <v>2336</v>
      </c>
      <c r="B6" s="3737"/>
      <c r="C6" s="3738"/>
      <c r="D6" s="2869">
        <f>R5</f>
        <v>1206</v>
      </c>
      <c r="E6" s="2870"/>
      <c r="F6" s="2871"/>
      <c r="G6" s="2872"/>
      <c r="H6" s="2847"/>
      <c r="I6" s="2848"/>
      <c r="J6" s="3739">
        <v>1</v>
      </c>
      <c r="K6" s="374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 ca="1">SUM(D9,D10,D11,D17,0)</f>
        <v>711</v>
      </c>
      <c r="E7" s="2879">
        <f ca="1">E9+E10+E11+E17</f>
        <v>0.58872305140961856</v>
      </c>
      <c r="F7" s="2880"/>
      <c r="G7" s="2881"/>
      <c r="H7" s="2847"/>
      <c r="I7" s="2848"/>
      <c r="J7" s="3739"/>
      <c r="K7" s="3741"/>
      <c r="L7" s="3473" t="s">
        <v>3449</v>
      </c>
      <c r="M7" s="2883">
        <v>25</v>
      </c>
      <c r="N7" s="3473">
        <v>670</v>
      </c>
      <c r="O7" s="3474">
        <v>0.7</v>
      </c>
      <c r="P7" s="3475">
        <v>0.75</v>
      </c>
      <c r="Q7" s="2885">
        <v>365</v>
      </c>
      <c r="R7" s="2886">
        <f>ROUND(M7*N7*O7*P7*Q7/10000,0)</f>
        <v>321</v>
      </c>
      <c r="S7" s="2840"/>
      <c r="T7" s="2840" t="s">
        <v>2347</v>
      </c>
      <c r="U7" s="2840"/>
      <c r="V7" s="2848"/>
    </row>
    <row r="8" spans="1:22" s="2852" customFormat="1" ht="13.15" customHeight="1">
      <c r="A8" s="2887" t="s">
        <v>2348</v>
      </c>
      <c r="B8" s="3743" t="s">
        <v>2349</v>
      </c>
      <c r="C8" s="3744"/>
      <c r="D8" s="2888" t="s">
        <v>2350</v>
      </c>
      <c r="E8" s="2889" t="s">
        <v>2351</v>
      </c>
      <c r="F8" s="2890" t="s">
        <v>2352</v>
      </c>
      <c r="G8" s="2891"/>
      <c r="H8" s="2847"/>
      <c r="I8" s="2848"/>
      <c r="J8" s="3739"/>
      <c r="K8" s="3741"/>
      <c r="L8" s="3473" t="s">
        <v>3450</v>
      </c>
      <c r="M8" s="2883">
        <v>25</v>
      </c>
      <c r="N8" s="3473">
        <v>620</v>
      </c>
      <c r="O8" s="3474">
        <v>0.7</v>
      </c>
      <c r="P8" s="3475">
        <v>0.8</v>
      </c>
      <c r="Q8" s="2885">
        <v>365</v>
      </c>
      <c r="R8" s="2886">
        <f t="shared" ref="R8:R13" si="0">ROUND(M8*N8*O8*P8*Q8/10000,0)</f>
        <v>317</v>
      </c>
      <c r="S8" s="2840"/>
      <c r="T8" s="2840" t="s">
        <v>2353</v>
      </c>
      <c r="U8" s="2840"/>
      <c r="V8" s="2848"/>
    </row>
    <row r="9" spans="1:22" s="2852" customFormat="1" ht="13.15" customHeight="1">
      <c r="A9" s="2887">
        <v>1</v>
      </c>
      <c r="B9" s="3743" t="s">
        <v>2354</v>
      </c>
      <c r="C9" s="3744"/>
      <c r="D9" s="2888">
        <f>ROUND(D6*E9,0)</f>
        <v>302</v>
      </c>
      <c r="E9" s="2892">
        <v>0.25</v>
      </c>
      <c r="F9" s="2893" t="s">
        <v>2355</v>
      </c>
      <c r="G9" s="2872"/>
      <c r="H9" s="2847"/>
      <c r="I9" s="2848"/>
      <c r="J9" s="3739"/>
      <c r="K9" s="3741"/>
      <c r="L9" s="3473" t="s">
        <v>3451</v>
      </c>
      <c r="M9" s="2883">
        <v>15</v>
      </c>
      <c r="N9" s="3473">
        <v>670</v>
      </c>
      <c r="O9" s="3474">
        <v>0.7</v>
      </c>
      <c r="P9" s="3475">
        <v>0.75</v>
      </c>
      <c r="Q9" s="2885">
        <v>365</v>
      </c>
      <c r="R9" s="2886">
        <f t="shared" si="0"/>
        <v>193</v>
      </c>
      <c r="S9" s="2840"/>
      <c r="T9" s="2840"/>
      <c r="U9" s="2840"/>
      <c r="V9" s="2848"/>
    </row>
    <row r="10" spans="1:22" s="2852" customFormat="1" ht="13.15" customHeight="1">
      <c r="A10" s="2887">
        <v>2</v>
      </c>
      <c r="B10" s="3743" t="s">
        <v>2356</v>
      </c>
      <c r="C10" s="3744"/>
      <c r="D10" s="2888">
        <f>ROUND(D6*E10,0)</f>
        <v>181</v>
      </c>
      <c r="E10" s="2892">
        <v>0.15</v>
      </c>
      <c r="F10" s="2893" t="s">
        <v>2357</v>
      </c>
      <c r="G10" s="2872"/>
      <c r="H10" s="2847"/>
      <c r="I10" s="2848"/>
      <c r="J10" s="3739"/>
      <c r="K10" s="3741"/>
      <c r="L10" s="3473" t="s">
        <v>3452</v>
      </c>
      <c r="M10" s="2883">
        <v>15</v>
      </c>
      <c r="N10" s="3473">
        <v>700</v>
      </c>
      <c r="O10" s="3474">
        <v>0.7</v>
      </c>
      <c r="P10" s="3475">
        <v>0.75</v>
      </c>
      <c r="Q10" s="2885">
        <v>365</v>
      </c>
      <c r="R10" s="2886">
        <f t="shared" si="0"/>
        <v>201</v>
      </c>
      <c r="S10" s="2840"/>
      <c r="T10" s="2840"/>
      <c r="U10" s="2840"/>
      <c r="V10" s="2848"/>
    </row>
    <row r="11" spans="1:22" s="2852" customFormat="1" ht="13.15" customHeight="1">
      <c r="A11" s="2887">
        <v>3</v>
      </c>
      <c r="B11" s="3743" t="s">
        <v>2358</v>
      </c>
      <c r="C11" s="3744"/>
      <c r="D11" s="2888">
        <f ca="1">D12+D14+D15+D16</f>
        <v>107</v>
      </c>
      <c r="E11" s="2894">
        <f ca="1">D11/D6</f>
        <v>8.8723051409618572E-2</v>
      </c>
      <c r="F11" s="2890"/>
      <c r="G11" s="2891"/>
      <c r="H11" s="2847"/>
      <c r="I11" s="2848"/>
      <c r="J11" s="3739"/>
      <c r="K11" s="3741"/>
      <c r="L11" s="3473" t="s">
        <v>3453</v>
      </c>
      <c r="M11" s="2883">
        <v>1</v>
      </c>
      <c r="N11" s="3473">
        <v>1000</v>
      </c>
      <c r="O11" s="3474">
        <v>0.7</v>
      </c>
      <c r="P11" s="3474">
        <v>0.5</v>
      </c>
      <c r="Q11" s="2885">
        <v>365</v>
      </c>
      <c r="R11" s="2886">
        <f t="shared" si="0"/>
        <v>13</v>
      </c>
      <c r="S11" s="2840"/>
      <c r="T11" s="2840"/>
      <c r="U11" s="2840"/>
      <c r="V11" s="2848"/>
    </row>
    <row r="12" spans="1:22" s="2852" customFormat="1" ht="13.15" customHeight="1">
      <c r="A12" s="2895" t="s">
        <v>2359</v>
      </c>
      <c r="B12" s="3745" t="s">
        <v>2360</v>
      </c>
      <c r="C12" s="3746"/>
      <c r="D12" s="2896">
        <f ca="1">ROUND(D13*1.2%*(1-30%),0)</f>
        <v>40</v>
      </c>
      <c r="E12" s="2897">
        <v>1.2E-2</v>
      </c>
      <c r="F12" s="2890" t="s">
        <v>2361</v>
      </c>
      <c r="G12" s="2891"/>
      <c r="H12" s="2847"/>
      <c r="I12" s="2848"/>
      <c r="J12" s="3739"/>
      <c r="K12" s="3741"/>
      <c r="L12" s="3473" t="s">
        <v>3454</v>
      </c>
      <c r="M12" s="2883">
        <v>3</v>
      </c>
      <c r="N12" s="3473">
        <v>700</v>
      </c>
      <c r="O12" s="3474">
        <v>0.7</v>
      </c>
      <c r="P12" s="3474">
        <v>0.6</v>
      </c>
      <c r="Q12" s="2885">
        <v>365</v>
      </c>
      <c r="R12" s="2886">
        <f t="shared" si="0"/>
        <v>32</v>
      </c>
      <c r="S12" s="2840"/>
      <c r="T12" s="2840"/>
      <c r="U12" s="2840"/>
      <c r="V12" s="2848"/>
    </row>
    <row r="13" spans="1:22" s="2852" customFormat="1" ht="13.15" customHeight="1">
      <c r="A13" s="2895"/>
      <c r="B13" s="2898"/>
      <c r="C13" s="2899" t="s">
        <v>2362</v>
      </c>
      <c r="D13" s="2900">
        <f ca="1">'收益法-酒店'!C29</f>
        <v>4775</v>
      </c>
      <c r="E13" s="2901"/>
      <c r="F13" s="2890"/>
      <c r="G13" s="2891"/>
      <c r="H13" s="2847"/>
      <c r="I13" s="2848"/>
      <c r="J13" s="3739"/>
      <c r="K13" s="3741"/>
      <c r="L13" s="2882" t="s">
        <v>2363</v>
      </c>
      <c r="M13" s="2883"/>
      <c r="N13" s="2859"/>
      <c r="O13" s="2884"/>
      <c r="P13" s="2884"/>
      <c r="Q13" s="2885">
        <v>365</v>
      </c>
      <c r="R13" s="2886">
        <f t="shared" si="0"/>
        <v>0</v>
      </c>
      <c r="S13" s="2840"/>
      <c r="T13" s="2840"/>
      <c r="U13" s="2840"/>
      <c r="V13" s="2848"/>
    </row>
    <row r="14" spans="1:22" s="2852" customFormat="1" ht="13.15" customHeight="1">
      <c r="A14" s="2895" t="s">
        <v>2364</v>
      </c>
      <c r="B14" s="3745" t="s">
        <v>2365</v>
      </c>
      <c r="C14" s="3746"/>
      <c r="D14" s="2896">
        <f>ROUND(E14*B5/10000,0)</f>
        <v>1</v>
      </c>
      <c r="E14" s="3472">
        <v>1.5</v>
      </c>
      <c r="F14" s="2890" t="s">
        <v>2366</v>
      </c>
      <c r="G14" s="2891"/>
      <c r="H14" s="2847"/>
      <c r="I14" s="2848"/>
      <c r="J14" s="3739"/>
      <c r="K14" s="3742"/>
      <c r="L14" s="2902" t="s">
        <v>2367</v>
      </c>
      <c r="M14" s="2903">
        <f>SUM(M7:M13)</f>
        <v>84</v>
      </c>
      <c r="N14" s="2903">
        <f>ROUND((N7*M7+N8*M8+N9*M9+N10*M10+N11*M11+N12*M12+N13*M13)/M14,0)</f>
        <v>665</v>
      </c>
      <c r="O14" s="2904"/>
      <c r="P14" s="2904"/>
      <c r="Q14" s="2905"/>
      <c r="R14" s="2851">
        <f>SUM(R7:R13)</f>
        <v>1077</v>
      </c>
      <c r="S14" s="2840"/>
      <c r="T14" s="2840"/>
      <c r="U14" s="2840"/>
      <c r="V14" s="2848"/>
    </row>
    <row r="15" spans="1:22" s="2852" customFormat="1" ht="13.15" customHeight="1">
      <c r="A15" s="2895" t="s">
        <v>2368</v>
      </c>
      <c r="B15" s="3745" t="s">
        <v>2369</v>
      </c>
      <c r="C15" s="3746"/>
      <c r="D15" s="2896">
        <f>ROUND(D6*E15,0)</f>
        <v>66</v>
      </c>
      <c r="E15" s="2897">
        <v>5.5E-2</v>
      </c>
      <c r="F15" s="2890" t="s">
        <v>2370</v>
      </c>
      <c r="G15" s="2872"/>
      <c r="H15" s="2847"/>
      <c r="I15" s="2848"/>
      <c r="J15" s="3739">
        <v>2</v>
      </c>
      <c r="K15" s="3740" t="s">
        <v>2371</v>
      </c>
      <c r="L15" s="2882" t="s">
        <v>2372</v>
      </c>
      <c r="M15" s="2883" t="s">
        <v>2373</v>
      </c>
      <c r="N15" s="2883" t="s">
        <v>2374</v>
      </c>
      <c r="O15" s="2884" t="s">
        <v>2375</v>
      </c>
      <c r="P15" s="2884" t="s">
        <v>2343</v>
      </c>
      <c r="Q15" s="2859" t="s">
        <v>2376</v>
      </c>
      <c r="R15" s="2906" t="s">
        <v>2344</v>
      </c>
      <c r="S15" s="2840"/>
      <c r="T15" s="2840"/>
      <c r="U15" s="2840"/>
      <c r="V15" s="2848"/>
    </row>
    <row r="16" spans="1:22" s="2852" customFormat="1" ht="13.15" customHeight="1">
      <c r="A16" s="2895" t="s">
        <v>2377</v>
      </c>
      <c r="B16" s="3745" t="s">
        <v>2378</v>
      </c>
      <c r="C16" s="3746"/>
      <c r="D16" s="2907">
        <f>D6*E16</f>
        <v>0</v>
      </c>
      <c r="E16" s="2908"/>
      <c r="F16" s="2893" t="s">
        <v>2379</v>
      </c>
      <c r="G16" s="2872"/>
      <c r="H16" s="2847"/>
      <c r="I16" s="2848"/>
      <c r="J16" s="3739"/>
      <c r="K16" s="3741"/>
      <c r="L16" s="2882" t="s">
        <v>2380</v>
      </c>
      <c r="M16" s="2883"/>
      <c r="N16" s="2883"/>
      <c r="O16" s="2884"/>
      <c r="P16" s="2885">
        <v>365</v>
      </c>
      <c r="Q16" s="2859"/>
      <c r="R16" s="2906">
        <f>ROUND(M16*N16*O16*P16/10000,0)</f>
        <v>0</v>
      </c>
      <c r="S16" s="2840"/>
      <c r="T16" s="2840"/>
      <c r="U16" s="2840"/>
      <c r="V16" s="2848"/>
    </row>
    <row r="17" spans="1:22" s="2852" customFormat="1" ht="13.15" customHeight="1" thickBot="1">
      <c r="A17" s="2909">
        <v>4</v>
      </c>
      <c r="B17" s="3747" t="s">
        <v>2381</v>
      </c>
      <c r="C17" s="3748"/>
      <c r="D17" s="2910">
        <f>ROUND(D6*E17,0)</f>
        <v>121</v>
      </c>
      <c r="E17" s="2911">
        <v>0.1</v>
      </c>
      <c r="F17" s="2912" t="s">
        <v>2382</v>
      </c>
      <c r="G17" s="2872"/>
      <c r="H17" s="2847"/>
      <c r="I17" s="2848"/>
      <c r="J17" s="3739"/>
      <c r="K17" s="3741"/>
      <c r="L17" s="2882" t="s">
        <v>2383</v>
      </c>
      <c r="M17" s="2883"/>
      <c r="N17" s="2883"/>
      <c r="O17" s="2884"/>
      <c r="P17" s="2885">
        <v>365</v>
      </c>
      <c r="Q17" s="2859"/>
      <c r="R17" s="2906">
        <f>ROUND(M17*N17*O17*P17/10000,0)</f>
        <v>0</v>
      </c>
      <c r="S17" s="2840"/>
      <c r="T17" s="2840"/>
      <c r="U17" s="2840"/>
      <c r="V17" s="2848"/>
    </row>
    <row r="18" spans="1:22" s="2852" customFormat="1" ht="13.15" customHeight="1" thickBot="1">
      <c r="A18" s="2875" t="s">
        <v>2384</v>
      </c>
      <c r="B18" s="2876"/>
      <c r="C18" s="2876"/>
      <c r="D18" s="2913">
        <f>ROUND(D6*E18,0)</f>
        <v>60</v>
      </c>
      <c r="E18" s="2914">
        <v>0.05</v>
      </c>
      <c r="F18" s="2915" t="s">
        <v>2385</v>
      </c>
      <c r="G18" s="2872"/>
      <c r="H18" s="2847"/>
      <c r="I18" s="2848"/>
      <c r="J18" s="3739"/>
      <c r="K18" s="3741"/>
      <c r="L18" s="2882" t="s">
        <v>2386</v>
      </c>
      <c r="M18" s="2883"/>
      <c r="N18" s="2883"/>
      <c r="O18" s="2884"/>
      <c r="P18" s="2885">
        <v>365</v>
      </c>
      <c r="Q18" s="2859"/>
      <c r="R18" s="2906">
        <f>ROUND(M18*N18*O18*P18/10000,0)</f>
        <v>0</v>
      </c>
      <c r="S18" s="2840"/>
      <c r="T18" s="2840"/>
      <c r="U18" s="2840"/>
      <c r="V18" s="2848"/>
    </row>
    <row r="19" spans="1:22" s="2852" customFormat="1" ht="13.15" customHeight="1" thickBot="1">
      <c r="A19" s="2916" t="s">
        <v>2387</v>
      </c>
      <c r="B19" s="2870"/>
      <c r="C19" s="2870"/>
      <c r="D19" s="2870"/>
      <c r="E19" s="2870"/>
      <c r="F19" s="2871"/>
      <c r="G19" s="2891"/>
      <c r="H19" s="2847"/>
      <c r="I19" s="2848"/>
      <c r="J19" s="3739"/>
      <c r="K19" s="3742"/>
      <c r="L19" s="2902" t="s">
        <v>2367</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9">
        <v>3</v>
      </c>
      <c r="K20" s="3740" t="s">
        <v>2388</v>
      </c>
      <c r="L20" s="2882" t="s">
        <v>2389</v>
      </c>
      <c r="M20" s="2883" t="s">
        <v>2390</v>
      </c>
      <c r="N20" s="2920" t="s">
        <v>2391</v>
      </c>
      <c r="O20" s="2884" t="s">
        <v>2392</v>
      </c>
      <c r="P20" s="2885" t="s">
        <v>2393</v>
      </c>
      <c r="Q20" s="2859" t="s">
        <v>2394</v>
      </c>
      <c r="R20" s="2906" t="s">
        <v>2395</v>
      </c>
      <c r="S20" s="2921"/>
      <c r="T20" s="2921"/>
      <c r="U20" s="2921"/>
      <c r="V20" s="2848"/>
    </row>
    <row r="21" spans="1:22" s="2852" customFormat="1" ht="13.15" customHeight="1">
      <c r="A21" s="2875"/>
      <c r="B21" s="2876"/>
      <c r="C21" s="2922" t="s">
        <v>2396</v>
      </c>
      <c r="D21" s="2923" t="s">
        <v>2397</v>
      </c>
      <c r="E21" s="2924" t="s">
        <v>2398</v>
      </c>
      <c r="F21" s="2919"/>
      <c r="G21" s="2891"/>
      <c r="H21" s="2847"/>
      <c r="I21" s="2848"/>
      <c r="J21" s="3739"/>
      <c r="K21" s="3741"/>
      <c r="L21" s="2882" t="s">
        <v>2399</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2400</v>
      </c>
      <c r="D22" s="2927" t="s">
        <v>2401</v>
      </c>
      <c r="E22" s="2928" t="s">
        <v>2402</v>
      </c>
      <c r="F22" s="2919"/>
      <c r="G22" s="2929"/>
      <c r="H22" s="2847"/>
      <c r="I22" s="2848"/>
      <c r="J22" s="3739"/>
      <c r="K22" s="3741"/>
      <c r="L22" s="2882" t="s">
        <v>2403</v>
      </c>
      <c r="M22" s="2883"/>
      <c r="N22" s="2883"/>
      <c r="O22" s="2884"/>
      <c r="P22" s="2885">
        <v>365</v>
      </c>
      <c r="Q22" s="2859"/>
      <c r="R22" s="2925">
        <f>ROUND(M22*N22*O22*P22/10000,0)</f>
        <v>0</v>
      </c>
      <c r="S22" s="2921"/>
      <c r="T22" s="2921"/>
      <c r="U22" s="2921"/>
      <c r="V22" s="2848"/>
    </row>
    <row r="23" spans="1:22" s="2852" customFormat="1" ht="13.15" customHeight="1">
      <c r="A23" s="2930">
        <v>1</v>
      </c>
      <c r="B23" s="2931" t="s">
        <v>2404</v>
      </c>
      <c r="C23" s="2932">
        <f>D6</f>
        <v>1206</v>
      </c>
      <c r="D23" s="2933">
        <f>C23*(1+D24)</f>
        <v>1206</v>
      </c>
      <c r="E23" s="2934">
        <f>D23*(1+E24)</f>
        <v>1206</v>
      </c>
      <c r="F23" s="2935"/>
      <c r="G23" s="2936"/>
      <c r="H23" s="2847"/>
      <c r="I23" s="2848"/>
      <c r="J23" s="3739"/>
      <c r="K23" s="3741"/>
      <c r="L23" s="2882" t="s">
        <v>2405</v>
      </c>
      <c r="M23" s="2883"/>
      <c r="N23" s="2883"/>
      <c r="O23" s="2884"/>
      <c r="P23" s="2885">
        <v>365</v>
      </c>
      <c r="Q23" s="2859"/>
      <c r="R23" s="2925">
        <f>ROUND(M23*N23*O23*P23/10000,0)</f>
        <v>0</v>
      </c>
      <c r="S23" s="2840"/>
      <c r="T23" s="2840"/>
      <c r="U23" s="2840"/>
      <c r="V23" s="2848"/>
    </row>
    <row r="24" spans="1:22" s="2852" customFormat="1" ht="13.15" customHeight="1">
      <c r="A24" s="2937"/>
      <c r="B24" s="2938" t="s">
        <v>2406</v>
      </c>
      <c r="C24" s="2939"/>
      <c r="D24" s="2940">
        <v>0</v>
      </c>
      <c r="E24" s="2941">
        <v>0</v>
      </c>
      <c r="F24" s="2942"/>
      <c r="G24" s="2936"/>
      <c r="H24" s="2847"/>
      <c r="I24" s="2848"/>
      <c r="J24" s="3739"/>
      <c r="K24" s="3742"/>
      <c r="L24" s="2902" t="s">
        <v>2367</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2407</v>
      </c>
      <c r="L25" s="2945"/>
      <c r="M25" s="2945"/>
      <c r="N25" s="2945"/>
      <c r="O25" s="2945"/>
      <c r="P25" s="2946"/>
      <c r="Q25" s="2947">
        <v>0.12</v>
      </c>
      <c r="R25" s="2918">
        <f>ROUND(R14*Q25,0)</f>
        <v>129</v>
      </c>
      <c r="S25" s="2840"/>
      <c r="T25" s="2840"/>
      <c r="U25" s="2840"/>
      <c r="V25" s="2948"/>
    </row>
    <row r="26" spans="1:22" s="2949" customFormat="1" ht="13.15" customHeight="1">
      <c r="A26" s="2930">
        <v>2</v>
      </c>
      <c r="B26" s="2931" t="s">
        <v>2408</v>
      </c>
      <c r="C26" s="2932">
        <f ca="1">D7</f>
        <v>711</v>
      </c>
      <c r="D26" s="2933">
        <f>D23*D27</f>
        <v>0</v>
      </c>
      <c r="E26" s="2934">
        <f>E23*E27</f>
        <v>0</v>
      </c>
      <c r="F26" s="2935"/>
      <c r="G26" s="2936"/>
      <c r="H26" s="2847"/>
      <c r="I26" s="2848"/>
      <c r="J26" s="3749">
        <v>5</v>
      </c>
      <c r="K26" s="2950" t="s">
        <v>2409</v>
      </c>
      <c r="L26" s="2951"/>
      <c r="M26" s="2952"/>
      <c r="N26" s="2953" t="s">
        <v>2410</v>
      </c>
      <c r="O26" s="2953" t="s">
        <v>2411</v>
      </c>
      <c r="P26" s="2954" t="s">
        <v>2412</v>
      </c>
      <c r="Q26" s="2954" t="s">
        <v>2413</v>
      </c>
      <c r="R26" s="2857" t="s">
        <v>2344</v>
      </c>
      <c r="S26" s="2955"/>
      <c r="T26" s="2955"/>
      <c r="U26" s="2955"/>
      <c r="V26" s="2948"/>
    </row>
    <row r="27" spans="1:22" s="2852" customFormat="1" ht="13.15" customHeight="1">
      <c r="A27" s="2937"/>
      <c r="B27" s="2938" t="s">
        <v>2414</v>
      </c>
      <c r="C27" s="2956">
        <f ca="1">E7</f>
        <v>0.58872305140961856</v>
      </c>
      <c r="D27" s="2940"/>
      <c r="E27" s="2941"/>
      <c r="F27" s="2942"/>
      <c r="G27" s="2936"/>
      <c r="H27" s="2957"/>
      <c r="I27" s="2948"/>
      <c r="J27" s="375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2415</v>
      </c>
      <c r="F28" s="2942"/>
      <c r="G28" s="2929"/>
      <c r="H28" s="2957"/>
      <c r="I28" s="2948"/>
      <c r="J28" s="2963">
        <v>6</v>
      </c>
      <c r="K28" s="2964" t="s">
        <v>2416</v>
      </c>
      <c r="L28" s="2965" t="s">
        <v>2417</v>
      </c>
      <c r="M28" s="2966"/>
      <c r="N28" s="2965" t="s">
        <v>2418</v>
      </c>
      <c r="O28" s="2967"/>
      <c r="P28" s="2965" t="s">
        <v>2419</v>
      </c>
      <c r="Q28" s="2968">
        <v>1.4999999999999999E-2</v>
      </c>
      <c r="R28" s="2969"/>
      <c r="S28" s="2921"/>
      <c r="T28" s="2921"/>
      <c r="U28" s="2921"/>
      <c r="V28" s="2948"/>
    </row>
    <row r="29" spans="1:22" s="2949" customFormat="1" ht="13.15" customHeight="1">
      <c r="A29" s="2930">
        <v>3</v>
      </c>
      <c r="B29" s="2931" t="s">
        <v>2420</v>
      </c>
      <c r="C29" s="2932">
        <f>C23*C30</f>
        <v>60.300000000000004</v>
      </c>
      <c r="D29" s="2933">
        <f>D23*C30</f>
        <v>60.300000000000004</v>
      </c>
      <c r="E29" s="2934">
        <f>E23*C30</f>
        <v>60.300000000000004</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2414</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2421</v>
      </c>
      <c r="K31" s="2838"/>
      <c r="L31" s="2838"/>
      <c r="M31" s="2838"/>
      <c r="N31" s="2838"/>
      <c r="O31" s="2838"/>
      <c r="P31" s="2838"/>
      <c r="Q31" s="2838"/>
      <c r="R31" s="2839"/>
      <c r="S31" s="2921"/>
      <c r="T31" s="2840"/>
      <c r="U31" s="2840"/>
      <c r="V31" s="2948"/>
    </row>
    <row r="32" spans="1:22" s="2949" customFormat="1" ht="13.15" customHeight="1">
      <c r="A32" s="2930">
        <v>4</v>
      </c>
      <c r="B32" s="2931" t="s">
        <v>2422</v>
      </c>
      <c r="C32" s="2932">
        <f ca="1">C23-C26-C29</f>
        <v>434.7</v>
      </c>
      <c r="D32" s="2933">
        <f>D23-D26-D29</f>
        <v>1145.7</v>
      </c>
      <c r="E32" s="2934">
        <f>E23-E26-E29</f>
        <v>1145.7</v>
      </c>
      <c r="F32" s="2935"/>
      <c r="G32" s="2929"/>
      <c r="H32" s="2847"/>
      <c r="I32" s="2848"/>
      <c r="J32" s="3732" t="s">
        <v>2320</v>
      </c>
      <c r="K32" s="373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34" t="s">
        <v>2330</v>
      </c>
      <c r="K33" s="3735"/>
      <c r="L33" s="2855"/>
      <c r="M33" s="2855"/>
      <c r="N33" s="2855"/>
      <c r="O33" s="2855"/>
      <c r="P33" s="2855"/>
      <c r="Q33" s="2856"/>
      <c r="R33" s="2975">
        <f>SUM(L33:Q33)</f>
        <v>0</v>
      </c>
      <c r="S33" s="2921"/>
      <c r="T33" s="2840"/>
      <c r="U33" s="2840"/>
      <c r="V33" s="2848"/>
    </row>
    <row r="34" spans="1:23" s="2852" customFormat="1" ht="13.15" customHeight="1">
      <c r="A34" s="2930">
        <v>5</v>
      </c>
      <c r="B34" s="2931" t="s">
        <v>2423</v>
      </c>
      <c r="C34" s="2976">
        <v>5.5E-2</v>
      </c>
      <c r="D34" s="2977">
        <v>5.5E-2</v>
      </c>
      <c r="E34" s="2978">
        <v>5.5E-2</v>
      </c>
      <c r="F34" s="2935"/>
      <c r="G34" s="2929"/>
      <c r="H34" s="2957"/>
      <c r="I34" s="2948"/>
      <c r="J34" s="3734" t="s">
        <v>2332</v>
      </c>
      <c r="K34" s="373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2424</v>
      </c>
      <c r="C35" s="2980">
        <v>0</v>
      </c>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2425</v>
      </c>
      <c r="C36" s="2986">
        <f>项目基本情况!H15</f>
        <v>33.4</v>
      </c>
      <c r="D36" s="2987"/>
      <c r="E36" s="2988"/>
      <c r="F36" s="2989">
        <f>C36+D36+E36</f>
        <v>33.4</v>
      </c>
      <c r="G36" s="2929"/>
      <c r="H36" s="2847"/>
      <c r="I36" s="2848"/>
      <c r="J36" s="3739">
        <v>1</v>
      </c>
      <c r="K36" s="3740" t="s">
        <v>2426</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39"/>
      <c r="K37" s="3741"/>
      <c r="L37" s="2882"/>
      <c r="M37" s="2883"/>
      <c r="N37" s="2859"/>
      <c r="O37" s="2884"/>
      <c r="P37" s="2884"/>
      <c r="Q37" s="2885"/>
      <c r="R37" s="2886"/>
      <c r="S37" s="2921"/>
      <c r="T37" s="2840" t="s">
        <v>2347</v>
      </c>
      <c r="U37" s="2840"/>
      <c r="V37" s="2848"/>
    </row>
    <row r="38" spans="1:23" s="2852" customFormat="1" ht="13.15" customHeight="1">
      <c r="A38" s="2930">
        <v>8</v>
      </c>
      <c r="B38" s="2931"/>
      <c r="C38" s="2888">
        <f ca="1">ROUND(C32*(1-((1+C35)/(1+C34))^C36)/(C34-C35),0)</f>
        <v>6582</v>
      </c>
      <c r="D38" s="2888">
        <f>IF(D23=0,0,ROUND(D32*(1-((1+D35)/(1+D34))^D36)/(D34-D35),0))</f>
        <v>0</v>
      </c>
      <c r="E38" s="2888">
        <f>IF(E23=0,0,ROUND(E32*(1-((1+E35)/(1+E34))^E36)/(E34-E35),0))</f>
        <v>0</v>
      </c>
      <c r="F38" s="2935"/>
      <c r="G38" s="2929"/>
      <c r="H38" s="2847"/>
      <c r="I38" s="2848"/>
      <c r="J38" s="3739"/>
      <c r="K38" s="3741"/>
      <c r="L38" s="2882"/>
      <c r="M38" s="2883"/>
      <c r="N38" s="2859"/>
      <c r="O38" s="2884"/>
      <c r="P38" s="2884"/>
      <c r="Q38" s="2885"/>
      <c r="R38" s="2886"/>
      <c r="S38" s="2921"/>
      <c r="T38" s="2840" t="s">
        <v>2353</v>
      </c>
      <c r="U38" s="2840"/>
      <c r="V38" s="2848"/>
    </row>
    <row r="39" spans="1:23" s="2852" customFormat="1" ht="13.15" customHeight="1">
      <c r="A39" s="2930">
        <v>9</v>
      </c>
      <c r="B39" s="2931" t="s">
        <v>2427</v>
      </c>
      <c r="C39" s="2896">
        <f ca="1">C38</f>
        <v>6582</v>
      </c>
      <c r="D39" s="2931">
        <f>D38/(1+D34)^C36</f>
        <v>0</v>
      </c>
      <c r="E39" s="2931">
        <f>E38/(1+E34)^(C36+D36)</f>
        <v>0</v>
      </c>
      <c r="F39" s="2935"/>
      <c r="G39" s="2990"/>
      <c r="H39" s="2847"/>
      <c r="I39" s="2848"/>
      <c r="J39" s="3739"/>
      <c r="K39" s="3741"/>
      <c r="L39" s="2882"/>
      <c r="M39" s="2883"/>
      <c r="N39" s="2859"/>
      <c r="O39" s="2884"/>
      <c r="P39" s="2884"/>
      <c r="Q39" s="2885"/>
      <c r="R39" s="2886"/>
      <c r="S39" s="2921"/>
      <c r="T39" s="2840"/>
      <c r="U39" s="2840"/>
      <c r="V39" s="2848"/>
    </row>
    <row r="40" spans="1:23" s="2852" customFormat="1" ht="13.15" customHeight="1">
      <c r="A40" s="2991">
        <v>10</v>
      </c>
      <c r="B40" s="2931" t="s">
        <v>2428</v>
      </c>
      <c r="C40" s="2992">
        <f ca="1">C39+D39+E39</f>
        <v>6582</v>
      </c>
      <c r="D40" s="2993"/>
      <c r="E40" s="2993"/>
      <c r="F40" s="2994"/>
      <c r="G40" s="2929"/>
      <c r="H40" s="2847"/>
      <c r="I40" s="2848"/>
      <c r="J40" s="3739"/>
      <c r="K40" s="3742"/>
      <c r="L40" s="2902" t="s">
        <v>2367</v>
      </c>
      <c r="M40" s="2903"/>
      <c r="N40" s="2903"/>
      <c r="O40" s="2904"/>
      <c r="P40" s="2904"/>
      <c r="Q40" s="2905"/>
      <c r="R40" s="2851">
        <f>SUM(R37:R39)</f>
        <v>0</v>
      </c>
      <c r="S40" s="2921"/>
      <c r="T40" s="2840"/>
      <c r="U40" s="2840"/>
      <c r="V40" s="2848"/>
    </row>
    <row r="41" spans="1:23" s="2852" customFormat="1" ht="13.15" customHeight="1" thickBot="1">
      <c r="A41" s="2995">
        <v>11</v>
      </c>
      <c r="B41" s="2996" t="s">
        <v>2429</v>
      </c>
      <c r="C41" s="2996">
        <f ca="1">ROUND(C40*10000/B4,0)</f>
        <v>11320</v>
      </c>
      <c r="D41" s="2997"/>
      <c r="E41" s="2997"/>
      <c r="F41" s="2998"/>
      <c r="G41" s="2999"/>
      <c r="H41" s="2847"/>
      <c r="I41" s="2848"/>
      <c r="J41" s="2943">
        <v>2</v>
      </c>
      <c r="K41" s="2944" t="s">
        <v>2407</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9">
        <v>3</v>
      </c>
      <c r="K42" s="2950" t="s">
        <v>2409</v>
      </c>
      <c r="L42" s="2951"/>
      <c r="M42" s="2952"/>
      <c r="N42" s="2953" t="s">
        <v>2410</v>
      </c>
      <c r="O42" s="2953" t="s">
        <v>2411</v>
      </c>
      <c r="P42" s="2954" t="s">
        <v>2412</v>
      </c>
      <c r="Q42" s="2954" t="s">
        <v>2413</v>
      </c>
      <c r="R42" s="2857" t="s">
        <v>2344</v>
      </c>
      <c r="S42" s="2955"/>
      <c r="T42" s="2955"/>
      <c r="U42" s="2840"/>
      <c r="V42" s="2848"/>
    </row>
    <row r="43" spans="1:23" ht="13.15" customHeight="1">
      <c r="A43" s="2852"/>
      <c r="B43" s="2852"/>
      <c r="C43" s="2852"/>
      <c r="D43" s="2852"/>
      <c r="E43" s="2852"/>
      <c r="F43" s="2852"/>
      <c r="I43" s="2835"/>
      <c r="J43" s="375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2416</v>
      </c>
      <c r="L44" s="3003" t="s">
        <v>2417</v>
      </c>
      <c r="M44" s="2966"/>
      <c r="N44" s="3003" t="s">
        <v>2418</v>
      </c>
      <c r="O44" s="2966"/>
      <c r="P44" s="3003" t="s">
        <v>2419</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0" sqref="F3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24517</v>
      </c>
      <c r="C2" s="1871" t="s">
        <v>1650</v>
      </c>
      <c r="D2" s="1872" t="s">
        <v>1651</v>
      </c>
      <c r="E2" s="2606">
        <f>SUM(E6:E13)</f>
        <v>33133.130000000005</v>
      </c>
      <c r="F2" s="2706"/>
      <c r="G2" s="1488"/>
      <c r="H2" s="1488"/>
      <c r="I2" s="1488"/>
      <c r="J2" s="1488"/>
      <c r="K2" s="1488"/>
      <c r="L2" s="1488"/>
      <c r="M2" s="1488"/>
      <c r="N2" s="1488"/>
      <c r="O2" s="1488"/>
      <c r="P2" s="1488"/>
      <c r="Q2" s="1488"/>
      <c r="R2" s="1488"/>
      <c r="S2" s="1488"/>
    </row>
    <row r="3" spans="1:22" ht="15.75">
      <c r="A3" s="1869" t="s">
        <v>686</v>
      </c>
      <c r="B3" s="2600">
        <f ca="1">ROUND(B2*10000/E2,0)</f>
        <v>7400</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751" t="s">
        <v>1653</v>
      </c>
      <c r="C5" s="3752"/>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17764</v>
      </c>
      <c r="C6" s="1871" t="s">
        <v>1650</v>
      </c>
      <c r="D6" s="2708"/>
      <c r="E6" s="2605">
        <f>IF(OR(A6=0,F6="否"),0,'数据-取费表'!K6+'数据-取费表'!S6)</f>
        <v>27136.58</v>
      </c>
      <c r="F6" s="1875" t="s">
        <v>1656</v>
      </c>
      <c r="G6" s="1488"/>
      <c r="H6" s="1488"/>
      <c r="I6" s="1488"/>
      <c r="J6" s="1488"/>
      <c r="K6" s="1488"/>
      <c r="L6" s="1488"/>
      <c r="M6" s="1488"/>
      <c r="N6" s="1488"/>
      <c r="O6" s="1488"/>
      <c r="P6" s="1488"/>
      <c r="Q6" s="1488"/>
      <c r="R6" s="1488"/>
      <c r="S6" s="1488"/>
    </row>
    <row r="7" spans="1:22">
      <c r="A7" s="2603" t="str">
        <f>'数据-取费表'!AN7</f>
        <v>收益法-酒店模型</v>
      </c>
      <c r="B7" s="2601">
        <f ca="1">IF(F7="是",'数据-取费表'!AO7,0)</f>
        <v>6753</v>
      </c>
      <c r="C7" s="1871" t="s">
        <v>1650</v>
      </c>
      <c r="D7" s="2708"/>
      <c r="E7" s="2605">
        <f>IF(OR(A7=0,F7="否"),0,'数据-取费表'!K7+'数据-取费表'!S7)</f>
        <v>5996.5499999999993</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Q72" sqref="Q7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33133.130000000005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1665</v>
      </c>
      <c r="B4" s="355"/>
      <c r="C4" s="3771" t="s">
        <v>1666</v>
      </c>
      <c r="D4" s="3772"/>
      <c r="E4" s="3773" t="s">
        <v>1667</v>
      </c>
      <c r="F4" s="3774"/>
      <c r="G4" s="3771" t="s">
        <v>1668</v>
      </c>
      <c r="H4" s="3772"/>
      <c r="I4" s="3771" t="s">
        <v>1669</v>
      </c>
      <c r="J4" s="3772"/>
      <c r="K4" s="1888" t="s">
        <v>1670</v>
      </c>
      <c r="L4" s="2714"/>
      <c r="M4" s="2715"/>
      <c r="N4" s="2715"/>
      <c r="O4" s="2715"/>
      <c r="P4" s="3775" t="s">
        <v>1671</v>
      </c>
      <c r="Q4" s="3776"/>
      <c r="R4" s="3758" t="s">
        <v>1667</v>
      </c>
      <c r="S4" s="3759"/>
      <c r="T4" s="3758" t="s">
        <v>1668</v>
      </c>
      <c r="U4" s="3759"/>
      <c r="V4" s="3783" t="s">
        <v>1669</v>
      </c>
      <c r="W4" s="3783"/>
      <c r="X4" s="1354"/>
      <c r="Y4" s="3758" t="s">
        <v>1671</v>
      </c>
      <c r="Z4" s="3759"/>
      <c r="AA4" s="3753" t="s">
        <v>1667</v>
      </c>
      <c r="AB4" s="3753" t="s">
        <v>1668</v>
      </c>
      <c r="AC4" s="3753" t="s">
        <v>1669</v>
      </c>
    </row>
    <row r="5" spans="1:29" ht="15">
      <c r="A5" s="357"/>
      <c r="B5" s="358"/>
      <c r="C5" s="3764" t="s">
        <v>1672</v>
      </c>
      <c r="D5" s="3765"/>
      <c r="E5" s="3762" t="s">
        <v>1673</v>
      </c>
      <c r="F5" s="3763"/>
      <c r="G5" s="3764" t="s">
        <v>1674</v>
      </c>
      <c r="H5" s="3765"/>
      <c r="I5" s="3764" t="s">
        <v>1675</v>
      </c>
      <c r="J5" s="3765"/>
      <c r="K5" s="1889"/>
      <c r="L5" s="2714"/>
      <c r="M5" s="2715"/>
      <c r="N5" s="2715"/>
      <c r="O5" s="2715"/>
      <c r="P5" s="3777"/>
      <c r="Q5" s="3778"/>
      <c r="R5" s="3760"/>
      <c r="S5" s="3761"/>
      <c r="T5" s="3760"/>
      <c r="U5" s="3761"/>
      <c r="V5" s="3783"/>
      <c r="W5" s="3783"/>
      <c r="X5" s="1354"/>
      <c r="Y5" s="3760"/>
      <c r="Z5" s="3761"/>
      <c r="AA5" s="3754"/>
      <c r="AB5" s="3754"/>
      <c r="AC5" s="3754"/>
    </row>
    <row r="6" spans="1:29" ht="15.75" thickBot="1">
      <c r="A6" s="359"/>
      <c r="B6" s="360"/>
      <c r="C6" s="3766" t="s">
        <v>1676</v>
      </c>
      <c r="D6" s="3767"/>
      <c r="E6" s="3768" t="s">
        <v>1676</v>
      </c>
      <c r="F6" s="3769"/>
      <c r="G6" s="3766" t="s">
        <v>1676</v>
      </c>
      <c r="H6" s="3767"/>
      <c r="I6" s="3766" t="s">
        <v>1676</v>
      </c>
      <c r="J6" s="3767"/>
      <c r="K6" s="1889" t="s">
        <v>1677</v>
      </c>
      <c r="L6" s="2714"/>
      <c r="M6" s="2715"/>
      <c r="N6" s="2715"/>
      <c r="O6" s="2715"/>
      <c r="P6" s="3779"/>
      <c r="Q6" s="3780"/>
      <c r="R6" s="3760"/>
      <c r="S6" s="3761"/>
      <c r="T6" s="3781"/>
      <c r="U6" s="3782"/>
      <c r="V6" s="3783"/>
      <c r="W6" s="3783"/>
      <c r="X6" s="1354"/>
      <c r="Y6" s="3781"/>
      <c r="Z6" s="3782"/>
      <c r="AA6" s="3755"/>
      <c r="AB6" s="3755"/>
      <c r="AC6" s="3755"/>
    </row>
    <row r="7" spans="1:29" s="107" customFormat="1" ht="15.75" thickBot="1">
      <c r="A7" s="361" t="s">
        <v>1678</v>
      </c>
      <c r="B7" s="362"/>
      <c r="C7" s="363">
        <f>'数据-取费表'!B2</f>
        <v>45120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56" t="s">
        <v>1679</v>
      </c>
      <c r="Q7" s="3784"/>
      <c r="R7" s="700" t="s">
        <v>20</v>
      </c>
      <c r="S7" s="701">
        <f t="shared" ref="S7:S15" si="0">F7</f>
        <v>0</v>
      </c>
      <c r="T7" s="700" t="s">
        <v>20</v>
      </c>
      <c r="U7" s="701">
        <f t="shared" ref="U7:U15" si="1">H7</f>
        <v>0</v>
      </c>
      <c r="V7" s="700" t="s">
        <v>20</v>
      </c>
      <c r="W7" s="701">
        <f t="shared" ref="W7:W15" si="2">J7</f>
        <v>0</v>
      </c>
      <c r="X7" s="702"/>
      <c r="Y7" s="3756" t="s">
        <v>1679</v>
      </c>
      <c r="Z7" s="3757"/>
      <c r="AA7" s="703" t="e">
        <f>D7/F7</f>
        <v>#DIV/0!</v>
      </c>
      <c r="AB7" s="703" t="e">
        <f>D7/H7</f>
        <v>#DIV/0!</v>
      </c>
      <c r="AC7" s="703" t="e">
        <f>D7/J7</f>
        <v>#DIV/0!</v>
      </c>
    </row>
    <row r="8" spans="1:29" s="107"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56" t="s">
        <v>1682</v>
      </c>
      <c r="Q8" s="3757"/>
      <c r="R8" s="700" t="s">
        <v>20</v>
      </c>
      <c r="S8" s="701">
        <f t="shared" si="0"/>
        <v>100</v>
      </c>
      <c r="T8" s="700" t="s">
        <v>20</v>
      </c>
      <c r="U8" s="701">
        <f t="shared" si="1"/>
        <v>100</v>
      </c>
      <c r="V8" s="700" t="s">
        <v>20</v>
      </c>
      <c r="W8" s="701">
        <f t="shared" si="2"/>
        <v>100</v>
      </c>
      <c r="X8" s="702"/>
      <c r="Y8" s="3756" t="s">
        <v>1682</v>
      </c>
      <c r="Z8" s="3757"/>
      <c r="AA8" s="703">
        <f t="shared" ref="AA8:AA19" si="3">D8/F8</f>
        <v>1</v>
      </c>
      <c r="AB8" s="703">
        <f t="shared" ref="AB8:AB19" si="4">D8/H8</f>
        <v>1</v>
      </c>
      <c r="AC8" s="703">
        <f t="shared" ref="AC8:AC19" si="5">D8/J8</f>
        <v>1</v>
      </c>
    </row>
    <row r="9" spans="1:29" s="107" customFormat="1">
      <c r="A9" s="368" t="s">
        <v>1683</v>
      </c>
      <c r="B9" s="62" t="s">
        <v>1684</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70"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70"/>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70"/>
      <c r="Q11" s="1342" t="str">
        <f t="shared" si="6"/>
        <v>容积率</v>
      </c>
      <c r="R11" s="700" t="s">
        <v>18</v>
      </c>
      <c r="S11" s="701" t="e">
        <f t="shared" si="0"/>
        <v>#N/A</v>
      </c>
      <c r="T11" s="700" t="s">
        <v>18</v>
      </c>
      <c r="U11" s="701" t="e">
        <f t="shared" si="1"/>
        <v>#N/A</v>
      </c>
      <c r="V11" s="700" t="s">
        <v>18</v>
      </c>
      <c r="W11" s="701" t="e">
        <f t="shared" si="2"/>
        <v>#N/A</v>
      </c>
      <c r="X11" s="702"/>
      <c r="Y11" s="3700"/>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70"/>
      <c r="Q12" s="1342">
        <f t="shared" si="6"/>
        <v>111</v>
      </c>
      <c r="R12" s="700" t="s">
        <v>18</v>
      </c>
      <c r="S12" s="701">
        <f t="shared" si="0"/>
        <v>100</v>
      </c>
      <c r="T12" s="700" t="s">
        <v>18</v>
      </c>
      <c r="U12" s="701">
        <f t="shared" si="1"/>
        <v>100</v>
      </c>
      <c r="V12" s="700" t="s">
        <v>18</v>
      </c>
      <c r="W12" s="701">
        <f t="shared" si="2"/>
        <v>100</v>
      </c>
      <c r="X12" s="702"/>
      <c r="Y12" s="3700"/>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70"/>
      <c r="Q13" s="1342">
        <f t="shared" si="6"/>
        <v>111</v>
      </c>
      <c r="R13" s="700" t="s">
        <v>18</v>
      </c>
      <c r="S13" s="701">
        <f t="shared" si="0"/>
        <v>100</v>
      </c>
      <c r="T13" s="700" t="s">
        <v>18</v>
      </c>
      <c r="U13" s="701">
        <f t="shared" si="1"/>
        <v>100</v>
      </c>
      <c r="V13" s="700" t="s">
        <v>18</v>
      </c>
      <c r="W13" s="701">
        <f t="shared" si="2"/>
        <v>100</v>
      </c>
      <c r="X13" s="702"/>
      <c r="Y13" s="3700"/>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70"/>
      <c r="Q14" s="1342">
        <f t="shared" si="6"/>
        <v>111</v>
      </c>
      <c r="R14" s="700" t="s">
        <v>18</v>
      </c>
      <c r="S14" s="701">
        <f t="shared" si="0"/>
        <v>100</v>
      </c>
      <c r="T14" s="700" t="s">
        <v>18</v>
      </c>
      <c r="U14" s="701">
        <f t="shared" si="1"/>
        <v>100</v>
      </c>
      <c r="V14" s="700" t="s">
        <v>18</v>
      </c>
      <c r="W14" s="701">
        <f t="shared" si="2"/>
        <v>100</v>
      </c>
      <c r="X14" s="702"/>
      <c r="Y14" s="3700"/>
      <c r="Z14" s="51">
        <f t="shared" si="7"/>
        <v>111</v>
      </c>
      <c r="AA14" s="703">
        <f t="shared" si="3"/>
        <v>1</v>
      </c>
      <c r="AB14" s="703">
        <f t="shared" si="4"/>
        <v>1</v>
      </c>
      <c r="AC14" s="703">
        <f t="shared" si="5"/>
        <v>1</v>
      </c>
    </row>
    <row r="15" spans="1:29" ht="85.5">
      <c r="A15" s="390" t="s">
        <v>1689</v>
      </c>
      <c r="B15" s="60" t="s">
        <v>1256</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97" t="s">
        <v>1690</v>
      </c>
      <c r="Q15" s="1351" t="str">
        <f t="shared" si="6"/>
        <v>居住社区成熟度</v>
      </c>
      <c r="R15" s="704" t="s">
        <v>18</v>
      </c>
      <c r="S15" s="705">
        <f t="shared" si="0"/>
        <v>100</v>
      </c>
      <c r="T15" s="704" t="s">
        <v>18</v>
      </c>
      <c r="U15" s="705">
        <f t="shared" si="1"/>
        <v>100</v>
      </c>
      <c r="V15" s="704" t="s">
        <v>18</v>
      </c>
      <c r="W15" s="705">
        <f t="shared" si="2"/>
        <v>100</v>
      </c>
      <c r="X15" s="1354"/>
      <c r="Y15" s="3790"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98"/>
      <c r="Q16" s="1351"/>
      <c r="R16" s="704"/>
      <c r="S16" s="705"/>
      <c r="T16" s="704"/>
      <c r="U16" s="705"/>
      <c r="V16" s="704"/>
      <c r="W16" s="705"/>
      <c r="X16" s="1354"/>
      <c r="Y16" s="3791"/>
      <c r="Z16" s="1355"/>
      <c r="AA16" s="1352">
        <v>1</v>
      </c>
      <c r="AB16" s="1352">
        <v>1</v>
      </c>
      <c r="AC16" s="1352">
        <v>1</v>
      </c>
    </row>
    <row r="17" spans="1:29" ht="71.25">
      <c r="A17" s="378"/>
      <c r="B17" s="401" t="s">
        <v>1258</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98"/>
      <c r="Q17" s="1351" t="str">
        <f>B17</f>
        <v>交通便捷度</v>
      </c>
      <c r="R17" s="704" t="s">
        <v>18</v>
      </c>
      <c r="S17" s="705">
        <f>F17</f>
        <v>100</v>
      </c>
      <c r="T17" s="704" t="s">
        <v>18</v>
      </c>
      <c r="U17" s="705">
        <f>H17</f>
        <v>100</v>
      </c>
      <c r="V17" s="704" t="s">
        <v>18</v>
      </c>
      <c r="W17" s="705">
        <f>J17</f>
        <v>100</v>
      </c>
      <c r="X17" s="1354"/>
      <c r="Y17" s="3791"/>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98"/>
      <c r="Q18" s="1351"/>
      <c r="R18" s="704"/>
      <c r="S18" s="705"/>
      <c r="T18" s="704"/>
      <c r="U18" s="705"/>
      <c r="V18" s="704"/>
      <c r="W18" s="705"/>
      <c r="X18" s="1354"/>
      <c r="Y18" s="3791"/>
      <c r="Z18" s="1355"/>
      <c r="AA18" s="1352">
        <v>1</v>
      </c>
      <c r="AB18" s="1352">
        <v>1</v>
      </c>
      <c r="AC18" s="1352">
        <v>1</v>
      </c>
    </row>
    <row r="19" spans="1:29" ht="42.75">
      <c r="A19" s="378"/>
      <c r="B19" s="401" t="s">
        <v>1257</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98"/>
      <c r="Q19" s="1351" t="str">
        <f>B19</f>
        <v>公共配套设施</v>
      </c>
      <c r="R19" s="704" t="s">
        <v>18</v>
      </c>
      <c r="S19" s="705">
        <f>F19</f>
        <v>100</v>
      </c>
      <c r="T19" s="704" t="s">
        <v>18</v>
      </c>
      <c r="U19" s="705">
        <f>H19</f>
        <v>100</v>
      </c>
      <c r="V19" s="704" t="s">
        <v>18</v>
      </c>
      <c r="W19" s="705">
        <f>J19</f>
        <v>100</v>
      </c>
      <c r="X19" s="1354"/>
      <c r="Y19" s="3791"/>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98"/>
      <c r="Q20" s="1351"/>
      <c r="R20" s="704"/>
      <c r="S20" s="705"/>
      <c r="T20" s="704"/>
      <c r="U20" s="705"/>
      <c r="V20" s="704"/>
      <c r="W20" s="705"/>
      <c r="X20" s="1354"/>
      <c r="Y20" s="3791"/>
      <c r="Z20" s="1355"/>
      <c r="AA20" s="1352">
        <v>1</v>
      </c>
      <c r="AB20" s="1352">
        <v>1</v>
      </c>
      <c r="AC20" s="1352">
        <v>1</v>
      </c>
    </row>
    <row r="21" spans="1:29" ht="28.5">
      <c r="A21" s="378"/>
      <c r="B21" s="1130" t="s">
        <v>1259</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98"/>
      <c r="Q21" s="1351" t="str">
        <f>B21</f>
        <v>基础设施水平</v>
      </c>
      <c r="R21" s="704" t="s">
        <v>14</v>
      </c>
      <c r="S21" s="705">
        <f>F21</f>
        <v>100</v>
      </c>
      <c r="T21" s="704" t="s">
        <v>14</v>
      </c>
      <c r="U21" s="705">
        <f>H21</f>
        <v>100</v>
      </c>
      <c r="V21" s="704" t="s">
        <v>14</v>
      </c>
      <c r="W21" s="705">
        <f>J21</f>
        <v>100</v>
      </c>
      <c r="X21" s="1354"/>
      <c r="Y21" s="379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98"/>
      <c r="Q22" s="1351"/>
      <c r="R22" s="704"/>
      <c r="S22" s="705"/>
      <c r="T22" s="704"/>
      <c r="U22" s="705"/>
      <c r="V22" s="704"/>
      <c r="W22" s="705"/>
      <c r="X22" s="1354"/>
      <c r="Y22" s="3791"/>
      <c r="Z22" s="1355"/>
      <c r="AA22" s="1352">
        <v>1</v>
      </c>
      <c r="AB22" s="1352">
        <v>1</v>
      </c>
      <c r="AC22" s="1352">
        <v>1</v>
      </c>
    </row>
    <row r="23" spans="1:29" ht="42.75">
      <c r="A23" s="378"/>
      <c r="B23" s="401" t="s">
        <v>1260</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98"/>
      <c r="Q23" s="1351" t="str">
        <f>B23</f>
        <v>自然及人文环境</v>
      </c>
      <c r="R23" s="704" t="s">
        <v>18</v>
      </c>
      <c r="S23" s="705">
        <f>F23</f>
        <v>100</v>
      </c>
      <c r="T23" s="704" t="s">
        <v>18</v>
      </c>
      <c r="U23" s="705">
        <f>H23</f>
        <v>100</v>
      </c>
      <c r="V23" s="704" t="s">
        <v>18</v>
      </c>
      <c r="W23" s="705">
        <f>J23</f>
        <v>100</v>
      </c>
      <c r="X23" s="1354"/>
      <c r="Y23" s="3791"/>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98"/>
      <c r="Q24" s="1351"/>
      <c r="R24" s="704"/>
      <c r="S24" s="705"/>
      <c r="T24" s="704"/>
      <c r="U24" s="705"/>
      <c r="V24" s="704"/>
      <c r="W24" s="705"/>
      <c r="X24" s="1354"/>
      <c r="Y24" s="3791"/>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9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91"/>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98"/>
      <c r="Q26" s="1351" t="str">
        <f t="shared" si="11"/>
        <v>朝向</v>
      </c>
      <c r="R26" s="704" t="s">
        <v>18</v>
      </c>
      <c r="S26" s="705">
        <f t="shared" si="12"/>
        <v>100</v>
      </c>
      <c r="T26" s="704" t="s">
        <v>18</v>
      </c>
      <c r="U26" s="705">
        <f t="shared" si="13"/>
        <v>100</v>
      </c>
      <c r="V26" s="704" t="s">
        <v>18</v>
      </c>
      <c r="W26" s="705">
        <f t="shared" si="14"/>
        <v>100</v>
      </c>
      <c r="X26" s="1354"/>
      <c r="Y26" s="3791"/>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98"/>
      <c r="Q27" s="1342">
        <f t="shared" si="11"/>
        <v>111</v>
      </c>
      <c r="R27" s="700" t="s">
        <v>18</v>
      </c>
      <c r="S27" s="701">
        <f t="shared" si="12"/>
        <v>100</v>
      </c>
      <c r="T27" s="700" t="s">
        <v>18</v>
      </c>
      <c r="U27" s="701">
        <f t="shared" si="13"/>
        <v>100</v>
      </c>
      <c r="V27" s="700" t="s">
        <v>18</v>
      </c>
      <c r="W27" s="701">
        <f t="shared" si="14"/>
        <v>100</v>
      </c>
      <c r="X27" s="702"/>
      <c r="Y27" s="3791"/>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98"/>
      <c r="Q28" s="1351">
        <f t="shared" si="11"/>
        <v>111</v>
      </c>
      <c r="R28" s="704" t="s">
        <v>18</v>
      </c>
      <c r="S28" s="705">
        <f t="shared" si="12"/>
        <v>100</v>
      </c>
      <c r="T28" s="704" t="s">
        <v>18</v>
      </c>
      <c r="U28" s="705">
        <f t="shared" si="13"/>
        <v>100</v>
      </c>
      <c r="V28" s="704" t="s">
        <v>18</v>
      </c>
      <c r="W28" s="705">
        <f t="shared" si="14"/>
        <v>100</v>
      </c>
      <c r="X28" s="1354"/>
      <c r="Y28" s="3791"/>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98"/>
      <c r="Q29" s="1351">
        <f t="shared" si="11"/>
        <v>111</v>
      </c>
      <c r="R29" s="704" t="s">
        <v>18</v>
      </c>
      <c r="S29" s="705">
        <f t="shared" si="12"/>
        <v>100</v>
      </c>
      <c r="T29" s="704" t="s">
        <v>18</v>
      </c>
      <c r="U29" s="705">
        <f t="shared" si="13"/>
        <v>100</v>
      </c>
      <c r="V29" s="704" t="s">
        <v>18</v>
      </c>
      <c r="W29" s="705">
        <f t="shared" si="14"/>
        <v>100</v>
      </c>
      <c r="X29" s="1354"/>
      <c r="Y29" s="3791"/>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98"/>
      <c r="Q30" s="1351">
        <f t="shared" si="11"/>
        <v>111</v>
      </c>
      <c r="R30" s="704" t="s">
        <v>18</v>
      </c>
      <c r="S30" s="705">
        <f t="shared" si="12"/>
        <v>100</v>
      </c>
      <c r="T30" s="704" t="s">
        <v>18</v>
      </c>
      <c r="U30" s="705">
        <f t="shared" si="13"/>
        <v>100</v>
      </c>
      <c r="V30" s="704" t="s">
        <v>18</v>
      </c>
      <c r="W30" s="705">
        <f t="shared" si="14"/>
        <v>100</v>
      </c>
      <c r="X30" s="1354"/>
      <c r="Y30" s="3791"/>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98"/>
      <c r="Q31" s="1351">
        <f t="shared" si="11"/>
        <v>111</v>
      </c>
      <c r="R31" s="704" t="s">
        <v>18</v>
      </c>
      <c r="S31" s="705">
        <f t="shared" si="12"/>
        <v>100</v>
      </c>
      <c r="T31" s="704" t="s">
        <v>18</v>
      </c>
      <c r="U31" s="705">
        <f t="shared" si="13"/>
        <v>100</v>
      </c>
      <c r="V31" s="704" t="s">
        <v>18</v>
      </c>
      <c r="W31" s="705">
        <f t="shared" si="14"/>
        <v>100</v>
      </c>
      <c r="X31" s="1354"/>
      <c r="Y31" s="3791"/>
      <c r="Z31" s="1355">
        <f t="shared" si="18"/>
        <v>111</v>
      </c>
      <c r="AA31" s="1352">
        <f t="shared" si="15"/>
        <v>1</v>
      </c>
      <c r="AB31" s="1352">
        <f t="shared" si="16"/>
        <v>1</v>
      </c>
      <c r="AC31" s="1352">
        <f t="shared" si="17"/>
        <v>1</v>
      </c>
    </row>
    <row r="32" spans="1:29" ht="15">
      <c r="A32" s="390" t="s">
        <v>1693</v>
      </c>
      <c r="B32" s="62"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92" t="s">
        <v>1695</v>
      </c>
      <c r="Q32" s="1351" t="str">
        <f t="shared" si="11"/>
        <v>建筑类型</v>
      </c>
      <c r="R32" s="704" t="s">
        <v>18</v>
      </c>
      <c r="S32" s="705">
        <f t="shared" si="12"/>
        <v>100</v>
      </c>
      <c r="T32" s="704" t="s">
        <v>18</v>
      </c>
      <c r="U32" s="705">
        <f t="shared" si="13"/>
        <v>100</v>
      </c>
      <c r="V32" s="704" t="s">
        <v>18</v>
      </c>
      <c r="W32" s="705">
        <f t="shared" si="14"/>
        <v>100</v>
      </c>
      <c r="X32" s="1354"/>
      <c r="Y32" s="3795"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93"/>
      <c r="Q33" s="706" t="str">
        <f t="shared" si="11"/>
        <v>项目建筑规模</v>
      </c>
      <c r="R33" s="707" t="s">
        <v>18</v>
      </c>
      <c r="S33" s="708" t="e">
        <f t="shared" si="12"/>
        <v>#N/A</v>
      </c>
      <c r="T33" s="707" t="s">
        <v>18</v>
      </c>
      <c r="U33" s="708" t="e">
        <f t="shared" si="13"/>
        <v>#N/A</v>
      </c>
      <c r="V33" s="707" t="s">
        <v>18</v>
      </c>
      <c r="W33" s="708" t="e">
        <f t="shared" si="14"/>
        <v>#N/A</v>
      </c>
      <c r="X33" s="709"/>
      <c r="Y33" s="3795"/>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93"/>
      <c r="Q34" s="1351" t="str">
        <f t="shared" si="11"/>
        <v>建筑结构</v>
      </c>
      <c r="R34" s="704" t="s">
        <v>18</v>
      </c>
      <c r="S34" s="705">
        <f t="shared" si="12"/>
        <v>100</v>
      </c>
      <c r="T34" s="704" t="s">
        <v>18</v>
      </c>
      <c r="U34" s="705">
        <f t="shared" si="13"/>
        <v>100</v>
      </c>
      <c r="V34" s="704" t="s">
        <v>18</v>
      </c>
      <c r="W34" s="705">
        <f t="shared" si="14"/>
        <v>100</v>
      </c>
      <c r="X34" s="1354"/>
      <c r="Y34" s="3795"/>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93"/>
      <c r="Q35" s="1351" t="str">
        <f t="shared" si="11"/>
        <v>建筑品质</v>
      </c>
      <c r="R35" s="704" t="s">
        <v>18</v>
      </c>
      <c r="S35" s="705">
        <f t="shared" si="12"/>
        <v>100</v>
      </c>
      <c r="T35" s="704" t="s">
        <v>18</v>
      </c>
      <c r="U35" s="705">
        <f t="shared" si="13"/>
        <v>100</v>
      </c>
      <c r="V35" s="704" t="s">
        <v>18</v>
      </c>
      <c r="W35" s="705">
        <f t="shared" si="14"/>
        <v>100</v>
      </c>
      <c r="X35" s="1354"/>
      <c r="Y35" s="3795"/>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93"/>
      <c r="Q36" s="1351" t="str">
        <f t="shared" si="11"/>
        <v>公共部分装修</v>
      </c>
      <c r="R36" s="704" t="s">
        <v>18</v>
      </c>
      <c r="S36" s="705">
        <f t="shared" si="12"/>
        <v>100</v>
      </c>
      <c r="T36" s="704" t="s">
        <v>18</v>
      </c>
      <c r="U36" s="705">
        <f t="shared" si="13"/>
        <v>100</v>
      </c>
      <c r="V36" s="704" t="s">
        <v>18</v>
      </c>
      <c r="W36" s="705">
        <f t="shared" si="14"/>
        <v>100</v>
      </c>
      <c r="X36" s="1354"/>
      <c r="Y36" s="3795"/>
      <c r="Z36" s="1355" t="str">
        <f t="shared" si="18"/>
        <v>公共部分装修</v>
      </c>
      <c r="AA36" s="1352">
        <f t="shared" si="15"/>
        <v>1</v>
      </c>
      <c r="AB36" s="1352">
        <f t="shared" si="16"/>
        <v>1</v>
      </c>
      <c r="AC36" s="1352">
        <f t="shared" si="17"/>
        <v>1</v>
      </c>
    </row>
    <row r="37" spans="1:29" s="107"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93"/>
      <c r="Q37" s="1342" t="str">
        <f t="shared" si="11"/>
        <v>成新度</v>
      </c>
      <c r="R37" s="700" t="s">
        <v>18</v>
      </c>
      <c r="S37" s="701" t="e">
        <f t="shared" si="12"/>
        <v>#N/A</v>
      </c>
      <c r="T37" s="700" t="s">
        <v>18</v>
      </c>
      <c r="U37" s="701" t="e">
        <f t="shared" si="13"/>
        <v>#N/A</v>
      </c>
      <c r="V37" s="700" t="s">
        <v>18</v>
      </c>
      <c r="W37" s="701" t="e">
        <f t="shared" si="14"/>
        <v>#N/A</v>
      </c>
      <c r="X37" s="702"/>
      <c r="Y37" s="3795"/>
      <c r="Z37" s="51"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93" t="s">
        <v>1695</v>
      </c>
      <c r="Q38" s="1351" t="str">
        <f t="shared" si="11"/>
        <v>物业管理</v>
      </c>
      <c r="R38" s="704" t="s">
        <v>18</v>
      </c>
      <c r="S38" s="705">
        <f t="shared" si="12"/>
        <v>100</v>
      </c>
      <c r="T38" s="704" t="s">
        <v>18</v>
      </c>
      <c r="U38" s="705">
        <f t="shared" si="13"/>
        <v>100</v>
      </c>
      <c r="V38" s="704" t="s">
        <v>18</v>
      </c>
      <c r="W38" s="705">
        <f t="shared" si="14"/>
        <v>100</v>
      </c>
      <c r="X38" s="1354"/>
      <c r="Y38" s="3795"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93"/>
      <c r="Q39" s="1351" t="str">
        <f t="shared" si="11"/>
        <v>市政基础设施</v>
      </c>
      <c r="R39" s="704" t="s">
        <v>18</v>
      </c>
      <c r="S39" s="705">
        <f t="shared" si="12"/>
        <v>100</v>
      </c>
      <c r="T39" s="704" t="s">
        <v>18</v>
      </c>
      <c r="U39" s="705">
        <f t="shared" si="13"/>
        <v>100</v>
      </c>
      <c r="V39" s="704" t="s">
        <v>18</v>
      </c>
      <c r="W39" s="705">
        <f t="shared" si="14"/>
        <v>100</v>
      </c>
      <c r="X39" s="1354"/>
      <c r="Y39" s="3795"/>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93"/>
      <c r="Q40" s="1351" t="str">
        <f t="shared" si="11"/>
        <v>房型</v>
      </c>
      <c r="R40" s="704" t="s">
        <v>18</v>
      </c>
      <c r="S40" s="705">
        <f t="shared" si="12"/>
        <v>100</v>
      </c>
      <c r="T40" s="704" t="s">
        <v>18</v>
      </c>
      <c r="U40" s="705">
        <f t="shared" si="13"/>
        <v>100</v>
      </c>
      <c r="V40" s="704" t="s">
        <v>18</v>
      </c>
      <c r="W40" s="705">
        <f t="shared" si="14"/>
        <v>100</v>
      </c>
      <c r="X40" s="1354"/>
      <c r="Y40" s="3795"/>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93"/>
      <c r="Q41" s="706" t="str">
        <f t="shared" si="11"/>
        <v>单套/主力户型建筑面积</v>
      </c>
      <c r="R41" s="707" t="s">
        <v>18</v>
      </c>
      <c r="S41" s="708">
        <f t="shared" si="12"/>
        <v>100</v>
      </c>
      <c r="T41" s="707" t="s">
        <v>18</v>
      </c>
      <c r="U41" s="708">
        <f t="shared" si="13"/>
        <v>100</v>
      </c>
      <c r="V41" s="707" t="s">
        <v>18</v>
      </c>
      <c r="W41" s="708">
        <f t="shared" si="14"/>
        <v>100</v>
      </c>
      <c r="X41" s="709"/>
      <c r="Y41" s="3795"/>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93"/>
      <c r="Q42" s="1351" t="str">
        <f t="shared" si="11"/>
        <v>内部装修</v>
      </c>
      <c r="R42" s="704" t="s">
        <v>18</v>
      </c>
      <c r="S42" s="705">
        <f t="shared" si="12"/>
        <v>100</v>
      </c>
      <c r="T42" s="704" t="s">
        <v>18</v>
      </c>
      <c r="U42" s="705">
        <f t="shared" si="13"/>
        <v>100</v>
      </c>
      <c r="V42" s="704" t="s">
        <v>18</v>
      </c>
      <c r="W42" s="705">
        <f t="shared" si="14"/>
        <v>100</v>
      </c>
      <c r="X42" s="1354"/>
      <c r="Y42" s="3795"/>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93"/>
      <c r="Q43" s="1351" t="str">
        <f t="shared" si="11"/>
        <v>内部装修维护情况</v>
      </c>
      <c r="R43" s="704" t="s">
        <v>18</v>
      </c>
      <c r="S43" s="705">
        <f t="shared" si="12"/>
        <v>100</v>
      </c>
      <c r="T43" s="704" t="s">
        <v>18</v>
      </c>
      <c r="U43" s="705">
        <f t="shared" si="13"/>
        <v>100</v>
      </c>
      <c r="V43" s="704" t="s">
        <v>18</v>
      </c>
      <c r="W43" s="705">
        <f t="shared" si="14"/>
        <v>100</v>
      </c>
      <c r="X43" s="1354"/>
      <c r="Y43" s="3795"/>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93"/>
      <c r="Q44" s="1342">
        <f t="shared" si="11"/>
        <v>111</v>
      </c>
      <c r="R44" s="700" t="s">
        <v>18</v>
      </c>
      <c r="S44" s="701">
        <f t="shared" si="12"/>
        <v>100</v>
      </c>
      <c r="T44" s="700" t="s">
        <v>18</v>
      </c>
      <c r="U44" s="701">
        <f t="shared" si="13"/>
        <v>100</v>
      </c>
      <c r="V44" s="700" t="s">
        <v>18</v>
      </c>
      <c r="W44" s="701">
        <f t="shared" si="14"/>
        <v>100</v>
      </c>
      <c r="X44" s="702"/>
      <c r="Y44" s="3795"/>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93"/>
      <c r="Q45" s="1351">
        <f t="shared" si="11"/>
        <v>111</v>
      </c>
      <c r="R45" s="704" t="s">
        <v>18</v>
      </c>
      <c r="S45" s="705">
        <f t="shared" si="12"/>
        <v>100</v>
      </c>
      <c r="T45" s="704" t="s">
        <v>18</v>
      </c>
      <c r="U45" s="705">
        <f t="shared" si="13"/>
        <v>100</v>
      </c>
      <c r="V45" s="704" t="s">
        <v>18</v>
      </c>
      <c r="W45" s="705">
        <f t="shared" si="14"/>
        <v>100</v>
      </c>
      <c r="X45" s="1354"/>
      <c r="Y45" s="3795"/>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94"/>
      <c r="Q46" s="1351">
        <f t="shared" si="11"/>
        <v>111</v>
      </c>
      <c r="R46" s="704" t="s">
        <v>17</v>
      </c>
      <c r="S46" s="705">
        <f t="shared" si="12"/>
        <v>100</v>
      </c>
      <c r="T46" s="704" t="s">
        <v>17</v>
      </c>
      <c r="U46" s="705">
        <f t="shared" si="13"/>
        <v>100</v>
      </c>
      <c r="V46" s="704" t="s">
        <v>17</v>
      </c>
      <c r="W46" s="705">
        <f t="shared" si="14"/>
        <v>100</v>
      </c>
      <c r="X46" s="1354"/>
      <c r="Y46" s="3796"/>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3"/>
      <c r="M47" s="2724"/>
      <c r="N47" s="2715"/>
      <c r="O47" s="2724"/>
      <c r="P47" s="3788" t="str">
        <f>A47</f>
        <v>成交单价（元/平方米）</v>
      </c>
      <c r="Q47" s="3788"/>
      <c r="R47" s="3789">
        <f>E47</f>
        <v>0</v>
      </c>
      <c r="S47" s="3789"/>
      <c r="T47" s="3789">
        <f>G47</f>
        <v>0</v>
      </c>
      <c r="U47" s="3789"/>
      <c r="V47" s="3789">
        <f>I47</f>
        <v>0</v>
      </c>
      <c r="W47" s="3789"/>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88" t="str">
        <f>A48</f>
        <v>比较价值（元/平方米）</v>
      </c>
      <c r="Q48" s="3788"/>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3"/>
      <c r="M49" s="2724"/>
      <c r="N49" s="2724"/>
      <c r="O49" s="2724"/>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1715</v>
      </c>
      <c r="B60" s="464"/>
      <c r="C60" s="465"/>
      <c r="D60" s="466"/>
      <c r="E60" s="466"/>
      <c r="F60" s="466"/>
      <c r="G60" s="466"/>
      <c r="H60" s="466"/>
      <c r="I60" s="466"/>
      <c r="J60" s="466"/>
      <c r="K60" s="466"/>
      <c r="L60" s="466"/>
      <c r="M60" s="467"/>
      <c r="N60" s="466"/>
      <c r="O60" s="467"/>
      <c r="P60" s="1919"/>
      <c r="Q60" s="452"/>
    </row>
    <row r="61" spans="1:29" s="107" customFormat="1" ht="15">
      <c r="A61" s="469" t="s">
        <v>1716</v>
      </c>
      <c r="B61" s="458"/>
      <c r="C61" s="470" t="s">
        <v>1717</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1733</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1734</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33133.130000000005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58" t="s">
        <v>1770</v>
      </c>
      <c r="S4" s="3759"/>
      <c r="T4" s="3758" t="s">
        <v>1771</v>
      </c>
      <c r="U4" s="3759"/>
      <c r="V4" s="3783" t="s">
        <v>1772</v>
      </c>
      <c r="W4" s="3783"/>
      <c r="X4" s="1354"/>
      <c r="Y4" s="3758" t="s">
        <v>1774</v>
      </c>
      <c r="Z4" s="3759"/>
      <c r="AA4" s="3753" t="s">
        <v>1770</v>
      </c>
      <c r="AB4" s="3783" t="s">
        <v>1771</v>
      </c>
      <c r="AC4" s="3753" t="s">
        <v>1772</v>
      </c>
    </row>
    <row r="5" spans="1:29" ht="15">
      <c r="A5" s="357"/>
      <c r="B5" s="358"/>
      <c r="C5" s="3764" t="s">
        <v>1672</v>
      </c>
      <c r="D5" s="3765"/>
      <c r="E5" s="3762" t="s">
        <v>1673</v>
      </c>
      <c r="F5" s="3763"/>
      <c r="G5" s="3764" t="s">
        <v>1674</v>
      </c>
      <c r="H5" s="3765"/>
      <c r="I5" s="3764" t="s">
        <v>1675</v>
      </c>
      <c r="J5" s="3765"/>
      <c r="K5" s="558"/>
      <c r="L5" s="2714"/>
      <c r="M5" s="2715"/>
      <c r="N5" s="2715"/>
      <c r="O5" s="2715"/>
      <c r="P5" s="3777"/>
      <c r="Q5" s="3778"/>
      <c r="R5" s="3760"/>
      <c r="S5" s="3761"/>
      <c r="T5" s="3760"/>
      <c r="U5" s="3761"/>
      <c r="V5" s="3783"/>
      <c r="W5" s="3783"/>
      <c r="X5" s="1354"/>
      <c r="Y5" s="3760"/>
      <c r="Z5" s="3761"/>
      <c r="AA5" s="3754"/>
      <c r="AB5" s="3783"/>
      <c r="AC5" s="3754"/>
    </row>
    <row r="6" spans="1:29" ht="15.75" thickBot="1">
      <c r="A6" s="359"/>
      <c r="B6" s="360"/>
      <c r="C6" s="3766" t="s">
        <v>1676</v>
      </c>
      <c r="D6" s="3767"/>
      <c r="E6" s="3768" t="s">
        <v>1676</v>
      </c>
      <c r="F6" s="3769"/>
      <c r="G6" s="3766" t="s">
        <v>1676</v>
      </c>
      <c r="H6" s="3767"/>
      <c r="I6" s="3766" t="s">
        <v>1676</v>
      </c>
      <c r="J6" s="3767"/>
      <c r="K6" s="558" t="s">
        <v>1677</v>
      </c>
      <c r="L6" s="2714"/>
      <c r="M6" s="2715"/>
      <c r="N6" s="2715"/>
      <c r="O6" s="2715"/>
      <c r="P6" s="3779"/>
      <c r="Q6" s="3780"/>
      <c r="R6" s="3760"/>
      <c r="S6" s="3761"/>
      <c r="T6" s="3781"/>
      <c r="U6" s="3782"/>
      <c r="V6" s="3783"/>
      <c r="W6" s="3783"/>
      <c r="X6" s="1354"/>
      <c r="Y6" s="3781"/>
      <c r="Z6" s="3782"/>
      <c r="AA6" s="3755"/>
      <c r="AB6" s="3783"/>
      <c r="AC6" s="3755"/>
    </row>
    <row r="7" spans="1:29" s="107" customFormat="1" ht="15.75" thickBot="1">
      <c r="A7" s="361" t="s">
        <v>1678</v>
      </c>
      <c r="B7" s="362"/>
      <c r="C7" s="363">
        <f>'数据-取费表'!B2</f>
        <v>45120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56" t="s">
        <v>1679</v>
      </c>
      <c r="Q7" s="3784"/>
      <c r="R7" s="700" t="s">
        <v>14</v>
      </c>
      <c r="S7" s="701">
        <f t="shared" ref="S7:S15" si="0">F7</f>
        <v>0</v>
      </c>
      <c r="T7" s="700" t="s">
        <v>14</v>
      </c>
      <c r="U7" s="701">
        <f t="shared" ref="U7:U15" si="1">H7</f>
        <v>0</v>
      </c>
      <c r="V7" s="700" t="s">
        <v>14</v>
      </c>
      <c r="W7" s="701">
        <f t="shared" ref="W7:W15" si="2">J7</f>
        <v>0</v>
      </c>
      <c r="X7" s="702"/>
      <c r="Y7" s="3756" t="s">
        <v>1679</v>
      </c>
      <c r="Z7" s="3757"/>
      <c r="AA7" s="703" t="e">
        <f>D7/F7</f>
        <v>#DIV/0!</v>
      </c>
      <c r="AB7" s="703" t="e">
        <f>D7/H7</f>
        <v>#DIV/0!</v>
      </c>
      <c r="AC7" s="703" t="e">
        <f>D7/J7</f>
        <v>#DIV/0!</v>
      </c>
    </row>
    <row r="8" spans="1:29" s="107"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56" t="s">
        <v>1682</v>
      </c>
      <c r="Q8" s="3757"/>
      <c r="R8" s="700" t="s">
        <v>14</v>
      </c>
      <c r="S8" s="701">
        <f t="shared" si="0"/>
        <v>100</v>
      </c>
      <c r="T8" s="700" t="s">
        <v>14</v>
      </c>
      <c r="U8" s="701">
        <f t="shared" si="1"/>
        <v>100</v>
      </c>
      <c r="V8" s="700" t="s">
        <v>14</v>
      </c>
      <c r="W8" s="701">
        <f t="shared" si="2"/>
        <v>100</v>
      </c>
      <c r="X8" s="702"/>
      <c r="Y8" s="3756" t="s">
        <v>1682</v>
      </c>
      <c r="Z8" s="3757"/>
      <c r="AA8" s="703">
        <f t="shared" ref="AA8:AA46" si="3">D8/F8</f>
        <v>1</v>
      </c>
      <c r="AB8" s="703">
        <f t="shared" ref="AB8:AB46" si="4">D8/H8</f>
        <v>1</v>
      </c>
      <c r="AC8" s="703">
        <f t="shared" ref="AC8:AC46" si="5">D8/J8</f>
        <v>1</v>
      </c>
    </row>
    <row r="9" spans="1:29" s="107" customFormat="1">
      <c r="A9" s="368" t="s">
        <v>1683</v>
      </c>
      <c r="B9" s="62" t="s">
        <v>1684</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70"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70"/>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70"/>
      <c r="Q11" s="1342" t="str">
        <f t="shared" si="6"/>
        <v>容积率</v>
      </c>
      <c r="R11" s="700" t="s">
        <v>14</v>
      </c>
      <c r="S11" s="701" t="e">
        <f t="shared" si="0"/>
        <v>#N/A</v>
      </c>
      <c r="T11" s="700" t="s">
        <v>14</v>
      </c>
      <c r="U11" s="701" t="e">
        <f t="shared" si="1"/>
        <v>#N/A</v>
      </c>
      <c r="V11" s="700" t="s">
        <v>14</v>
      </c>
      <c r="W11" s="701" t="e">
        <f t="shared" si="2"/>
        <v>#N/A</v>
      </c>
      <c r="X11" s="702"/>
      <c r="Y11" s="3700"/>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70"/>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70"/>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70"/>
      <c r="Q14" s="1342">
        <f t="shared" si="6"/>
        <v>111</v>
      </c>
      <c r="R14" s="700" t="s">
        <v>14</v>
      </c>
      <c r="S14" s="701">
        <f t="shared" si="0"/>
        <v>100</v>
      </c>
      <c r="T14" s="700" t="s">
        <v>14</v>
      </c>
      <c r="U14" s="701">
        <f t="shared" si="1"/>
        <v>100</v>
      </c>
      <c r="V14" s="700" t="s">
        <v>14</v>
      </c>
      <c r="W14" s="701">
        <f t="shared" si="2"/>
        <v>100</v>
      </c>
      <c r="X14" s="702"/>
      <c r="Y14" s="3700"/>
      <c r="Z14" s="51">
        <f t="shared" si="7"/>
        <v>111</v>
      </c>
      <c r="AA14" s="703">
        <f t="shared" si="3"/>
        <v>1</v>
      </c>
      <c r="AB14" s="703">
        <f t="shared" si="4"/>
        <v>1</v>
      </c>
      <c r="AC14" s="703">
        <f t="shared" si="5"/>
        <v>1</v>
      </c>
    </row>
    <row r="15" spans="1:29" ht="71.25">
      <c r="A15" s="390" t="s">
        <v>1689</v>
      </c>
      <c r="B15" s="60"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97" t="s">
        <v>1690</v>
      </c>
      <c r="Q15" s="1351" t="str">
        <f t="shared" si="6"/>
        <v>商业繁华度</v>
      </c>
      <c r="R15" s="704" t="s">
        <v>14</v>
      </c>
      <c r="S15" s="705">
        <f t="shared" si="0"/>
        <v>100</v>
      </c>
      <c r="T15" s="704" t="s">
        <v>14</v>
      </c>
      <c r="U15" s="705">
        <f t="shared" si="1"/>
        <v>100</v>
      </c>
      <c r="V15" s="704" t="s">
        <v>14</v>
      </c>
      <c r="W15" s="705">
        <f t="shared" si="2"/>
        <v>100</v>
      </c>
      <c r="X15" s="1354"/>
      <c r="Y15" s="3790"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98"/>
      <c r="Q16" s="1351"/>
      <c r="R16" s="704"/>
      <c r="S16" s="705"/>
      <c r="T16" s="704"/>
      <c r="U16" s="705"/>
      <c r="V16" s="704"/>
      <c r="W16" s="705"/>
      <c r="X16" s="1354"/>
      <c r="Y16" s="3791"/>
      <c r="Z16" s="1355"/>
      <c r="AA16" s="1352">
        <v>1</v>
      </c>
      <c r="AB16" s="1352">
        <v>1</v>
      </c>
      <c r="AC16" s="1352">
        <v>1</v>
      </c>
    </row>
    <row r="17" spans="1:29" ht="85.5">
      <c r="A17" s="378"/>
      <c r="B17" s="401" t="s">
        <v>1258</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98"/>
      <c r="Q17" s="1351" t="str">
        <f>B17</f>
        <v>交通便捷度</v>
      </c>
      <c r="R17" s="704" t="s">
        <v>14</v>
      </c>
      <c r="S17" s="705">
        <f>F17</f>
        <v>100</v>
      </c>
      <c r="T17" s="704" t="s">
        <v>14</v>
      </c>
      <c r="U17" s="705">
        <f>H17</f>
        <v>100</v>
      </c>
      <c r="V17" s="704" t="s">
        <v>14</v>
      </c>
      <c r="W17" s="705">
        <f>J17</f>
        <v>100</v>
      </c>
      <c r="X17" s="1354"/>
      <c r="Y17" s="379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98"/>
      <c r="Q18" s="1351"/>
      <c r="R18" s="704"/>
      <c r="S18" s="705"/>
      <c r="T18" s="704"/>
      <c r="U18" s="705"/>
      <c r="V18" s="704"/>
      <c r="W18" s="705"/>
      <c r="X18" s="1354"/>
      <c r="Y18" s="3791"/>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98"/>
      <c r="Q19" s="1351" t="str">
        <f>B19</f>
        <v>公共配套设施</v>
      </c>
      <c r="R19" s="704" t="s">
        <v>14</v>
      </c>
      <c r="S19" s="705">
        <f>F19</f>
        <v>100</v>
      </c>
      <c r="T19" s="704" t="s">
        <v>14</v>
      </c>
      <c r="U19" s="705">
        <f>H19</f>
        <v>100</v>
      </c>
      <c r="V19" s="704" t="s">
        <v>14</v>
      </c>
      <c r="W19" s="705">
        <f>J19</f>
        <v>100</v>
      </c>
      <c r="X19" s="1354"/>
      <c r="Y19" s="379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98"/>
      <c r="Q20" s="1351"/>
      <c r="R20" s="704"/>
      <c r="S20" s="705"/>
      <c r="T20" s="704"/>
      <c r="U20" s="705"/>
      <c r="V20" s="704"/>
      <c r="W20" s="705"/>
      <c r="X20" s="1354"/>
      <c r="Y20" s="3791"/>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98"/>
      <c r="Q21" s="1351" t="str">
        <f>B21</f>
        <v>基础设施水平</v>
      </c>
      <c r="R21" s="704" t="s">
        <v>14</v>
      </c>
      <c r="S21" s="705">
        <f>F21</f>
        <v>100</v>
      </c>
      <c r="T21" s="704" t="s">
        <v>14</v>
      </c>
      <c r="U21" s="705">
        <f>H21</f>
        <v>100</v>
      </c>
      <c r="V21" s="704" t="s">
        <v>14</v>
      </c>
      <c r="W21" s="705">
        <f>J21</f>
        <v>100</v>
      </c>
      <c r="X21" s="1354"/>
      <c r="Y21" s="379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98"/>
      <c r="Q22" s="1351"/>
      <c r="R22" s="704"/>
      <c r="S22" s="705"/>
      <c r="T22" s="704"/>
      <c r="U22" s="705"/>
      <c r="V22" s="704"/>
      <c r="W22" s="705"/>
      <c r="X22" s="1354"/>
      <c r="Y22" s="3791"/>
      <c r="Z22" s="1355"/>
      <c r="AA22" s="1352">
        <v>1</v>
      </c>
      <c r="AB22" s="1352">
        <v>1</v>
      </c>
      <c r="AC22" s="1352">
        <v>1</v>
      </c>
    </row>
    <row r="23" spans="1:29" ht="57">
      <c r="A23" s="378"/>
      <c r="B23" s="401" t="s">
        <v>1260</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98"/>
      <c r="Q23" s="1351" t="str">
        <f>B23</f>
        <v>自然及人文环境</v>
      </c>
      <c r="R23" s="704" t="s">
        <v>14</v>
      </c>
      <c r="S23" s="705">
        <f>F23</f>
        <v>100</v>
      </c>
      <c r="T23" s="704" t="s">
        <v>14</v>
      </c>
      <c r="U23" s="705">
        <f>H23</f>
        <v>100</v>
      </c>
      <c r="V23" s="704" t="s">
        <v>14</v>
      </c>
      <c r="W23" s="705">
        <f>J23</f>
        <v>100</v>
      </c>
      <c r="X23" s="1354"/>
      <c r="Y23" s="3791"/>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98"/>
      <c r="Q24" s="1351"/>
      <c r="R24" s="704"/>
      <c r="S24" s="705"/>
      <c r="T24" s="704"/>
      <c r="U24" s="705"/>
      <c r="V24" s="704"/>
      <c r="W24" s="705"/>
      <c r="X24" s="1354"/>
      <c r="Y24" s="3791"/>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98"/>
      <c r="Q25" s="1351" t="str">
        <f t="shared" ref="Q25:Q46" si="11">B25</f>
        <v>临街状况</v>
      </c>
      <c r="R25" s="704" t="s">
        <v>14</v>
      </c>
      <c r="S25" s="705">
        <f>F25</f>
        <v>100</v>
      </c>
      <c r="T25" s="704" t="s">
        <v>14</v>
      </c>
      <c r="U25" s="705">
        <f>H25</f>
        <v>100</v>
      </c>
      <c r="V25" s="704" t="s">
        <v>14</v>
      </c>
      <c r="W25" s="705">
        <f>J25</f>
        <v>100</v>
      </c>
      <c r="X25" s="1354"/>
      <c r="Y25" s="3791"/>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98"/>
      <c r="Q26" s="1351" t="str">
        <f t="shared" si="11"/>
        <v>平面位置/可视性</v>
      </c>
      <c r="R26" s="704" t="s">
        <v>14</v>
      </c>
      <c r="S26" s="705">
        <f>F26</f>
        <v>100</v>
      </c>
      <c r="T26" s="704" t="s">
        <v>14</v>
      </c>
      <c r="U26" s="705">
        <f>H26</f>
        <v>100</v>
      </c>
      <c r="V26" s="704" t="s">
        <v>14</v>
      </c>
      <c r="W26" s="705">
        <f>J26</f>
        <v>100</v>
      </c>
      <c r="X26" s="1354"/>
      <c r="Y26" s="3791"/>
      <c r="Z26" s="1355" t="str">
        <f>Q26</f>
        <v>平面位置/可视性</v>
      </c>
      <c r="AA26" s="1352">
        <f t="shared" si="3"/>
        <v>1</v>
      </c>
      <c r="AB26" s="1352">
        <f t="shared" si="4"/>
        <v>1</v>
      </c>
      <c r="AC26" s="1352">
        <f t="shared" si="5"/>
        <v>1</v>
      </c>
    </row>
    <row r="27" spans="1:29" s="107"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98"/>
      <c r="Q27" s="1342" t="str">
        <f t="shared" si="11"/>
        <v>人流量</v>
      </c>
      <c r="R27" s="700" t="s">
        <v>14</v>
      </c>
      <c r="S27" s="701">
        <f>F27</f>
        <v>100</v>
      </c>
      <c r="T27" s="700" t="s">
        <v>14</v>
      </c>
      <c r="U27" s="701">
        <f>H27</f>
        <v>100</v>
      </c>
      <c r="V27" s="700" t="s">
        <v>14</v>
      </c>
      <c r="W27" s="701">
        <f>J27</f>
        <v>100</v>
      </c>
      <c r="X27" s="702"/>
      <c r="Y27" s="3791"/>
      <c r="Z27" s="51"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9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91"/>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98"/>
      <c r="Q29" s="1351">
        <f t="shared" si="11"/>
        <v>111</v>
      </c>
      <c r="R29" s="704" t="s">
        <v>14</v>
      </c>
      <c r="S29" s="705">
        <f t="shared" si="12"/>
        <v>100</v>
      </c>
      <c r="T29" s="704" t="s">
        <v>14</v>
      </c>
      <c r="U29" s="705">
        <f t="shared" si="13"/>
        <v>100</v>
      </c>
      <c r="V29" s="704" t="s">
        <v>14</v>
      </c>
      <c r="W29" s="705">
        <f t="shared" si="14"/>
        <v>100</v>
      </c>
      <c r="X29" s="1354"/>
      <c r="Y29" s="3791"/>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98"/>
      <c r="Q30" s="1351">
        <f t="shared" si="11"/>
        <v>111</v>
      </c>
      <c r="R30" s="704" t="s">
        <v>14</v>
      </c>
      <c r="S30" s="705">
        <f t="shared" si="12"/>
        <v>100</v>
      </c>
      <c r="T30" s="704" t="s">
        <v>14</v>
      </c>
      <c r="U30" s="705">
        <f t="shared" si="13"/>
        <v>100</v>
      </c>
      <c r="V30" s="704" t="s">
        <v>14</v>
      </c>
      <c r="W30" s="705">
        <f t="shared" si="14"/>
        <v>100</v>
      </c>
      <c r="X30" s="1354"/>
      <c r="Y30" s="3791"/>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98"/>
      <c r="Q31" s="1351">
        <f t="shared" si="11"/>
        <v>111</v>
      </c>
      <c r="R31" s="704" t="s">
        <v>14</v>
      </c>
      <c r="S31" s="705">
        <f t="shared" si="12"/>
        <v>100</v>
      </c>
      <c r="T31" s="704" t="s">
        <v>14</v>
      </c>
      <c r="U31" s="705">
        <f t="shared" si="13"/>
        <v>100</v>
      </c>
      <c r="V31" s="704" t="s">
        <v>14</v>
      </c>
      <c r="W31" s="705">
        <f t="shared" si="14"/>
        <v>100</v>
      </c>
      <c r="X31" s="1354"/>
      <c r="Y31" s="3791"/>
      <c r="Z31" s="1355">
        <f t="shared" si="15"/>
        <v>111</v>
      </c>
      <c r="AA31" s="1352">
        <f t="shared" si="3"/>
        <v>1</v>
      </c>
      <c r="AB31" s="1352">
        <f t="shared" si="4"/>
        <v>1</v>
      </c>
      <c r="AC31" s="1352">
        <f t="shared" si="5"/>
        <v>1</v>
      </c>
    </row>
    <row r="32" spans="1:29" ht="15">
      <c r="A32" s="390" t="s">
        <v>1693</v>
      </c>
      <c r="B32" s="62"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92" t="s">
        <v>1695</v>
      </c>
      <c r="Q32" s="1351" t="str">
        <f t="shared" si="11"/>
        <v>商业类型</v>
      </c>
      <c r="R32" s="704" t="s">
        <v>14</v>
      </c>
      <c r="S32" s="705">
        <f t="shared" si="12"/>
        <v>100</v>
      </c>
      <c r="T32" s="704" t="s">
        <v>14</v>
      </c>
      <c r="U32" s="705">
        <f t="shared" si="13"/>
        <v>100</v>
      </c>
      <c r="V32" s="704" t="s">
        <v>14</v>
      </c>
      <c r="W32" s="705">
        <f t="shared" si="14"/>
        <v>100</v>
      </c>
      <c r="X32" s="1354"/>
      <c r="Y32" s="3795"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93"/>
      <c r="Q33" s="706" t="str">
        <f t="shared" si="11"/>
        <v>项目建筑规模</v>
      </c>
      <c r="R33" s="707" t="s">
        <v>14</v>
      </c>
      <c r="S33" s="708" t="e">
        <f t="shared" si="12"/>
        <v>#N/A</v>
      </c>
      <c r="T33" s="707" t="s">
        <v>14</v>
      </c>
      <c r="U33" s="708" t="e">
        <f t="shared" si="13"/>
        <v>#N/A</v>
      </c>
      <c r="V33" s="707" t="s">
        <v>14</v>
      </c>
      <c r="W33" s="708" t="e">
        <f t="shared" si="14"/>
        <v>#N/A</v>
      </c>
      <c r="X33" s="709"/>
      <c r="Y33" s="3795"/>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93"/>
      <c r="Q34" s="1351" t="str">
        <f t="shared" si="11"/>
        <v>建筑结构</v>
      </c>
      <c r="R34" s="704" t="s">
        <v>14</v>
      </c>
      <c r="S34" s="705">
        <f t="shared" si="12"/>
        <v>100</v>
      </c>
      <c r="T34" s="704" t="s">
        <v>14</v>
      </c>
      <c r="U34" s="705">
        <f t="shared" si="13"/>
        <v>100</v>
      </c>
      <c r="V34" s="704" t="s">
        <v>14</v>
      </c>
      <c r="W34" s="705">
        <f t="shared" si="14"/>
        <v>100</v>
      </c>
      <c r="X34" s="1354"/>
      <c r="Y34" s="3795"/>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93"/>
      <c r="Q35" s="1351" t="str">
        <f t="shared" si="11"/>
        <v>公共部分装修</v>
      </c>
      <c r="R35" s="704" t="s">
        <v>14</v>
      </c>
      <c r="S35" s="705">
        <f t="shared" si="12"/>
        <v>100</v>
      </c>
      <c r="T35" s="704" t="s">
        <v>14</v>
      </c>
      <c r="U35" s="705">
        <f t="shared" si="13"/>
        <v>100</v>
      </c>
      <c r="V35" s="704" t="s">
        <v>14</v>
      </c>
      <c r="W35" s="705">
        <f t="shared" si="14"/>
        <v>100</v>
      </c>
      <c r="X35" s="1354"/>
      <c r="Y35" s="3795"/>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93"/>
      <c r="Q36" s="1351" t="str">
        <f t="shared" si="11"/>
        <v>成新度</v>
      </c>
      <c r="R36" s="704" t="s">
        <v>14</v>
      </c>
      <c r="S36" s="705" t="e">
        <f t="shared" si="12"/>
        <v>#N/A</v>
      </c>
      <c r="T36" s="704" t="s">
        <v>14</v>
      </c>
      <c r="U36" s="705" t="e">
        <f t="shared" si="13"/>
        <v>#N/A</v>
      </c>
      <c r="V36" s="704" t="s">
        <v>14</v>
      </c>
      <c r="W36" s="705" t="e">
        <f t="shared" si="14"/>
        <v>#N/A</v>
      </c>
      <c r="X36" s="1354"/>
      <c r="Y36" s="3795"/>
      <c r="Z36" s="1355" t="str">
        <f t="shared" si="15"/>
        <v>成新度</v>
      </c>
      <c r="AA36" s="1352" t="e">
        <f t="shared" si="3"/>
        <v>#N/A</v>
      </c>
      <c r="AB36" s="1352" t="e">
        <f t="shared" si="4"/>
        <v>#N/A</v>
      </c>
      <c r="AC36" s="1352" t="e">
        <f t="shared" si="5"/>
        <v>#N/A</v>
      </c>
    </row>
    <row r="37" spans="1:29" s="107"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93"/>
      <c r="Q37" s="1342" t="str">
        <f t="shared" si="11"/>
        <v>市政基础设施</v>
      </c>
      <c r="R37" s="700" t="s">
        <v>14</v>
      </c>
      <c r="S37" s="701">
        <f t="shared" si="12"/>
        <v>100</v>
      </c>
      <c r="T37" s="700" t="s">
        <v>14</v>
      </c>
      <c r="U37" s="701">
        <f t="shared" si="13"/>
        <v>100</v>
      </c>
      <c r="V37" s="700" t="s">
        <v>14</v>
      </c>
      <c r="W37" s="701">
        <f t="shared" si="14"/>
        <v>100</v>
      </c>
      <c r="X37" s="702"/>
      <c r="Y37" s="3795"/>
      <c r="Z37" s="51"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93" t="s">
        <v>1695</v>
      </c>
      <c r="Q38" s="1351" t="str">
        <f t="shared" si="11"/>
        <v>业态</v>
      </c>
      <c r="R38" s="704" t="s">
        <v>14</v>
      </c>
      <c r="S38" s="705">
        <f t="shared" si="12"/>
        <v>100</v>
      </c>
      <c r="T38" s="704" t="s">
        <v>14</v>
      </c>
      <c r="U38" s="705">
        <f t="shared" si="13"/>
        <v>100</v>
      </c>
      <c r="V38" s="704" t="s">
        <v>14</v>
      </c>
      <c r="W38" s="705">
        <f t="shared" si="14"/>
        <v>100</v>
      </c>
      <c r="X38" s="1354"/>
      <c r="Y38" s="3795"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93"/>
      <c r="Q39" s="1351" t="str">
        <f t="shared" si="11"/>
        <v>层高</v>
      </c>
      <c r="R39" s="704" t="s">
        <v>14</v>
      </c>
      <c r="S39" s="705">
        <f t="shared" si="12"/>
        <v>100</v>
      </c>
      <c r="T39" s="704" t="s">
        <v>14</v>
      </c>
      <c r="U39" s="705">
        <f t="shared" si="13"/>
        <v>100</v>
      </c>
      <c r="V39" s="704" t="s">
        <v>14</v>
      </c>
      <c r="W39" s="705">
        <f t="shared" si="14"/>
        <v>100</v>
      </c>
      <c r="X39" s="1354"/>
      <c r="Y39" s="3795"/>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93"/>
      <c r="Q40" s="1351" t="str">
        <f t="shared" si="11"/>
        <v>单套建筑面积</v>
      </c>
      <c r="R40" s="704" t="s">
        <v>14</v>
      </c>
      <c r="S40" s="705">
        <f t="shared" si="12"/>
        <v>100</v>
      </c>
      <c r="T40" s="704" t="s">
        <v>14</v>
      </c>
      <c r="U40" s="705">
        <f t="shared" si="13"/>
        <v>100</v>
      </c>
      <c r="V40" s="704" t="s">
        <v>14</v>
      </c>
      <c r="W40" s="705">
        <f t="shared" si="14"/>
        <v>100</v>
      </c>
      <c r="X40" s="1354"/>
      <c r="Y40" s="3795"/>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93"/>
      <c r="Q41" s="706" t="str">
        <f t="shared" si="11"/>
        <v>进深比</v>
      </c>
      <c r="R41" s="707" t="s">
        <v>14</v>
      </c>
      <c r="S41" s="708">
        <f t="shared" si="12"/>
        <v>100</v>
      </c>
      <c r="T41" s="707" t="s">
        <v>14</v>
      </c>
      <c r="U41" s="708">
        <f t="shared" si="13"/>
        <v>100</v>
      </c>
      <c r="V41" s="707" t="s">
        <v>14</v>
      </c>
      <c r="W41" s="708">
        <f t="shared" si="14"/>
        <v>100</v>
      </c>
      <c r="X41" s="709"/>
      <c r="Y41" s="3795"/>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93"/>
      <c r="Q42" s="1351" t="str">
        <f t="shared" si="11"/>
        <v>内部装修</v>
      </c>
      <c r="R42" s="704" t="s">
        <v>14</v>
      </c>
      <c r="S42" s="705">
        <f t="shared" si="12"/>
        <v>100</v>
      </c>
      <c r="T42" s="704" t="s">
        <v>14</v>
      </c>
      <c r="U42" s="705">
        <f t="shared" si="13"/>
        <v>100</v>
      </c>
      <c r="V42" s="704" t="s">
        <v>14</v>
      </c>
      <c r="W42" s="705">
        <f t="shared" si="14"/>
        <v>100</v>
      </c>
      <c r="X42" s="1354"/>
      <c r="Y42" s="3795"/>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93"/>
      <c r="Q43" s="1351" t="str">
        <f t="shared" si="11"/>
        <v>内部装修维护情况</v>
      </c>
      <c r="R43" s="704" t="s">
        <v>14</v>
      </c>
      <c r="S43" s="705">
        <f t="shared" si="12"/>
        <v>100</v>
      </c>
      <c r="T43" s="704" t="s">
        <v>14</v>
      </c>
      <c r="U43" s="705">
        <f t="shared" si="13"/>
        <v>100</v>
      </c>
      <c r="V43" s="704" t="s">
        <v>14</v>
      </c>
      <c r="W43" s="705">
        <f t="shared" si="14"/>
        <v>100</v>
      </c>
      <c r="X43" s="1354"/>
      <c r="Y43" s="3795"/>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93"/>
      <c r="Q44" s="1342">
        <f t="shared" si="11"/>
        <v>111</v>
      </c>
      <c r="R44" s="700" t="s">
        <v>14</v>
      </c>
      <c r="S44" s="701">
        <f t="shared" si="12"/>
        <v>100</v>
      </c>
      <c r="T44" s="700" t="s">
        <v>14</v>
      </c>
      <c r="U44" s="701">
        <f t="shared" si="13"/>
        <v>100</v>
      </c>
      <c r="V44" s="700" t="s">
        <v>14</v>
      </c>
      <c r="W44" s="701">
        <f t="shared" si="14"/>
        <v>100</v>
      </c>
      <c r="X44" s="702"/>
      <c r="Y44" s="3795"/>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93"/>
      <c r="Q45" s="1351">
        <f t="shared" si="11"/>
        <v>111</v>
      </c>
      <c r="R45" s="704" t="s">
        <v>14</v>
      </c>
      <c r="S45" s="705">
        <f t="shared" si="12"/>
        <v>100</v>
      </c>
      <c r="T45" s="704" t="s">
        <v>14</v>
      </c>
      <c r="U45" s="705">
        <f t="shared" si="13"/>
        <v>100</v>
      </c>
      <c r="V45" s="704" t="s">
        <v>14</v>
      </c>
      <c r="W45" s="705">
        <f t="shared" si="14"/>
        <v>100</v>
      </c>
      <c r="X45" s="1354"/>
      <c r="Y45" s="3795"/>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94"/>
      <c r="Q46" s="1351">
        <f t="shared" si="11"/>
        <v>111</v>
      </c>
      <c r="R46" s="704" t="s">
        <v>14</v>
      </c>
      <c r="S46" s="705">
        <f t="shared" si="12"/>
        <v>100</v>
      </c>
      <c r="T46" s="704" t="s">
        <v>14</v>
      </c>
      <c r="U46" s="705">
        <f t="shared" si="13"/>
        <v>100</v>
      </c>
      <c r="V46" s="704" t="s">
        <v>14</v>
      </c>
      <c r="W46" s="705">
        <f t="shared" si="14"/>
        <v>100</v>
      </c>
      <c r="X46" s="1354"/>
      <c r="Y46" s="3796"/>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3"/>
      <c r="M47" s="2724"/>
      <c r="N47" s="2715"/>
      <c r="O47" s="2724"/>
      <c r="P47" s="3788" t="str">
        <f>A47</f>
        <v>成交单价（元/平方米）</v>
      </c>
      <c r="Q47" s="3788"/>
      <c r="R47" s="3783">
        <f>E47</f>
        <v>0</v>
      </c>
      <c r="S47" s="3783"/>
      <c r="T47" s="3783">
        <f>G47</f>
        <v>0</v>
      </c>
      <c r="U47" s="3783"/>
      <c r="V47" s="3783">
        <f>I47</f>
        <v>0</v>
      </c>
      <c r="W47" s="3783"/>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88" t="str">
        <f>A48</f>
        <v>比较价值（元/平方米）</v>
      </c>
      <c r="Q48" s="3788"/>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3"/>
      <c r="M49" s="2724"/>
      <c r="N49" s="2715"/>
      <c r="O49" s="2724"/>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1678</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1715</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1680</v>
      </c>
      <c r="B61" s="458"/>
      <c r="C61" s="470" t="s">
        <v>1775</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1718</v>
      </c>
      <c r="B63" s="476" t="s">
        <v>1684</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1687</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1689</v>
      </c>
      <c r="B76" s="476" t="s">
        <v>1719</v>
      </c>
      <c r="C76" s="521" t="s">
        <v>1720</v>
      </c>
      <c r="D76" s="521" t="s">
        <v>1721</v>
      </c>
      <c r="E76" s="521" t="s">
        <v>1722</v>
      </c>
      <c r="F76" s="521" t="s">
        <v>1723</v>
      </c>
      <c r="G76" s="521" t="s">
        <v>1724</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1725</v>
      </c>
      <c r="C78" s="526" t="s">
        <v>1720</v>
      </c>
      <c r="D78" s="526" t="s">
        <v>1721</v>
      </c>
      <c r="E78" s="526" t="s">
        <v>1722</v>
      </c>
      <c r="F78" s="526" t="s">
        <v>1723</v>
      </c>
      <c r="G78" s="526" t="s">
        <v>1724</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1726</v>
      </c>
      <c r="C80" s="526" t="s">
        <v>1720</v>
      </c>
      <c r="D80" s="526" t="s">
        <v>1721</v>
      </c>
      <c r="E80" s="526" t="s">
        <v>1722</v>
      </c>
      <c r="F80" s="526" t="s">
        <v>1723</v>
      </c>
      <c r="G80" s="526" t="s">
        <v>1724</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1778</v>
      </c>
      <c r="C82" s="607" t="s">
        <v>1798</v>
      </c>
      <c r="D82" s="607" t="s">
        <v>1799</v>
      </c>
      <c r="E82" s="607" t="s">
        <v>1800</v>
      </c>
      <c r="F82" s="607" t="s">
        <v>1801</v>
      </c>
      <c r="G82" s="607" t="s">
        <v>1802</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1732</v>
      </c>
      <c r="C84" s="526" t="s">
        <v>1720</v>
      </c>
      <c r="D84" s="526" t="s">
        <v>1721</v>
      </c>
      <c r="E84" s="526" t="s">
        <v>1722</v>
      </c>
      <c r="F84" s="526" t="s">
        <v>1723</v>
      </c>
      <c r="G84" s="526" t="s">
        <v>1724</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1803</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1693</v>
      </c>
      <c r="B100" s="476" t="s">
        <v>1804</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1737</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1739</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1741</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1805</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1806</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1807</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1808</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1743</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33133.130000000005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805" t="s">
        <v>1774</v>
      </c>
      <c r="Q4" s="3806"/>
      <c r="R4" s="3800" t="s">
        <v>1770</v>
      </c>
      <c r="S4" s="3801"/>
      <c r="T4" s="3800" t="s">
        <v>1771</v>
      </c>
      <c r="U4" s="3801"/>
      <c r="V4" s="3809" t="s">
        <v>1772</v>
      </c>
      <c r="W4" s="3809"/>
      <c r="X4" s="1957"/>
      <c r="Y4" s="3800" t="s">
        <v>1774</v>
      </c>
      <c r="Z4" s="3801"/>
      <c r="AA4" s="3799" t="s">
        <v>1770</v>
      </c>
      <c r="AB4" s="3799" t="s">
        <v>1771</v>
      </c>
      <c r="AC4" s="3802" t="s">
        <v>1772</v>
      </c>
    </row>
    <row r="5" spans="1:29" ht="15">
      <c r="A5" s="357"/>
      <c r="B5" s="358"/>
      <c r="C5" s="3764" t="s">
        <v>1672</v>
      </c>
      <c r="D5" s="3765"/>
      <c r="E5" s="3762" t="s">
        <v>1673</v>
      </c>
      <c r="F5" s="3763"/>
      <c r="G5" s="3764" t="s">
        <v>1674</v>
      </c>
      <c r="H5" s="3765"/>
      <c r="I5" s="3764" t="s">
        <v>1675</v>
      </c>
      <c r="J5" s="3765"/>
      <c r="K5" s="558"/>
      <c r="L5" s="2714"/>
      <c r="M5" s="2715"/>
      <c r="N5" s="2715"/>
      <c r="O5" s="2715"/>
      <c r="P5" s="3807"/>
      <c r="Q5" s="3778"/>
      <c r="R5" s="3760"/>
      <c r="S5" s="3761"/>
      <c r="T5" s="3760"/>
      <c r="U5" s="3761"/>
      <c r="V5" s="3783"/>
      <c r="W5" s="3783"/>
      <c r="X5" s="1354"/>
      <c r="Y5" s="3760"/>
      <c r="Z5" s="3761"/>
      <c r="AA5" s="3754"/>
      <c r="AB5" s="3754"/>
      <c r="AC5" s="3803"/>
    </row>
    <row r="6" spans="1:29" ht="15.75" thickBot="1">
      <c r="A6" s="359"/>
      <c r="B6" s="360"/>
      <c r="C6" s="3766" t="s">
        <v>1676</v>
      </c>
      <c r="D6" s="3767"/>
      <c r="E6" s="3768" t="s">
        <v>1676</v>
      </c>
      <c r="F6" s="3769"/>
      <c r="G6" s="3766" t="s">
        <v>1676</v>
      </c>
      <c r="H6" s="3767"/>
      <c r="I6" s="3766" t="s">
        <v>1676</v>
      </c>
      <c r="J6" s="3767"/>
      <c r="K6" s="558" t="s">
        <v>1677</v>
      </c>
      <c r="L6" s="2714"/>
      <c r="M6" s="2715"/>
      <c r="N6" s="2715"/>
      <c r="O6" s="2715"/>
      <c r="P6" s="3808"/>
      <c r="Q6" s="3780"/>
      <c r="R6" s="3760"/>
      <c r="S6" s="3761"/>
      <c r="T6" s="3781"/>
      <c r="U6" s="3782"/>
      <c r="V6" s="3783"/>
      <c r="W6" s="3783"/>
      <c r="X6" s="1354"/>
      <c r="Y6" s="3781"/>
      <c r="Z6" s="3782"/>
      <c r="AA6" s="3755"/>
      <c r="AB6" s="3755"/>
      <c r="AC6" s="3804"/>
    </row>
    <row r="7" spans="1:29" s="107" customFormat="1" ht="15.75" thickBot="1">
      <c r="A7" s="361" t="s">
        <v>1678</v>
      </c>
      <c r="B7" s="362"/>
      <c r="C7" s="363">
        <f>'数据-取费表'!B2</f>
        <v>45120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810" t="s">
        <v>1679</v>
      </c>
      <c r="Q7" s="3784"/>
      <c r="R7" s="700" t="s">
        <v>14</v>
      </c>
      <c r="S7" s="701">
        <f t="shared" ref="S7:S15" si="0">F7</f>
        <v>0</v>
      </c>
      <c r="T7" s="700" t="s">
        <v>14</v>
      </c>
      <c r="U7" s="701">
        <f t="shared" ref="U7:U15" si="1">H7</f>
        <v>0</v>
      </c>
      <c r="V7" s="700" t="s">
        <v>14</v>
      </c>
      <c r="W7" s="701">
        <f t="shared" ref="W7:W15" si="2">J7</f>
        <v>0</v>
      </c>
      <c r="X7" s="702"/>
      <c r="Y7" s="3756" t="s">
        <v>1679</v>
      </c>
      <c r="Z7" s="3757"/>
      <c r="AA7" s="703" t="e">
        <f>D7/F7</f>
        <v>#DIV/0!</v>
      </c>
      <c r="AB7" s="703" t="e">
        <f>D7/H7</f>
        <v>#DIV/0!</v>
      </c>
      <c r="AC7" s="1958" t="e">
        <f>D7/J7</f>
        <v>#DIV/0!</v>
      </c>
    </row>
    <row r="8" spans="1:29" s="107"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810" t="s">
        <v>1682</v>
      </c>
      <c r="Q8" s="3757"/>
      <c r="R8" s="700" t="s">
        <v>14</v>
      </c>
      <c r="S8" s="701">
        <f t="shared" si="0"/>
        <v>100</v>
      </c>
      <c r="T8" s="700" t="s">
        <v>14</v>
      </c>
      <c r="U8" s="701">
        <f t="shared" si="1"/>
        <v>100</v>
      </c>
      <c r="V8" s="700" t="s">
        <v>14</v>
      </c>
      <c r="W8" s="701">
        <f t="shared" si="2"/>
        <v>100</v>
      </c>
      <c r="X8" s="702"/>
      <c r="Y8" s="3756" t="s">
        <v>1682</v>
      </c>
      <c r="Z8" s="3757"/>
      <c r="AA8" s="703">
        <f t="shared" ref="AA8:AA47" si="3">D8/F8</f>
        <v>1</v>
      </c>
      <c r="AB8" s="703">
        <f t="shared" ref="AB8:AB47" si="4">D8/H8</f>
        <v>1</v>
      </c>
      <c r="AC8" s="1958">
        <f t="shared" ref="AC8:AC47" si="5">D8/J8</f>
        <v>1</v>
      </c>
    </row>
    <row r="9" spans="1:29" s="107" customFormat="1">
      <c r="A9" s="368" t="s">
        <v>1683</v>
      </c>
      <c r="B9" s="62" t="s">
        <v>1684</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70"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1958">
        <f t="shared" si="5"/>
        <v>1</v>
      </c>
    </row>
    <row r="10" spans="1:29" s="377" customFormat="1" ht="27">
      <c r="A10" s="373"/>
      <c r="B10" s="374" t="s">
        <v>1687</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70"/>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70"/>
      <c r="Q11" s="1342" t="str">
        <f t="shared" si="6"/>
        <v>容积率</v>
      </c>
      <c r="R11" s="700" t="s">
        <v>14</v>
      </c>
      <c r="S11" s="701">
        <f t="shared" si="0"/>
        <v>100</v>
      </c>
      <c r="T11" s="700" t="s">
        <v>14</v>
      </c>
      <c r="U11" s="701">
        <f t="shared" si="1"/>
        <v>100</v>
      </c>
      <c r="V11" s="700" t="s">
        <v>14</v>
      </c>
      <c r="W11" s="701">
        <f t="shared" si="2"/>
        <v>100</v>
      </c>
      <c r="X11" s="702"/>
      <c r="Y11" s="3700"/>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70"/>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70"/>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70"/>
      <c r="Q14" s="1342">
        <f t="shared" si="6"/>
        <v>111</v>
      </c>
      <c r="R14" s="700" t="s">
        <v>14</v>
      </c>
      <c r="S14" s="701">
        <f t="shared" si="0"/>
        <v>100</v>
      </c>
      <c r="T14" s="700" t="s">
        <v>14</v>
      </c>
      <c r="U14" s="701">
        <f t="shared" si="1"/>
        <v>100</v>
      </c>
      <c r="V14" s="700" t="s">
        <v>14</v>
      </c>
      <c r="W14" s="701">
        <f t="shared" si="2"/>
        <v>100</v>
      </c>
      <c r="X14" s="702"/>
      <c r="Y14" s="3700"/>
      <c r="Z14" s="51">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97" t="s">
        <v>1690</v>
      </c>
      <c r="Q15" s="1351" t="str">
        <f t="shared" si="6"/>
        <v>办公集聚程度</v>
      </c>
      <c r="R15" s="704" t="s">
        <v>14</v>
      </c>
      <c r="S15" s="705">
        <f t="shared" si="0"/>
        <v>100</v>
      </c>
      <c r="T15" s="704" t="s">
        <v>14</v>
      </c>
      <c r="U15" s="705">
        <f t="shared" si="1"/>
        <v>100</v>
      </c>
      <c r="V15" s="704" t="s">
        <v>14</v>
      </c>
      <c r="W15" s="705">
        <f t="shared" si="2"/>
        <v>100</v>
      </c>
      <c r="X15" s="1354"/>
      <c r="Y15" s="3790"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98"/>
      <c r="Q16" s="1351"/>
      <c r="R16" s="704"/>
      <c r="S16" s="705"/>
      <c r="T16" s="704"/>
      <c r="U16" s="705"/>
      <c r="V16" s="704"/>
      <c r="W16" s="705"/>
      <c r="X16" s="1354"/>
      <c r="Y16" s="3791"/>
      <c r="Z16" s="1355"/>
      <c r="AA16" s="1352">
        <v>1</v>
      </c>
      <c r="AB16" s="1352">
        <v>1</v>
      </c>
      <c r="AC16" s="1961">
        <v>1</v>
      </c>
    </row>
    <row r="17" spans="1:29" ht="71.25">
      <c r="A17" s="378"/>
      <c r="B17" s="578" t="s">
        <v>1258</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98"/>
      <c r="Q17" s="1351" t="str">
        <f>B17</f>
        <v>交通便捷度</v>
      </c>
      <c r="R17" s="704" t="s">
        <v>14</v>
      </c>
      <c r="S17" s="705">
        <f>F17</f>
        <v>100</v>
      </c>
      <c r="T17" s="704" t="s">
        <v>14</v>
      </c>
      <c r="U17" s="705">
        <f>H17</f>
        <v>100</v>
      </c>
      <c r="V17" s="704" t="s">
        <v>14</v>
      </c>
      <c r="W17" s="705">
        <f>J17</f>
        <v>100</v>
      </c>
      <c r="X17" s="1354"/>
      <c r="Y17" s="3791"/>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98"/>
      <c r="Q18" s="1351"/>
      <c r="R18" s="704"/>
      <c r="S18" s="705"/>
      <c r="T18" s="704"/>
      <c r="U18" s="705"/>
      <c r="V18" s="704"/>
      <c r="W18" s="705"/>
      <c r="X18" s="1354"/>
      <c r="Y18" s="3791"/>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98"/>
      <c r="Q19" s="1351" t="str">
        <f>B19</f>
        <v>公共配套设施</v>
      </c>
      <c r="R19" s="704" t="s">
        <v>14</v>
      </c>
      <c r="S19" s="705">
        <f>F19</f>
        <v>100</v>
      </c>
      <c r="T19" s="704" t="s">
        <v>14</v>
      </c>
      <c r="U19" s="705">
        <f>H19</f>
        <v>100</v>
      </c>
      <c r="V19" s="704" t="s">
        <v>14</v>
      </c>
      <c r="W19" s="705">
        <f>J19</f>
        <v>100</v>
      </c>
      <c r="X19" s="1354"/>
      <c r="Y19" s="3791"/>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98"/>
      <c r="Q20" s="1351"/>
      <c r="R20" s="704"/>
      <c r="S20" s="705"/>
      <c r="T20" s="704"/>
      <c r="U20" s="705"/>
      <c r="V20" s="704"/>
      <c r="W20" s="705"/>
      <c r="X20" s="1354"/>
      <c r="Y20" s="3791"/>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98"/>
      <c r="Q21" s="1351" t="str">
        <f>B21</f>
        <v>基础设施水平</v>
      </c>
      <c r="R21" s="704" t="s">
        <v>14</v>
      </c>
      <c r="S21" s="705">
        <f>F21</f>
        <v>100</v>
      </c>
      <c r="T21" s="704" t="s">
        <v>14</v>
      </c>
      <c r="U21" s="705">
        <f>H21</f>
        <v>100</v>
      </c>
      <c r="V21" s="704" t="s">
        <v>14</v>
      </c>
      <c r="W21" s="705">
        <f>J21</f>
        <v>100</v>
      </c>
      <c r="X21" s="1354"/>
      <c r="Y21" s="3791"/>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98"/>
      <c r="Q22" s="1351"/>
      <c r="R22" s="704"/>
      <c r="S22" s="705"/>
      <c r="T22" s="704"/>
      <c r="U22" s="705"/>
      <c r="V22" s="704"/>
      <c r="W22" s="705"/>
      <c r="X22" s="1354"/>
      <c r="Y22" s="3791"/>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98"/>
      <c r="Q23" s="1351" t="str">
        <f>B23</f>
        <v>环境质量</v>
      </c>
      <c r="R23" s="704" t="s">
        <v>14</v>
      </c>
      <c r="S23" s="705">
        <f>F23</f>
        <v>100</v>
      </c>
      <c r="T23" s="704" t="s">
        <v>14</v>
      </c>
      <c r="U23" s="705">
        <f>H23</f>
        <v>100</v>
      </c>
      <c r="V23" s="704" t="s">
        <v>14</v>
      </c>
      <c r="W23" s="705">
        <f>J23</f>
        <v>100</v>
      </c>
      <c r="X23" s="1354"/>
      <c r="Y23" s="3791"/>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98"/>
      <c r="Q24" s="1351"/>
      <c r="R24" s="704"/>
      <c r="S24" s="705"/>
      <c r="T24" s="704"/>
      <c r="U24" s="705"/>
      <c r="V24" s="704"/>
      <c r="W24" s="705"/>
      <c r="X24" s="1354"/>
      <c r="Y24" s="3791"/>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98"/>
      <c r="Q25" s="1351" t="str">
        <f>B25</f>
        <v>毗邻道路的类型与等级</v>
      </c>
      <c r="R25" s="704" t="s">
        <v>14</v>
      </c>
      <c r="S25" s="705">
        <f>F25</f>
        <v>100</v>
      </c>
      <c r="T25" s="704" t="s">
        <v>14</v>
      </c>
      <c r="U25" s="705">
        <f>H25</f>
        <v>100</v>
      </c>
      <c r="V25" s="704" t="s">
        <v>14</v>
      </c>
      <c r="W25" s="705">
        <f>J25</f>
        <v>100</v>
      </c>
      <c r="X25" s="1354"/>
      <c r="Y25" s="3791"/>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98"/>
      <c r="Q26" s="1351"/>
      <c r="R26" s="704"/>
      <c r="S26" s="705"/>
      <c r="T26" s="704"/>
      <c r="U26" s="705"/>
      <c r="V26" s="704"/>
      <c r="W26" s="705"/>
      <c r="X26" s="1354"/>
      <c r="Y26" s="3791"/>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98"/>
      <c r="Q27" s="1351" t="str">
        <f t="shared" ref="Q27:Q47" si="11">B27</f>
        <v>楼层</v>
      </c>
      <c r="R27" s="704" t="s">
        <v>14</v>
      </c>
      <c r="S27" s="705">
        <f>F27</f>
        <v>100</v>
      </c>
      <c r="T27" s="704" t="s">
        <v>14</v>
      </c>
      <c r="U27" s="705">
        <f>H27</f>
        <v>100</v>
      </c>
      <c r="V27" s="704" t="s">
        <v>14</v>
      </c>
      <c r="W27" s="705">
        <f>J27</f>
        <v>100</v>
      </c>
      <c r="X27" s="1354"/>
      <c r="Y27" s="3791"/>
      <c r="Z27" s="1355" t="str">
        <f>Q27</f>
        <v>楼层</v>
      </c>
      <c r="AA27" s="1352">
        <f t="shared" si="3"/>
        <v>1</v>
      </c>
      <c r="AB27" s="1352">
        <f t="shared" si="4"/>
        <v>1</v>
      </c>
      <c r="AC27" s="1961">
        <f t="shared" si="5"/>
        <v>1</v>
      </c>
    </row>
    <row r="28" spans="1:29" s="107"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98"/>
      <c r="Q28" s="1342" t="str">
        <f t="shared" si="11"/>
        <v>朝向</v>
      </c>
      <c r="R28" s="700" t="s">
        <v>14</v>
      </c>
      <c r="S28" s="701">
        <f>F28</f>
        <v>100</v>
      </c>
      <c r="T28" s="700" t="s">
        <v>14</v>
      </c>
      <c r="U28" s="701">
        <f>H28</f>
        <v>100</v>
      </c>
      <c r="V28" s="700" t="s">
        <v>14</v>
      </c>
      <c r="W28" s="701">
        <f>J28</f>
        <v>100</v>
      </c>
      <c r="X28" s="702"/>
      <c r="Y28" s="3791"/>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98"/>
      <c r="Q29" s="1351">
        <f t="shared" si="11"/>
        <v>111</v>
      </c>
      <c r="R29" s="704" t="s">
        <v>14</v>
      </c>
      <c r="S29" s="705">
        <f t="shared" ref="S29:S47" si="12">F29</f>
        <v>100</v>
      </c>
      <c r="T29" s="704" t="s">
        <v>14</v>
      </c>
      <c r="U29" s="705">
        <f t="shared" ref="U29:U47" si="13">H29</f>
        <v>100</v>
      </c>
      <c r="V29" s="704" t="s">
        <v>14</v>
      </c>
      <c r="W29" s="705">
        <f t="shared" ref="W29:W47" si="14">J29</f>
        <v>100</v>
      </c>
      <c r="X29" s="1354"/>
      <c r="Y29" s="3791"/>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98"/>
      <c r="Q30" s="1351">
        <f t="shared" si="11"/>
        <v>111</v>
      </c>
      <c r="R30" s="704" t="s">
        <v>14</v>
      </c>
      <c r="S30" s="705">
        <f t="shared" si="12"/>
        <v>100</v>
      </c>
      <c r="T30" s="704" t="s">
        <v>14</v>
      </c>
      <c r="U30" s="705">
        <f t="shared" si="13"/>
        <v>100</v>
      </c>
      <c r="V30" s="704" t="s">
        <v>14</v>
      </c>
      <c r="W30" s="705">
        <f t="shared" si="14"/>
        <v>100</v>
      </c>
      <c r="X30" s="1354"/>
      <c r="Y30" s="3791"/>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98"/>
      <c r="Q31" s="1351">
        <f t="shared" si="11"/>
        <v>111</v>
      </c>
      <c r="R31" s="704" t="s">
        <v>14</v>
      </c>
      <c r="S31" s="705">
        <f t="shared" si="12"/>
        <v>100</v>
      </c>
      <c r="T31" s="704" t="s">
        <v>14</v>
      </c>
      <c r="U31" s="705">
        <f t="shared" si="13"/>
        <v>100</v>
      </c>
      <c r="V31" s="704" t="s">
        <v>14</v>
      </c>
      <c r="W31" s="705">
        <f t="shared" si="14"/>
        <v>100</v>
      </c>
      <c r="X31" s="1354"/>
      <c r="Y31" s="3791"/>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98"/>
      <c r="Q32" s="1351">
        <f t="shared" si="11"/>
        <v>111</v>
      </c>
      <c r="R32" s="704" t="s">
        <v>14</v>
      </c>
      <c r="S32" s="705">
        <f t="shared" si="12"/>
        <v>100</v>
      </c>
      <c r="T32" s="704" t="s">
        <v>14</v>
      </c>
      <c r="U32" s="705">
        <f t="shared" si="13"/>
        <v>100</v>
      </c>
      <c r="V32" s="704" t="s">
        <v>14</v>
      </c>
      <c r="W32" s="705">
        <f t="shared" si="14"/>
        <v>100</v>
      </c>
      <c r="X32" s="1354"/>
      <c r="Y32" s="3791"/>
      <c r="Z32" s="1355">
        <f t="shared" si="15"/>
        <v>111</v>
      </c>
      <c r="AA32" s="1352">
        <f t="shared" si="3"/>
        <v>1</v>
      </c>
      <c r="AB32" s="1352">
        <f t="shared" si="4"/>
        <v>1</v>
      </c>
      <c r="AC32" s="1961">
        <f t="shared" si="5"/>
        <v>1</v>
      </c>
    </row>
    <row r="33" spans="1:29" ht="15">
      <c r="A33" s="390" t="s">
        <v>1693</v>
      </c>
      <c r="B33" s="62"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92" t="s">
        <v>1695</v>
      </c>
      <c r="Q33" s="1351" t="str">
        <f t="shared" si="11"/>
        <v>建筑类型</v>
      </c>
      <c r="R33" s="704" t="s">
        <v>14</v>
      </c>
      <c r="S33" s="705">
        <f t="shared" si="12"/>
        <v>100</v>
      </c>
      <c r="T33" s="704" t="s">
        <v>14</v>
      </c>
      <c r="U33" s="705">
        <f t="shared" si="13"/>
        <v>100</v>
      </c>
      <c r="V33" s="704" t="s">
        <v>14</v>
      </c>
      <c r="W33" s="705">
        <f t="shared" si="14"/>
        <v>100</v>
      </c>
      <c r="X33" s="1354"/>
      <c r="Y33" s="3795"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93"/>
      <c r="Q34" s="706" t="str">
        <f t="shared" si="11"/>
        <v>项目建筑规模</v>
      </c>
      <c r="R34" s="707" t="s">
        <v>14</v>
      </c>
      <c r="S34" s="708" t="e">
        <f t="shared" si="12"/>
        <v>#N/A</v>
      </c>
      <c r="T34" s="707" t="s">
        <v>14</v>
      </c>
      <c r="U34" s="708" t="e">
        <f t="shared" si="13"/>
        <v>#N/A</v>
      </c>
      <c r="V34" s="707" t="s">
        <v>14</v>
      </c>
      <c r="W34" s="708" t="e">
        <f t="shared" si="14"/>
        <v>#N/A</v>
      </c>
      <c r="X34" s="709"/>
      <c r="Y34" s="3795"/>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93"/>
      <c r="Q35" s="1351" t="str">
        <f t="shared" si="11"/>
        <v>建筑结构</v>
      </c>
      <c r="R35" s="704" t="s">
        <v>14</v>
      </c>
      <c r="S35" s="705">
        <f t="shared" si="12"/>
        <v>100</v>
      </c>
      <c r="T35" s="704" t="s">
        <v>14</v>
      </c>
      <c r="U35" s="705">
        <f t="shared" si="13"/>
        <v>100</v>
      </c>
      <c r="V35" s="704" t="s">
        <v>14</v>
      </c>
      <c r="W35" s="705">
        <f t="shared" si="14"/>
        <v>100</v>
      </c>
      <c r="X35" s="1354"/>
      <c r="Y35" s="3795"/>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93"/>
      <c r="Q36" s="1351" t="str">
        <f t="shared" si="11"/>
        <v>公共部分装修</v>
      </c>
      <c r="R36" s="704" t="s">
        <v>14</v>
      </c>
      <c r="S36" s="705">
        <f t="shared" si="12"/>
        <v>100</v>
      </c>
      <c r="T36" s="704" t="s">
        <v>14</v>
      </c>
      <c r="U36" s="705">
        <f t="shared" si="13"/>
        <v>100</v>
      </c>
      <c r="V36" s="704" t="s">
        <v>14</v>
      </c>
      <c r="W36" s="705">
        <f t="shared" si="14"/>
        <v>100</v>
      </c>
      <c r="X36" s="1354"/>
      <c r="Y36" s="3795"/>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93"/>
      <c r="Q37" s="1351" t="str">
        <f t="shared" si="11"/>
        <v>成新度</v>
      </c>
      <c r="R37" s="704" t="s">
        <v>14</v>
      </c>
      <c r="S37" s="705" t="e">
        <f t="shared" si="12"/>
        <v>#N/A</v>
      </c>
      <c r="T37" s="704" t="s">
        <v>14</v>
      </c>
      <c r="U37" s="705" t="e">
        <f t="shared" si="13"/>
        <v>#N/A</v>
      </c>
      <c r="V37" s="704" t="s">
        <v>14</v>
      </c>
      <c r="W37" s="705" t="e">
        <f t="shared" si="14"/>
        <v>#N/A</v>
      </c>
      <c r="X37" s="1354"/>
      <c r="Y37" s="3795"/>
      <c r="Z37" s="1355" t="str">
        <f t="shared" si="15"/>
        <v>成新度</v>
      </c>
      <c r="AA37" s="1352" t="e">
        <f t="shared" si="3"/>
        <v>#N/A</v>
      </c>
      <c r="AB37" s="1352" t="e">
        <f t="shared" si="4"/>
        <v>#N/A</v>
      </c>
      <c r="AC37" s="1961" t="e">
        <f t="shared" si="5"/>
        <v>#N/A</v>
      </c>
    </row>
    <row r="38" spans="1:29" s="107"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93"/>
      <c r="Q38" s="1342" t="str">
        <f t="shared" si="11"/>
        <v>写字楼等级</v>
      </c>
      <c r="R38" s="700" t="s">
        <v>14</v>
      </c>
      <c r="S38" s="701">
        <f t="shared" si="12"/>
        <v>100</v>
      </c>
      <c r="T38" s="700" t="s">
        <v>14</v>
      </c>
      <c r="U38" s="701">
        <f t="shared" si="13"/>
        <v>100</v>
      </c>
      <c r="V38" s="700" t="s">
        <v>14</v>
      </c>
      <c r="W38" s="701">
        <f t="shared" si="14"/>
        <v>100</v>
      </c>
      <c r="X38" s="702"/>
      <c r="Y38" s="3795"/>
      <c r="Z38" s="51"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93" t="s">
        <v>1695</v>
      </c>
      <c r="Q39" s="1351" t="str">
        <f t="shared" si="11"/>
        <v>物业管理</v>
      </c>
      <c r="R39" s="704" t="s">
        <v>14</v>
      </c>
      <c r="S39" s="705">
        <f t="shared" si="12"/>
        <v>100</v>
      </c>
      <c r="T39" s="704" t="s">
        <v>14</v>
      </c>
      <c r="U39" s="705">
        <f t="shared" si="13"/>
        <v>100</v>
      </c>
      <c r="V39" s="704" t="s">
        <v>14</v>
      </c>
      <c r="W39" s="705">
        <f t="shared" si="14"/>
        <v>100</v>
      </c>
      <c r="X39" s="1354"/>
      <c r="Y39" s="3795"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93"/>
      <c r="Q40" s="1351" t="str">
        <f t="shared" si="11"/>
        <v>市政基础设施</v>
      </c>
      <c r="R40" s="704" t="s">
        <v>14</v>
      </c>
      <c r="S40" s="705">
        <f t="shared" si="12"/>
        <v>100</v>
      </c>
      <c r="T40" s="704" t="s">
        <v>14</v>
      </c>
      <c r="U40" s="705">
        <f t="shared" si="13"/>
        <v>100</v>
      </c>
      <c r="V40" s="704" t="s">
        <v>14</v>
      </c>
      <c r="W40" s="705">
        <f t="shared" si="14"/>
        <v>100</v>
      </c>
      <c r="X40" s="1354"/>
      <c r="Y40" s="3795"/>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93"/>
      <c r="Q41" s="1351" t="str">
        <f t="shared" si="11"/>
        <v>层高</v>
      </c>
      <c r="R41" s="704" t="s">
        <v>14</v>
      </c>
      <c r="S41" s="705">
        <f t="shared" si="12"/>
        <v>100</v>
      </c>
      <c r="T41" s="704" t="s">
        <v>14</v>
      </c>
      <c r="U41" s="705">
        <f t="shared" si="13"/>
        <v>100</v>
      </c>
      <c r="V41" s="704" t="s">
        <v>14</v>
      </c>
      <c r="W41" s="705">
        <f t="shared" si="14"/>
        <v>100</v>
      </c>
      <c r="X41" s="1354"/>
      <c r="Y41" s="3795"/>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93"/>
      <c r="Q42" s="706" t="str">
        <f t="shared" si="11"/>
        <v>单套建筑面积</v>
      </c>
      <c r="R42" s="707" t="s">
        <v>14</v>
      </c>
      <c r="S42" s="708">
        <f t="shared" si="12"/>
        <v>100</v>
      </c>
      <c r="T42" s="707" t="s">
        <v>14</v>
      </c>
      <c r="U42" s="708">
        <f t="shared" si="13"/>
        <v>100</v>
      </c>
      <c r="V42" s="707" t="s">
        <v>14</v>
      </c>
      <c r="W42" s="708">
        <f t="shared" si="14"/>
        <v>100</v>
      </c>
      <c r="X42" s="709"/>
      <c r="Y42" s="3795"/>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93"/>
      <c r="Q43" s="1351" t="str">
        <f t="shared" si="11"/>
        <v>内部装修</v>
      </c>
      <c r="R43" s="704" t="s">
        <v>14</v>
      </c>
      <c r="S43" s="705">
        <f t="shared" si="12"/>
        <v>100</v>
      </c>
      <c r="T43" s="704" t="s">
        <v>14</v>
      </c>
      <c r="U43" s="705">
        <f t="shared" si="13"/>
        <v>100</v>
      </c>
      <c r="V43" s="704" t="s">
        <v>14</v>
      </c>
      <c r="W43" s="705">
        <f t="shared" si="14"/>
        <v>100</v>
      </c>
      <c r="X43" s="1354"/>
      <c r="Y43" s="3795"/>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93"/>
      <c r="Q44" s="1351" t="str">
        <f t="shared" si="11"/>
        <v>内部装修维护情况</v>
      </c>
      <c r="R44" s="704" t="s">
        <v>14</v>
      </c>
      <c r="S44" s="705">
        <f t="shared" si="12"/>
        <v>100</v>
      </c>
      <c r="T44" s="704" t="s">
        <v>14</v>
      </c>
      <c r="U44" s="705">
        <f t="shared" si="13"/>
        <v>100</v>
      </c>
      <c r="V44" s="704" t="s">
        <v>14</v>
      </c>
      <c r="W44" s="705">
        <f t="shared" si="14"/>
        <v>100</v>
      </c>
      <c r="X44" s="1354"/>
      <c r="Y44" s="3795"/>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93"/>
      <c r="Q45" s="1342">
        <f t="shared" si="11"/>
        <v>111</v>
      </c>
      <c r="R45" s="700" t="s">
        <v>14</v>
      </c>
      <c r="S45" s="701">
        <f t="shared" si="12"/>
        <v>100</v>
      </c>
      <c r="T45" s="700" t="s">
        <v>14</v>
      </c>
      <c r="U45" s="701">
        <f t="shared" si="13"/>
        <v>100</v>
      </c>
      <c r="V45" s="700" t="s">
        <v>14</v>
      </c>
      <c r="W45" s="701">
        <f t="shared" si="14"/>
        <v>100</v>
      </c>
      <c r="X45" s="702"/>
      <c r="Y45" s="3795"/>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93"/>
      <c r="Q46" s="1351">
        <f t="shared" si="11"/>
        <v>111</v>
      </c>
      <c r="R46" s="704" t="s">
        <v>14</v>
      </c>
      <c r="S46" s="705">
        <f t="shared" si="12"/>
        <v>100</v>
      </c>
      <c r="T46" s="704" t="s">
        <v>14</v>
      </c>
      <c r="U46" s="705">
        <f t="shared" si="13"/>
        <v>100</v>
      </c>
      <c r="V46" s="704" t="s">
        <v>14</v>
      </c>
      <c r="W46" s="705">
        <f t="shared" si="14"/>
        <v>100</v>
      </c>
      <c r="X46" s="1354"/>
      <c r="Y46" s="3795"/>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94"/>
      <c r="Q47" s="1351">
        <f t="shared" si="11"/>
        <v>111</v>
      </c>
      <c r="R47" s="704" t="s">
        <v>14</v>
      </c>
      <c r="S47" s="705">
        <f t="shared" si="12"/>
        <v>100</v>
      </c>
      <c r="T47" s="704" t="s">
        <v>14</v>
      </c>
      <c r="U47" s="705">
        <f t="shared" si="13"/>
        <v>100</v>
      </c>
      <c r="V47" s="704" t="s">
        <v>14</v>
      </c>
      <c r="W47" s="705">
        <f t="shared" si="14"/>
        <v>100</v>
      </c>
      <c r="X47" s="1354"/>
      <c r="Y47" s="3796"/>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3"/>
      <c r="M48" s="2715"/>
      <c r="N48" s="2715"/>
      <c r="O48" s="2715"/>
      <c r="P48" s="3770" t="str">
        <f>A48</f>
        <v>成交单价（元/平方米）</v>
      </c>
      <c r="Q48" s="3788"/>
      <c r="R48" s="3789">
        <f>E48</f>
        <v>0</v>
      </c>
      <c r="S48" s="3789"/>
      <c r="T48" s="3789">
        <f>G48</f>
        <v>0</v>
      </c>
      <c r="U48" s="3789"/>
      <c r="V48" s="3789">
        <f>I48</f>
        <v>0</v>
      </c>
      <c r="W48" s="3789"/>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770" t="str">
        <f>A49</f>
        <v>比较价值（元/平方米）</v>
      </c>
      <c r="Q49" s="3788"/>
      <c r="R49" s="3789" t="e">
        <f>IF(F1="售价",ROUND(PRODUCT(R48,AA7:AA47),0),ROUND(PRODUCT(R48,AA7:AA47),1))</f>
        <v>#DIV/0!</v>
      </c>
      <c r="S49" s="3789"/>
      <c r="T49" s="3789" t="e">
        <f>IF(F1="售价",ROUND(PRODUCT(T48,AB7:AB47),0),ROUND(PRODUCT(T48,AB7:AB47),1))</f>
        <v>#DIV/0!</v>
      </c>
      <c r="U49" s="3789"/>
      <c r="V49" s="3789" t="e">
        <f>IF(F1="售价",ROUND(PRODUCT(V48,AC7:AC47),0),ROUND(PRODUCT(V48,AC7:AC47),1))</f>
        <v>#DIV/0!</v>
      </c>
      <c r="W49" s="3789"/>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3"/>
      <c r="M50" s="2715"/>
      <c r="N50" s="2715"/>
      <c r="O50" s="2715"/>
      <c r="P50" s="3811" t="str">
        <f>A50</f>
        <v>估价对象XX用房的比较价值（楼面单价，元/平方米）</v>
      </c>
      <c r="Q50" s="3812"/>
      <c r="R50" s="3813" t="e">
        <f>IF(F1="售价",ROUND(IF(D49="简单平均",AVERAGE(R49:V49),R49*F49+T49*H49+V49*J49),0),ROUND(IF(D49="简单平均",AVERAGE(R49:V49),R49*F49+T49*H49+V49*J49),1))</f>
        <v>#DIV/0!</v>
      </c>
      <c r="S50" s="3813"/>
      <c r="T50" s="3813"/>
      <c r="U50" s="3813"/>
      <c r="V50" s="3813"/>
      <c r="W50" s="381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1678</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1715</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1680</v>
      </c>
      <c r="B62" s="458"/>
      <c r="C62" s="470" t="s">
        <v>1775</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1718</v>
      </c>
      <c r="B64" s="476" t="s">
        <v>1684</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1687</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1689</v>
      </c>
      <c r="B77" s="476" t="s">
        <v>1820</v>
      </c>
      <c r="C77" s="521" t="s">
        <v>1720</v>
      </c>
      <c r="D77" s="521" t="s">
        <v>1721</v>
      </c>
      <c r="E77" s="521" t="s">
        <v>1722</v>
      </c>
      <c r="F77" s="521" t="s">
        <v>1723</v>
      </c>
      <c r="G77" s="521" t="s">
        <v>1724</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1725</v>
      </c>
      <c r="C79" s="526" t="s">
        <v>1720</v>
      </c>
      <c r="D79" s="526" t="s">
        <v>1721</v>
      </c>
      <c r="E79" s="526" t="s">
        <v>1722</v>
      </c>
      <c r="F79" s="526" t="s">
        <v>1723</v>
      </c>
      <c r="G79" s="526" t="s">
        <v>1724</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1726</v>
      </c>
      <c r="C81" s="526" t="s">
        <v>1720</v>
      </c>
      <c r="D81" s="526" t="s">
        <v>1721</v>
      </c>
      <c r="E81" s="526" t="s">
        <v>1722</v>
      </c>
      <c r="F81" s="526" t="s">
        <v>1723</v>
      </c>
      <c r="G81" s="526" t="s">
        <v>1724</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1812</v>
      </c>
      <c r="C83" s="607" t="s">
        <v>1798</v>
      </c>
      <c r="D83" s="607" t="s">
        <v>1799</v>
      </c>
      <c r="E83" s="607" t="s">
        <v>1800</v>
      </c>
      <c r="F83" s="607" t="s">
        <v>1801</v>
      </c>
      <c r="G83" s="607" t="s">
        <v>1802</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1821</v>
      </c>
      <c r="C85" s="526" t="s">
        <v>1720</v>
      </c>
      <c r="D85" s="526" t="s">
        <v>1721</v>
      </c>
      <c r="E85" s="526" t="s">
        <v>1722</v>
      </c>
      <c r="F85" s="526" t="s">
        <v>1723</v>
      </c>
      <c r="G85" s="526" t="s">
        <v>1724</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1822</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1693</v>
      </c>
      <c r="B101" s="476" t="s">
        <v>1735</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1737</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1739</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1823</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1740</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1741</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1824</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1807</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1743</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33133.130000000005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912"/>
      <c r="M4" s="913"/>
      <c r="N4" s="913"/>
      <c r="O4" s="913"/>
      <c r="P4" s="3775" t="s">
        <v>1774</v>
      </c>
      <c r="Q4" s="3776"/>
      <c r="R4" s="3758" t="s">
        <v>1770</v>
      </c>
      <c r="S4" s="3759"/>
      <c r="T4" s="3758" t="s">
        <v>1771</v>
      </c>
      <c r="U4" s="3759"/>
      <c r="V4" s="3783" t="s">
        <v>1772</v>
      </c>
      <c r="W4" s="3783"/>
      <c r="X4" s="1354"/>
      <c r="Y4" s="3758" t="s">
        <v>1774</v>
      </c>
      <c r="Z4" s="3759"/>
      <c r="AA4" s="3753" t="s">
        <v>1770</v>
      </c>
      <c r="AB4" s="3754" t="s">
        <v>1771</v>
      </c>
      <c r="AC4" s="3753" t="s">
        <v>1772</v>
      </c>
    </row>
    <row r="5" spans="1:29" ht="15">
      <c r="A5" s="357"/>
      <c r="B5" s="358"/>
      <c r="C5" s="3764" t="s">
        <v>1672</v>
      </c>
      <c r="D5" s="3765"/>
      <c r="E5" s="3762" t="s">
        <v>1673</v>
      </c>
      <c r="F5" s="3763"/>
      <c r="G5" s="3764" t="s">
        <v>1674</v>
      </c>
      <c r="H5" s="3765"/>
      <c r="I5" s="3764" t="s">
        <v>1675</v>
      </c>
      <c r="J5" s="3765"/>
      <c r="K5" s="558"/>
      <c r="L5" s="912"/>
      <c r="M5" s="913"/>
      <c r="N5" s="913"/>
      <c r="O5" s="913"/>
      <c r="P5" s="3777"/>
      <c r="Q5" s="3778"/>
      <c r="R5" s="3760"/>
      <c r="S5" s="3761"/>
      <c r="T5" s="3760"/>
      <c r="U5" s="3761"/>
      <c r="V5" s="3783"/>
      <c r="W5" s="3783"/>
      <c r="X5" s="1354"/>
      <c r="Y5" s="3760"/>
      <c r="Z5" s="3761"/>
      <c r="AA5" s="3754"/>
      <c r="AB5" s="3754"/>
      <c r="AC5" s="3754"/>
    </row>
    <row r="6" spans="1:29" ht="15.75" thickBot="1">
      <c r="A6" s="359"/>
      <c r="B6" s="360"/>
      <c r="C6" s="3766" t="s">
        <v>1676</v>
      </c>
      <c r="D6" s="3767"/>
      <c r="E6" s="3768" t="s">
        <v>1676</v>
      </c>
      <c r="F6" s="3769"/>
      <c r="G6" s="3766" t="s">
        <v>1676</v>
      </c>
      <c r="H6" s="3767"/>
      <c r="I6" s="3766" t="s">
        <v>1676</v>
      </c>
      <c r="J6" s="3767"/>
      <c r="K6" s="558" t="s">
        <v>1677</v>
      </c>
      <c r="L6" s="912"/>
      <c r="M6" s="913"/>
      <c r="N6" s="913"/>
      <c r="O6" s="913"/>
      <c r="P6" s="3779"/>
      <c r="Q6" s="3780"/>
      <c r="R6" s="3760"/>
      <c r="S6" s="3761"/>
      <c r="T6" s="3781"/>
      <c r="U6" s="3782"/>
      <c r="V6" s="3783"/>
      <c r="W6" s="3783"/>
      <c r="X6" s="1354"/>
      <c r="Y6" s="3781"/>
      <c r="Z6" s="3782"/>
      <c r="AA6" s="3755"/>
      <c r="AB6" s="3755"/>
      <c r="AC6" s="3755"/>
    </row>
    <row r="7" spans="1:29" s="107" customFormat="1" ht="15.75" thickBot="1">
      <c r="A7" s="361" t="s">
        <v>1678</v>
      </c>
      <c r="B7" s="362"/>
      <c r="C7" s="363">
        <f>'数据-取费表'!B2</f>
        <v>45120</v>
      </c>
      <c r="D7" s="364">
        <v>100</v>
      </c>
      <c r="E7" s="365"/>
      <c r="F7" s="366">
        <f>SUMIF(52:52,YEAR(E7)&amp;"-"&amp;MONTH(E7),53:53)</f>
        <v>0</v>
      </c>
      <c r="G7" s="365"/>
      <c r="H7" s="364">
        <f>SUMIF(52:52,YEAR(G7)&amp;"-"&amp;MONTH(G7),53:53)</f>
        <v>0</v>
      </c>
      <c r="I7" s="365"/>
      <c r="J7" s="364">
        <f>SUMIF(52:52,YEAR(I7)&amp;"-"&amp;MONTH(I7),53:53)</f>
        <v>0</v>
      </c>
      <c r="K7" s="559"/>
      <c r="L7" s="914"/>
      <c r="M7" s="915"/>
      <c r="N7" s="915"/>
      <c r="O7" s="915"/>
      <c r="P7" s="3756" t="s">
        <v>1679</v>
      </c>
      <c r="Q7" s="3784"/>
      <c r="R7" s="700" t="s">
        <v>14</v>
      </c>
      <c r="S7" s="701">
        <f t="shared" ref="S7:S15" si="0">F7</f>
        <v>0</v>
      </c>
      <c r="T7" s="700" t="s">
        <v>14</v>
      </c>
      <c r="U7" s="701">
        <f t="shared" ref="U7:U15" si="1">H7</f>
        <v>0</v>
      </c>
      <c r="V7" s="700" t="s">
        <v>14</v>
      </c>
      <c r="W7" s="701">
        <f t="shared" ref="W7:W15" si="2">J7</f>
        <v>0</v>
      </c>
      <c r="X7" s="702"/>
      <c r="Y7" s="3756" t="s">
        <v>1679</v>
      </c>
      <c r="Z7" s="3757"/>
      <c r="AA7" s="703" t="e">
        <f>D7/F7</f>
        <v>#DIV/0!</v>
      </c>
      <c r="AB7" s="703" t="e">
        <f>D7/H7</f>
        <v>#DIV/0!</v>
      </c>
      <c r="AC7" s="703" t="e">
        <f>D7/J7</f>
        <v>#DIV/0!</v>
      </c>
    </row>
    <row r="8" spans="1:29" s="107"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56" t="s">
        <v>1682</v>
      </c>
      <c r="Q8" s="3757"/>
      <c r="R8" s="700" t="s">
        <v>14</v>
      </c>
      <c r="S8" s="701">
        <f t="shared" si="0"/>
        <v>100</v>
      </c>
      <c r="T8" s="700" t="s">
        <v>14</v>
      </c>
      <c r="U8" s="701">
        <f t="shared" si="1"/>
        <v>100</v>
      </c>
      <c r="V8" s="700" t="s">
        <v>14</v>
      </c>
      <c r="W8" s="701">
        <f t="shared" si="2"/>
        <v>100</v>
      </c>
      <c r="X8" s="702"/>
      <c r="Y8" s="3756" t="s">
        <v>1682</v>
      </c>
      <c r="Z8" s="3757"/>
      <c r="AA8" s="703">
        <f t="shared" ref="AA8:AA40" si="3">D8/F8</f>
        <v>1</v>
      </c>
      <c r="AB8" s="703">
        <f t="shared" ref="AB8:AB40" si="4">D8/H8</f>
        <v>1</v>
      </c>
      <c r="AC8" s="703">
        <f t="shared" ref="AC8:AC40" si="5">D8/J8</f>
        <v>1</v>
      </c>
    </row>
    <row r="9" spans="1:29" s="107" customFormat="1">
      <c r="A9" s="368" t="s">
        <v>1683</v>
      </c>
      <c r="B9" s="62"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88"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88"/>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88"/>
      <c r="Q11" s="1342" t="str">
        <f t="shared" si="6"/>
        <v>容积率</v>
      </c>
      <c r="R11" s="700" t="s">
        <v>14</v>
      </c>
      <c r="S11" s="701">
        <f t="shared" si="0"/>
        <v>100</v>
      </c>
      <c r="T11" s="700" t="s">
        <v>14</v>
      </c>
      <c r="U11" s="701">
        <f t="shared" si="1"/>
        <v>100</v>
      </c>
      <c r="V11" s="700" t="s">
        <v>14</v>
      </c>
      <c r="W11" s="701">
        <f t="shared" si="2"/>
        <v>100</v>
      </c>
      <c r="X11" s="702"/>
      <c r="Y11" s="3700"/>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88"/>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88"/>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88"/>
      <c r="Q14" s="1342">
        <f t="shared" si="6"/>
        <v>111</v>
      </c>
      <c r="R14" s="700" t="s">
        <v>14</v>
      </c>
      <c r="S14" s="701">
        <f t="shared" si="0"/>
        <v>100</v>
      </c>
      <c r="T14" s="700" t="s">
        <v>14</v>
      </c>
      <c r="U14" s="701">
        <f t="shared" si="1"/>
        <v>100</v>
      </c>
      <c r="V14" s="700" t="s">
        <v>14</v>
      </c>
      <c r="W14" s="701">
        <f t="shared" si="2"/>
        <v>100</v>
      </c>
      <c r="X14" s="702"/>
      <c r="Y14" s="3700"/>
      <c r="Z14" s="51">
        <f t="shared" si="7"/>
        <v>111</v>
      </c>
      <c r="AA14" s="703">
        <f t="shared" si="3"/>
        <v>1</v>
      </c>
      <c r="AB14" s="703">
        <f t="shared" si="4"/>
        <v>1</v>
      </c>
      <c r="AC14" s="703">
        <f t="shared" si="5"/>
        <v>1</v>
      </c>
    </row>
    <row r="15" spans="1:29" ht="57">
      <c r="A15" s="390" t="s">
        <v>1689</v>
      </c>
      <c r="B15" s="60"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90" t="s">
        <v>1690</v>
      </c>
      <c r="Q15" s="1351" t="str">
        <f t="shared" si="6"/>
        <v>产业集聚程度</v>
      </c>
      <c r="R15" s="704" t="s">
        <v>14</v>
      </c>
      <c r="S15" s="705">
        <f t="shared" si="0"/>
        <v>100</v>
      </c>
      <c r="T15" s="704" t="s">
        <v>14</v>
      </c>
      <c r="U15" s="705">
        <f t="shared" si="1"/>
        <v>100</v>
      </c>
      <c r="V15" s="704" t="s">
        <v>14</v>
      </c>
      <c r="W15" s="705">
        <f t="shared" si="2"/>
        <v>100</v>
      </c>
      <c r="X15" s="1354"/>
      <c r="Y15" s="3790"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91"/>
      <c r="Q16" s="1351"/>
      <c r="R16" s="704"/>
      <c r="S16" s="705"/>
      <c r="T16" s="704"/>
      <c r="U16" s="705"/>
      <c r="V16" s="704"/>
      <c r="W16" s="705"/>
      <c r="X16" s="1354"/>
      <c r="Y16" s="3791"/>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91"/>
      <c r="Q17" s="1351" t="str">
        <f>B17</f>
        <v>交通便捷度</v>
      </c>
      <c r="R17" s="704" t="s">
        <v>14</v>
      </c>
      <c r="S17" s="705">
        <f>F17</f>
        <v>100</v>
      </c>
      <c r="T17" s="704" t="s">
        <v>14</v>
      </c>
      <c r="U17" s="705">
        <f>H17</f>
        <v>100</v>
      </c>
      <c r="V17" s="704" t="s">
        <v>14</v>
      </c>
      <c r="W17" s="705">
        <f>J17</f>
        <v>100</v>
      </c>
      <c r="X17" s="1354"/>
      <c r="Y17" s="379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91"/>
      <c r="Q18" s="1351"/>
      <c r="R18" s="704"/>
      <c r="S18" s="705"/>
      <c r="T18" s="704"/>
      <c r="U18" s="705"/>
      <c r="V18" s="704"/>
      <c r="W18" s="705"/>
      <c r="X18" s="1354"/>
      <c r="Y18" s="3791"/>
      <c r="Z18" s="1355"/>
      <c r="AA18" s="1352">
        <v>1</v>
      </c>
      <c r="AB18" s="1352">
        <v>1</v>
      </c>
      <c r="AC18" s="1352">
        <v>1</v>
      </c>
    </row>
    <row r="19" spans="1:29" ht="42.75">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91"/>
      <c r="Q19" s="1351" t="str">
        <f>B19</f>
        <v>公共配套设施</v>
      </c>
      <c r="R19" s="704" t="s">
        <v>14</v>
      </c>
      <c r="S19" s="705">
        <f>F19</f>
        <v>100</v>
      </c>
      <c r="T19" s="704" t="s">
        <v>14</v>
      </c>
      <c r="U19" s="705">
        <f>H19</f>
        <v>100</v>
      </c>
      <c r="V19" s="704" t="s">
        <v>14</v>
      </c>
      <c r="W19" s="705">
        <f>J19</f>
        <v>100</v>
      </c>
      <c r="X19" s="1354"/>
      <c r="Y19" s="379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91"/>
      <c r="Q20" s="1351"/>
      <c r="R20" s="704"/>
      <c r="S20" s="705"/>
      <c r="T20" s="704"/>
      <c r="U20" s="705"/>
      <c r="V20" s="704"/>
      <c r="W20" s="705"/>
      <c r="X20" s="1354"/>
      <c r="Y20" s="3791"/>
      <c r="Z20" s="1355"/>
      <c r="AA20" s="1352">
        <v>1</v>
      </c>
      <c r="AB20" s="1352">
        <v>1</v>
      </c>
      <c r="AC20" s="1352">
        <v>1</v>
      </c>
    </row>
    <row r="21" spans="1:29" ht="28.5">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91"/>
      <c r="Q21" s="1351" t="str">
        <f>B21</f>
        <v>基础设施水平</v>
      </c>
      <c r="R21" s="704" t="s">
        <v>14</v>
      </c>
      <c r="S21" s="705">
        <f>F21</f>
        <v>100</v>
      </c>
      <c r="T21" s="704" t="s">
        <v>14</v>
      </c>
      <c r="U21" s="705">
        <f>H21</f>
        <v>100</v>
      </c>
      <c r="V21" s="704" t="s">
        <v>14</v>
      </c>
      <c r="W21" s="705">
        <f>J21</f>
        <v>100</v>
      </c>
      <c r="X21" s="1354"/>
      <c r="Y21" s="379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91"/>
      <c r="Q22" s="1351"/>
      <c r="R22" s="704"/>
      <c r="S22" s="705"/>
      <c r="T22" s="704"/>
      <c r="U22" s="705"/>
      <c r="V22" s="704"/>
      <c r="W22" s="705"/>
      <c r="X22" s="1354"/>
      <c r="Y22" s="3791"/>
      <c r="Z22" s="1355"/>
      <c r="AA22" s="1352">
        <v>1</v>
      </c>
      <c r="AB22" s="1352">
        <v>1</v>
      </c>
      <c r="AC22" s="1352">
        <v>1</v>
      </c>
    </row>
    <row r="23" spans="1:29" ht="71.25">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91"/>
      <c r="Q23" s="1351" t="str">
        <f>B23</f>
        <v>环境质量</v>
      </c>
      <c r="R23" s="704" t="s">
        <v>14</v>
      </c>
      <c r="S23" s="705">
        <f>F23</f>
        <v>100</v>
      </c>
      <c r="T23" s="704" t="s">
        <v>14</v>
      </c>
      <c r="U23" s="705">
        <f>H23</f>
        <v>100</v>
      </c>
      <c r="V23" s="704" t="s">
        <v>14</v>
      </c>
      <c r="W23" s="705">
        <f>J23</f>
        <v>100</v>
      </c>
      <c r="X23" s="1354"/>
      <c r="Y23" s="3791"/>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91"/>
      <c r="Q24" s="1351"/>
      <c r="R24" s="704"/>
      <c r="S24" s="705"/>
      <c r="T24" s="704"/>
      <c r="U24" s="705"/>
      <c r="V24" s="704"/>
      <c r="W24" s="705"/>
      <c r="X24" s="1354"/>
      <c r="Y24" s="3791"/>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91"/>
      <c r="Q25" s="1351">
        <f>B25</f>
        <v>111</v>
      </c>
      <c r="R25" s="704" t="s">
        <v>14</v>
      </c>
      <c r="S25" s="705">
        <f>F25</f>
        <v>100</v>
      </c>
      <c r="T25" s="704" t="s">
        <v>14</v>
      </c>
      <c r="U25" s="705">
        <f>H25</f>
        <v>100</v>
      </c>
      <c r="V25" s="704" t="s">
        <v>14</v>
      </c>
      <c r="W25" s="705">
        <f>J25</f>
        <v>100</v>
      </c>
      <c r="X25" s="1354"/>
      <c r="Y25" s="3791"/>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91"/>
      <c r="Q26" s="1351">
        <f t="shared" ref="Q26:Q40" si="11">B26</f>
        <v>111</v>
      </c>
      <c r="R26" s="704" t="s">
        <v>14</v>
      </c>
      <c r="S26" s="705">
        <f>F26</f>
        <v>100</v>
      </c>
      <c r="T26" s="704" t="s">
        <v>14</v>
      </c>
      <c r="U26" s="705">
        <f>H26</f>
        <v>100</v>
      </c>
      <c r="V26" s="704" t="s">
        <v>14</v>
      </c>
      <c r="W26" s="705">
        <f>J26</f>
        <v>100</v>
      </c>
      <c r="X26" s="1354"/>
      <c r="Y26" s="3791"/>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91"/>
      <c r="Q27" s="1342">
        <f t="shared" si="11"/>
        <v>111</v>
      </c>
      <c r="R27" s="700" t="s">
        <v>14</v>
      </c>
      <c r="S27" s="701">
        <f>F27</f>
        <v>100</v>
      </c>
      <c r="T27" s="700" t="s">
        <v>14</v>
      </c>
      <c r="U27" s="701">
        <f>H27</f>
        <v>100</v>
      </c>
      <c r="V27" s="700" t="s">
        <v>14</v>
      </c>
      <c r="W27" s="701">
        <f>J27</f>
        <v>100</v>
      </c>
      <c r="X27" s="702"/>
      <c r="Y27" s="3791"/>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91"/>
      <c r="Q28" s="1351">
        <f t="shared" si="11"/>
        <v>111</v>
      </c>
      <c r="R28" s="704" t="s">
        <v>14</v>
      </c>
      <c r="S28" s="705">
        <f t="shared" ref="S28:S40" si="12">F28</f>
        <v>100</v>
      </c>
      <c r="T28" s="704" t="s">
        <v>14</v>
      </c>
      <c r="U28" s="705">
        <f t="shared" ref="U28:U40" si="13">H28</f>
        <v>100</v>
      </c>
      <c r="V28" s="704" t="s">
        <v>14</v>
      </c>
      <c r="W28" s="705">
        <f t="shared" ref="W28:W40" si="14">J28</f>
        <v>100</v>
      </c>
      <c r="X28" s="1354"/>
      <c r="Y28" s="3791"/>
      <c r="Z28" s="1355">
        <f t="shared" ref="Z28:Z40" si="15">Q28</f>
        <v>111</v>
      </c>
      <c r="AA28" s="1352">
        <f t="shared" si="3"/>
        <v>1</v>
      </c>
      <c r="AB28" s="1352">
        <f t="shared" si="4"/>
        <v>1</v>
      </c>
      <c r="AC28" s="1352">
        <f t="shared" si="5"/>
        <v>1</v>
      </c>
    </row>
    <row r="29" spans="1:29" ht="28.5">
      <c r="A29" s="416" t="s">
        <v>1693</v>
      </c>
      <c r="B29" s="62"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814" t="s">
        <v>1695</v>
      </c>
      <c r="Q29" s="1351" t="str">
        <f t="shared" si="11"/>
        <v>建筑类型</v>
      </c>
      <c r="R29" s="704" t="s">
        <v>14</v>
      </c>
      <c r="S29" s="705">
        <f t="shared" si="12"/>
        <v>100</v>
      </c>
      <c r="T29" s="704" t="s">
        <v>14</v>
      </c>
      <c r="U29" s="705">
        <f t="shared" si="13"/>
        <v>100</v>
      </c>
      <c r="V29" s="704" t="s">
        <v>14</v>
      </c>
      <c r="W29" s="705">
        <f t="shared" si="14"/>
        <v>100</v>
      </c>
      <c r="X29" s="1354"/>
      <c r="Y29" s="3795"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95"/>
      <c r="Q30" s="706" t="str">
        <f t="shared" si="11"/>
        <v>项目建筑规模</v>
      </c>
      <c r="R30" s="707" t="s">
        <v>14</v>
      </c>
      <c r="S30" s="708" t="e">
        <f t="shared" si="12"/>
        <v>#N/A</v>
      </c>
      <c r="T30" s="707" t="s">
        <v>14</v>
      </c>
      <c r="U30" s="708" t="e">
        <f t="shared" si="13"/>
        <v>#N/A</v>
      </c>
      <c r="V30" s="707" t="s">
        <v>14</v>
      </c>
      <c r="W30" s="708" t="e">
        <f t="shared" si="14"/>
        <v>#N/A</v>
      </c>
      <c r="X30" s="709"/>
      <c r="Y30" s="3795"/>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95"/>
      <c r="Q31" s="1351" t="str">
        <f t="shared" si="11"/>
        <v>建筑结构</v>
      </c>
      <c r="R31" s="704" t="s">
        <v>14</v>
      </c>
      <c r="S31" s="705">
        <f t="shared" si="12"/>
        <v>100</v>
      </c>
      <c r="T31" s="704" t="s">
        <v>14</v>
      </c>
      <c r="U31" s="705">
        <f t="shared" si="13"/>
        <v>100</v>
      </c>
      <c r="V31" s="704" t="s">
        <v>14</v>
      </c>
      <c r="W31" s="705">
        <f t="shared" si="14"/>
        <v>100</v>
      </c>
      <c r="X31" s="1354"/>
      <c r="Y31" s="3795"/>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95"/>
      <c r="Q32" s="1351" t="str">
        <f t="shared" si="11"/>
        <v>公共部分装修</v>
      </c>
      <c r="R32" s="704" t="s">
        <v>14</v>
      </c>
      <c r="S32" s="705">
        <f t="shared" si="12"/>
        <v>100</v>
      </c>
      <c r="T32" s="704" t="s">
        <v>14</v>
      </c>
      <c r="U32" s="705">
        <f t="shared" si="13"/>
        <v>100</v>
      </c>
      <c r="V32" s="704" t="s">
        <v>14</v>
      </c>
      <c r="W32" s="705">
        <f t="shared" si="14"/>
        <v>100</v>
      </c>
      <c r="X32" s="1354"/>
      <c r="Y32" s="3795"/>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95"/>
      <c r="Q33" s="1351" t="str">
        <f t="shared" si="11"/>
        <v>成新度</v>
      </c>
      <c r="R33" s="704" t="s">
        <v>14</v>
      </c>
      <c r="S33" s="705" t="e">
        <f t="shared" si="12"/>
        <v>#N/A</v>
      </c>
      <c r="T33" s="704" t="s">
        <v>14</v>
      </c>
      <c r="U33" s="705" t="e">
        <f t="shared" si="13"/>
        <v>#N/A</v>
      </c>
      <c r="V33" s="704" t="s">
        <v>14</v>
      </c>
      <c r="W33" s="705" t="e">
        <f t="shared" si="14"/>
        <v>#N/A</v>
      </c>
      <c r="X33" s="1354"/>
      <c r="Y33" s="3795"/>
      <c r="Z33" s="1355" t="str">
        <f t="shared" si="15"/>
        <v>成新度</v>
      </c>
      <c r="AA33" s="1352" t="e">
        <f t="shared" si="3"/>
        <v>#N/A</v>
      </c>
      <c r="AB33" s="1352" t="e">
        <f t="shared" si="4"/>
        <v>#N/A</v>
      </c>
      <c r="AC33" s="1352" t="e">
        <f t="shared" si="5"/>
        <v>#N/A</v>
      </c>
    </row>
    <row r="34" spans="1:29" s="107"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95"/>
      <c r="Q34" s="1342" t="str">
        <f t="shared" si="11"/>
        <v>物业管理</v>
      </c>
      <c r="R34" s="700" t="s">
        <v>14</v>
      </c>
      <c r="S34" s="701">
        <f t="shared" si="12"/>
        <v>100</v>
      </c>
      <c r="T34" s="700" t="s">
        <v>14</v>
      </c>
      <c r="U34" s="701">
        <f t="shared" si="13"/>
        <v>100</v>
      </c>
      <c r="V34" s="700" t="s">
        <v>14</v>
      </c>
      <c r="W34" s="701">
        <f t="shared" si="14"/>
        <v>100</v>
      </c>
      <c r="X34" s="702"/>
      <c r="Y34" s="3795"/>
      <c r="Z34" s="51"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95" t="s">
        <v>1695</v>
      </c>
      <c r="Q35" s="1351" t="str">
        <f t="shared" si="11"/>
        <v>市政基础设施</v>
      </c>
      <c r="R35" s="704" t="s">
        <v>14</v>
      </c>
      <c r="S35" s="705">
        <f t="shared" si="12"/>
        <v>100</v>
      </c>
      <c r="T35" s="704" t="s">
        <v>14</v>
      </c>
      <c r="U35" s="705">
        <f t="shared" si="13"/>
        <v>100</v>
      </c>
      <c r="V35" s="704" t="s">
        <v>14</v>
      </c>
      <c r="W35" s="705">
        <f t="shared" si="14"/>
        <v>100</v>
      </c>
      <c r="X35" s="1354"/>
      <c r="Y35" s="3795"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95"/>
      <c r="Q36" s="1351" t="str">
        <f t="shared" si="11"/>
        <v>内部装修</v>
      </c>
      <c r="R36" s="704" t="s">
        <v>14</v>
      </c>
      <c r="S36" s="705">
        <f t="shared" si="12"/>
        <v>100</v>
      </c>
      <c r="T36" s="704" t="s">
        <v>14</v>
      </c>
      <c r="U36" s="705">
        <f t="shared" si="13"/>
        <v>100</v>
      </c>
      <c r="V36" s="704" t="s">
        <v>14</v>
      </c>
      <c r="W36" s="705">
        <f t="shared" si="14"/>
        <v>100</v>
      </c>
      <c r="X36" s="1354"/>
      <c r="Y36" s="3795"/>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95"/>
      <c r="Q37" s="1351" t="str">
        <f t="shared" si="11"/>
        <v>内部装修状况</v>
      </c>
      <c r="R37" s="704" t="s">
        <v>14</v>
      </c>
      <c r="S37" s="705">
        <f t="shared" si="12"/>
        <v>100</v>
      </c>
      <c r="T37" s="704" t="s">
        <v>14</v>
      </c>
      <c r="U37" s="705">
        <f t="shared" si="13"/>
        <v>100</v>
      </c>
      <c r="V37" s="704" t="s">
        <v>14</v>
      </c>
      <c r="W37" s="705">
        <f t="shared" si="14"/>
        <v>100</v>
      </c>
      <c r="X37" s="1354"/>
      <c r="Y37" s="3795"/>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95"/>
      <c r="Q38" s="706">
        <f t="shared" si="11"/>
        <v>111</v>
      </c>
      <c r="R38" s="707" t="s">
        <v>14</v>
      </c>
      <c r="S38" s="708">
        <f t="shared" si="12"/>
        <v>100</v>
      </c>
      <c r="T38" s="707" t="s">
        <v>14</v>
      </c>
      <c r="U38" s="708">
        <f t="shared" si="13"/>
        <v>100</v>
      </c>
      <c r="V38" s="707" t="s">
        <v>14</v>
      </c>
      <c r="W38" s="708">
        <f t="shared" si="14"/>
        <v>100</v>
      </c>
      <c r="X38" s="709"/>
      <c r="Y38" s="3795"/>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95"/>
      <c r="Q39" s="1351">
        <f t="shared" si="11"/>
        <v>111</v>
      </c>
      <c r="R39" s="704" t="s">
        <v>14</v>
      </c>
      <c r="S39" s="705">
        <f t="shared" si="12"/>
        <v>100</v>
      </c>
      <c r="T39" s="704" t="s">
        <v>14</v>
      </c>
      <c r="U39" s="705">
        <f t="shared" si="13"/>
        <v>100</v>
      </c>
      <c r="V39" s="704" t="s">
        <v>14</v>
      </c>
      <c r="W39" s="705">
        <f t="shared" si="14"/>
        <v>100</v>
      </c>
      <c r="X39" s="1354"/>
      <c r="Y39" s="3795"/>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96"/>
      <c r="Q40" s="1351">
        <f t="shared" si="11"/>
        <v>111</v>
      </c>
      <c r="R40" s="704" t="s">
        <v>14</v>
      </c>
      <c r="S40" s="705">
        <f t="shared" si="12"/>
        <v>100</v>
      </c>
      <c r="T40" s="704" t="s">
        <v>14</v>
      </c>
      <c r="U40" s="705">
        <f t="shared" si="13"/>
        <v>100</v>
      </c>
      <c r="V40" s="704" t="s">
        <v>14</v>
      </c>
      <c r="W40" s="705">
        <f t="shared" si="14"/>
        <v>100</v>
      </c>
      <c r="X40" s="1354"/>
      <c r="Y40" s="3796"/>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788" t="str">
        <f>A41</f>
        <v>成交单价（元/平方米）</v>
      </c>
      <c r="Q41" s="3788"/>
      <c r="R41" s="3789">
        <f>E41</f>
        <v>0</v>
      </c>
      <c r="S41" s="3789"/>
      <c r="T41" s="3789">
        <f>G41</f>
        <v>0</v>
      </c>
      <c r="U41" s="3789"/>
      <c r="V41" s="3789">
        <f>I41</f>
        <v>0</v>
      </c>
      <c r="W41" s="3789"/>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88" t="str">
        <f>A42</f>
        <v>比较价值（元/平方米）</v>
      </c>
      <c r="Q42" s="3788"/>
      <c r="R42" s="3789" t="e">
        <f>IF(F1="售价",ROUND(PRODUCT(R41,AA7:AA40),0),ROUND(PRODUCT(R41,AA7:AA40),1))</f>
        <v>#DIV/0!</v>
      </c>
      <c r="S42" s="3789"/>
      <c r="T42" s="3789" t="e">
        <f>IF(F1="售价",ROUND(PRODUCT(T41,AB7:AB40),0),ROUND(PRODUCT(T41,AB7:AB40),1))</f>
        <v>#DIV/0!</v>
      </c>
      <c r="U42" s="3789"/>
      <c r="V42" s="3789" t="e">
        <f>IF(F1="售价",ROUND(PRODUCT(V41,AC7:AC40),0),ROUND(PRODUCT(V41,AC7:AC40),1))</f>
        <v>#DIV/0!</v>
      </c>
      <c r="W42" s="3789"/>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1715</v>
      </c>
      <c r="B54" s="464"/>
      <c r="C54" s="465"/>
      <c r="D54" s="466"/>
      <c r="E54" s="466"/>
      <c r="F54" s="466"/>
      <c r="G54" s="466"/>
      <c r="H54" s="466"/>
      <c r="I54" s="466"/>
      <c r="J54" s="466"/>
      <c r="K54" s="466"/>
      <c r="L54" s="466"/>
      <c r="M54" s="467"/>
      <c r="N54" s="2769"/>
      <c r="O54" s="2770"/>
      <c r="P54" s="452"/>
      <c r="Q54" s="452"/>
    </row>
    <row r="55" spans="1:17" s="107" customFormat="1" ht="15">
      <c r="A55" s="469" t="s">
        <v>1680</v>
      </c>
      <c r="B55" s="458"/>
      <c r="C55" s="470" t="s">
        <v>1775</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1687</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1693</v>
      </c>
      <c r="B88" s="476" t="s">
        <v>1735</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1739</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1743</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3331</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58" t="s">
        <v>1770</v>
      </c>
      <c r="S4" s="3759"/>
      <c r="T4" s="3758" t="s">
        <v>1771</v>
      </c>
      <c r="U4" s="3759"/>
      <c r="V4" s="3783" t="s">
        <v>1772</v>
      </c>
      <c r="W4" s="3783"/>
      <c r="X4" s="1354"/>
      <c r="Y4" s="3758" t="s">
        <v>1774</v>
      </c>
      <c r="Z4" s="3759"/>
      <c r="AA4" s="3753" t="s">
        <v>1770</v>
      </c>
      <c r="AB4" s="3754" t="s">
        <v>1771</v>
      </c>
      <c r="AC4" s="3753" t="s">
        <v>1772</v>
      </c>
    </row>
    <row r="5" spans="1:29" ht="15">
      <c r="A5" s="357"/>
      <c r="B5" s="358"/>
      <c r="C5" s="3764" t="s">
        <v>1672</v>
      </c>
      <c r="D5" s="3765"/>
      <c r="E5" s="3762" t="s">
        <v>1673</v>
      </c>
      <c r="F5" s="3763"/>
      <c r="G5" s="3764" t="s">
        <v>1674</v>
      </c>
      <c r="H5" s="3765"/>
      <c r="I5" s="3764" t="s">
        <v>1675</v>
      </c>
      <c r="J5" s="3765"/>
      <c r="K5" s="558"/>
      <c r="L5" s="2714"/>
      <c r="M5" s="2715"/>
      <c r="N5" s="2715"/>
      <c r="O5" s="2715"/>
      <c r="P5" s="3777"/>
      <c r="Q5" s="3778"/>
      <c r="R5" s="3760"/>
      <c r="S5" s="3761"/>
      <c r="T5" s="3760"/>
      <c r="U5" s="3761"/>
      <c r="V5" s="3783"/>
      <c r="W5" s="3783"/>
      <c r="X5" s="1354"/>
      <c r="Y5" s="3760"/>
      <c r="Z5" s="3761"/>
      <c r="AA5" s="3754"/>
      <c r="AB5" s="3754"/>
      <c r="AC5" s="3754"/>
    </row>
    <row r="6" spans="1:29" ht="15.75" thickBot="1">
      <c r="A6" s="359"/>
      <c r="B6" s="360"/>
      <c r="C6" s="3766" t="s">
        <v>1676</v>
      </c>
      <c r="D6" s="3767"/>
      <c r="E6" s="3768" t="s">
        <v>1676</v>
      </c>
      <c r="F6" s="3769"/>
      <c r="G6" s="3766" t="s">
        <v>1676</v>
      </c>
      <c r="H6" s="3767"/>
      <c r="I6" s="3766" t="s">
        <v>1676</v>
      </c>
      <c r="J6" s="3767"/>
      <c r="K6" s="558" t="s">
        <v>1677</v>
      </c>
      <c r="L6" s="2714"/>
      <c r="M6" s="2715"/>
      <c r="N6" s="2715"/>
      <c r="O6" s="2715"/>
      <c r="P6" s="3779"/>
      <c r="Q6" s="3780"/>
      <c r="R6" s="3760"/>
      <c r="S6" s="3761"/>
      <c r="T6" s="3781"/>
      <c r="U6" s="3782"/>
      <c r="V6" s="3783"/>
      <c r="W6" s="3783"/>
      <c r="X6" s="1354"/>
      <c r="Y6" s="3781"/>
      <c r="Z6" s="3782"/>
      <c r="AA6" s="3755"/>
      <c r="AB6" s="3755"/>
      <c r="AC6" s="3755"/>
    </row>
    <row r="7" spans="1:29" s="107" customFormat="1" ht="15.75" thickBot="1">
      <c r="A7" s="361" t="s">
        <v>1678</v>
      </c>
      <c r="B7" s="362"/>
      <c r="C7" s="363">
        <f>'数据-取费表'!B2</f>
        <v>45120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56" t="s">
        <v>1679</v>
      </c>
      <c r="Q7" s="3784"/>
      <c r="R7" s="700" t="s">
        <v>14</v>
      </c>
      <c r="S7" s="701">
        <f t="shared" ref="S7:S14" si="0">F7</f>
        <v>0</v>
      </c>
      <c r="T7" s="700" t="s">
        <v>14</v>
      </c>
      <c r="U7" s="701">
        <f t="shared" ref="U7:U14" si="1">H7</f>
        <v>0</v>
      </c>
      <c r="V7" s="700" t="s">
        <v>14</v>
      </c>
      <c r="W7" s="701">
        <f t="shared" ref="W7:W14" si="2">J7</f>
        <v>0</v>
      </c>
      <c r="X7" s="702"/>
      <c r="Y7" s="3756" t="s">
        <v>1679</v>
      </c>
      <c r="Z7" s="3757"/>
      <c r="AA7" s="703" t="e">
        <f>D7/F7</f>
        <v>#DIV/0!</v>
      </c>
      <c r="AB7" s="703" t="e">
        <f>D7/H7</f>
        <v>#DIV/0!</v>
      </c>
      <c r="AC7" s="703" t="e">
        <f>D7/J7</f>
        <v>#DIV/0!</v>
      </c>
    </row>
    <row r="8" spans="1:29" s="107"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56" t="s">
        <v>1682</v>
      </c>
      <c r="Q8" s="3757"/>
      <c r="R8" s="700" t="s">
        <v>14</v>
      </c>
      <c r="S8" s="701">
        <f t="shared" si="0"/>
        <v>100</v>
      </c>
      <c r="T8" s="700" t="s">
        <v>14</v>
      </c>
      <c r="U8" s="701">
        <f t="shared" si="1"/>
        <v>100</v>
      </c>
      <c r="V8" s="700" t="s">
        <v>14</v>
      </c>
      <c r="W8" s="701">
        <f t="shared" si="2"/>
        <v>100</v>
      </c>
      <c r="X8" s="702"/>
      <c r="Y8" s="3756" t="s">
        <v>1682</v>
      </c>
      <c r="Z8" s="3757"/>
      <c r="AA8" s="703">
        <f t="shared" ref="AA8:AA36" si="3">D8/F8</f>
        <v>1</v>
      </c>
      <c r="AB8" s="703">
        <f t="shared" ref="AB8:AB36" si="4">D8/H8</f>
        <v>1</v>
      </c>
      <c r="AC8" s="703">
        <f t="shared" ref="AC8:AC36" si="5">D8/J8</f>
        <v>1</v>
      </c>
    </row>
    <row r="9" spans="1:29" s="107" customFormat="1">
      <c r="A9" s="59"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88" t="s">
        <v>1685</v>
      </c>
      <c r="Q9" s="1342" t="str">
        <f t="shared" ref="Q9:Q14" si="6">B9</f>
        <v>用途</v>
      </c>
      <c r="R9" s="700" t="s">
        <v>14</v>
      </c>
      <c r="S9" s="701">
        <f t="shared" si="0"/>
        <v>100</v>
      </c>
      <c r="T9" s="700" t="s">
        <v>14</v>
      </c>
      <c r="U9" s="701">
        <f t="shared" si="1"/>
        <v>100</v>
      </c>
      <c r="V9" s="700" t="s">
        <v>14</v>
      </c>
      <c r="W9" s="701">
        <f t="shared" si="2"/>
        <v>100</v>
      </c>
      <c r="X9" s="702"/>
      <c r="Y9" s="3700" t="s">
        <v>1686</v>
      </c>
      <c r="Z9" s="51" t="str">
        <f t="shared" ref="Z9:Z14" si="7">Q9</f>
        <v>用途</v>
      </c>
      <c r="AA9" s="703">
        <f t="shared" si="3"/>
        <v>1</v>
      </c>
      <c r="AB9" s="703">
        <f t="shared" si="4"/>
        <v>1</v>
      </c>
      <c r="AC9" s="703">
        <f t="shared" si="5"/>
        <v>1</v>
      </c>
    </row>
    <row r="10" spans="1:29" s="377" customFormat="1" ht="27">
      <c r="A10" s="588"/>
      <c r="B10" s="589" t="s">
        <v>1687</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88"/>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88"/>
      <c r="Q11" s="1342">
        <f t="shared" si="6"/>
        <v>111</v>
      </c>
      <c r="R11" s="700" t="s">
        <v>14</v>
      </c>
      <c r="S11" s="701">
        <f t="shared" si="0"/>
        <v>100</v>
      </c>
      <c r="T11" s="700" t="s">
        <v>14</v>
      </c>
      <c r="U11" s="701">
        <f t="shared" si="1"/>
        <v>100</v>
      </c>
      <c r="V11" s="700" t="s">
        <v>14</v>
      </c>
      <c r="W11" s="701">
        <f t="shared" si="2"/>
        <v>100</v>
      </c>
      <c r="X11" s="702"/>
      <c r="Y11" s="3700"/>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88"/>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88"/>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90" t="s">
        <v>1690</v>
      </c>
      <c r="Q14" s="1351" t="str">
        <f t="shared" si="6"/>
        <v>交通便捷度</v>
      </c>
      <c r="R14" s="704" t="s">
        <v>14</v>
      </c>
      <c r="S14" s="705">
        <f t="shared" si="0"/>
        <v>100</v>
      </c>
      <c r="T14" s="704" t="s">
        <v>14</v>
      </c>
      <c r="U14" s="705">
        <f t="shared" si="1"/>
        <v>100</v>
      </c>
      <c r="V14" s="704" t="s">
        <v>14</v>
      </c>
      <c r="W14" s="705">
        <f t="shared" si="2"/>
        <v>100</v>
      </c>
      <c r="X14" s="1354"/>
      <c r="Y14" s="3790"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91"/>
      <c r="Q15" s="1351"/>
      <c r="R15" s="704"/>
      <c r="S15" s="705"/>
      <c r="T15" s="704"/>
      <c r="U15" s="705"/>
      <c r="V15" s="704"/>
      <c r="W15" s="705"/>
      <c r="X15" s="1354"/>
      <c r="Y15" s="3791"/>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91"/>
      <c r="Q16" s="1351" t="str">
        <f>B16</f>
        <v>公共配套设施</v>
      </c>
      <c r="R16" s="704" t="s">
        <v>14</v>
      </c>
      <c r="S16" s="705">
        <f>F16</f>
        <v>100</v>
      </c>
      <c r="T16" s="704" t="s">
        <v>14</v>
      </c>
      <c r="U16" s="705">
        <f>H16</f>
        <v>100</v>
      </c>
      <c r="V16" s="704" t="s">
        <v>14</v>
      </c>
      <c r="W16" s="705">
        <f>J16</f>
        <v>100</v>
      </c>
      <c r="X16" s="1354"/>
      <c r="Y16" s="3791"/>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91"/>
      <c r="Q17" s="1351"/>
      <c r="R17" s="704"/>
      <c r="S17" s="705"/>
      <c r="T17" s="704"/>
      <c r="U17" s="705"/>
      <c r="V17" s="704"/>
      <c r="W17" s="705"/>
      <c r="X17" s="1354"/>
      <c r="Y17" s="3791"/>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91"/>
      <c r="Q18" s="1351" t="str">
        <f>B18</f>
        <v>基础设施水平</v>
      </c>
      <c r="R18" s="704" t="s">
        <v>14</v>
      </c>
      <c r="S18" s="705">
        <f>F18</f>
        <v>100</v>
      </c>
      <c r="T18" s="704" t="s">
        <v>14</v>
      </c>
      <c r="U18" s="705">
        <f>H18</f>
        <v>100</v>
      </c>
      <c r="V18" s="704" t="s">
        <v>14</v>
      </c>
      <c r="W18" s="705">
        <f>J18</f>
        <v>100</v>
      </c>
      <c r="X18" s="1354"/>
      <c r="Y18" s="3791"/>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91"/>
      <c r="Q19" s="1351"/>
      <c r="R19" s="704"/>
      <c r="S19" s="705"/>
      <c r="T19" s="704"/>
      <c r="U19" s="705"/>
      <c r="V19" s="704"/>
      <c r="W19" s="705"/>
      <c r="X19" s="1354"/>
      <c r="Y19" s="3791"/>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91"/>
      <c r="Q20" s="1351" t="str">
        <f>B20</f>
        <v>自然及人文环境</v>
      </c>
      <c r="R20" s="704" t="s">
        <v>14</v>
      </c>
      <c r="S20" s="705">
        <f>F20</f>
        <v>100</v>
      </c>
      <c r="T20" s="704" t="s">
        <v>14</v>
      </c>
      <c r="U20" s="705">
        <f>H20</f>
        <v>100</v>
      </c>
      <c r="V20" s="704" t="s">
        <v>14</v>
      </c>
      <c r="W20" s="705">
        <f>J20</f>
        <v>100</v>
      </c>
      <c r="X20" s="1354"/>
      <c r="Y20" s="3791"/>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91"/>
      <c r="Q21" s="1351"/>
      <c r="R21" s="704"/>
      <c r="S21" s="705"/>
      <c r="T21" s="704"/>
      <c r="U21" s="705"/>
      <c r="V21" s="704"/>
      <c r="W21" s="705"/>
      <c r="X21" s="1354"/>
      <c r="Y21" s="3791"/>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91"/>
      <c r="Q22" s="1351" t="str">
        <f>B22</f>
        <v>楼层</v>
      </c>
      <c r="R22" s="704" t="s">
        <v>14</v>
      </c>
      <c r="S22" s="705">
        <f>F22</f>
        <v>100</v>
      </c>
      <c r="T22" s="704" t="s">
        <v>14</v>
      </c>
      <c r="U22" s="705">
        <f>H22</f>
        <v>100</v>
      </c>
      <c r="V22" s="704" t="s">
        <v>14</v>
      </c>
      <c r="W22" s="705">
        <f>J22</f>
        <v>100</v>
      </c>
      <c r="X22" s="1354"/>
      <c r="Y22" s="3791"/>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91"/>
      <c r="Q23" s="1351">
        <f>B23</f>
        <v>111</v>
      </c>
      <c r="R23" s="704" t="s">
        <v>14</v>
      </c>
      <c r="S23" s="705">
        <f>F23</f>
        <v>100</v>
      </c>
      <c r="T23" s="704" t="s">
        <v>14</v>
      </c>
      <c r="U23" s="705">
        <f>H23</f>
        <v>100</v>
      </c>
      <c r="V23" s="704" t="s">
        <v>14</v>
      </c>
      <c r="W23" s="705">
        <f>J23</f>
        <v>100</v>
      </c>
      <c r="X23" s="1354"/>
      <c r="Y23" s="3791"/>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91"/>
      <c r="Q24" s="1351">
        <f t="shared" ref="Q24:Q36" si="11">B24</f>
        <v>111</v>
      </c>
      <c r="R24" s="704" t="s">
        <v>14</v>
      </c>
      <c r="S24" s="705">
        <f>F24</f>
        <v>100</v>
      </c>
      <c r="T24" s="704" t="s">
        <v>14</v>
      </c>
      <c r="U24" s="705">
        <f>H24</f>
        <v>100</v>
      </c>
      <c r="V24" s="704" t="s">
        <v>14</v>
      </c>
      <c r="W24" s="705">
        <f>J24</f>
        <v>100</v>
      </c>
      <c r="X24" s="1354"/>
      <c r="Y24" s="3791"/>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91"/>
      <c r="Q25" s="1342">
        <f t="shared" si="11"/>
        <v>111</v>
      </c>
      <c r="R25" s="700" t="s">
        <v>14</v>
      </c>
      <c r="S25" s="701">
        <f>F25</f>
        <v>100</v>
      </c>
      <c r="T25" s="700" t="s">
        <v>14</v>
      </c>
      <c r="U25" s="701">
        <f>H25</f>
        <v>100</v>
      </c>
      <c r="V25" s="700" t="s">
        <v>14</v>
      </c>
      <c r="W25" s="701">
        <f>J25</f>
        <v>100</v>
      </c>
      <c r="X25" s="702"/>
      <c r="Y25" s="3791"/>
      <c r="Z25" s="51">
        <f>Q25</f>
        <v>111</v>
      </c>
      <c r="AA25" s="1352">
        <f>D25/F25</f>
        <v>1</v>
      </c>
      <c r="AB25" s="1352">
        <f>D25/H25</f>
        <v>1</v>
      </c>
      <c r="AC25" s="1352">
        <f>D25/J25</f>
        <v>1</v>
      </c>
    </row>
    <row r="26" spans="1:29" ht="28.5">
      <c r="A26" s="599" t="s">
        <v>1693</v>
      </c>
      <c r="B26" s="61"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81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95"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95"/>
      <c r="Q27" s="706" t="str">
        <f t="shared" si="11"/>
        <v>项目停车位配比</v>
      </c>
      <c r="R27" s="707" t="s">
        <v>14</v>
      </c>
      <c r="S27" s="708">
        <f t="shared" si="12"/>
        <v>100</v>
      </c>
      <c r="T27" s="707" t="s">
        <v>14</v>
      </c>
      <c r="U27" s="708">
        <f t="shared" si="13"/>
        <v>100</v>
      </c>
      <c r="V27" s="707" t="s">
        <v>14</v>
      </c>
      <c r="W27" s="708">
        <f t="shared" si="14"/>
        <v>100</v>
      </c>
      <c r="X27" s="709"/>
      <c r="Y27" s="3795"/>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95"/>
      <c r="Q28" s="1351" t="str">
        <f t="shared" si="11"/>
        <v>公共部分装修</v>
      </c>
      <c r="R28" s="704" t="s">
        <v>14</v>
      </c>
      <c r="S28" s="705">
        <f t="shared" si="12"/>
        <v>100</v>
      </c>
      <c r="T28" s="704" t="s">
        <v>14</v>
      </c>
      <c r="U28" s="705">
        <f t="shared" si="13"/>
        <v>100</v>
      </c>
      <c r="V28" s="704" t="s">
        <v>14</v>
      </c>
      <c r="W28" s="705">
        <f t="shared" si="14"/>
        <v>100</v>
      </c>
      <c r="X28" s="1354"/>
      <c r="Y28" s="3795"/>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95"/>
      <c r="Q29" s="1351" t="str">
        <f t="shared" si="11"/>
        <v>成新率</v>
      </c>
      <c r="R29" s="704" t="s">
        <v>14</v>
      </c>
      <c r="S29" s="705" t="e">
        <f t="shared" si="12"/>
        <v>#N/A</v>
      </c>
      <c r="T29" s="704" t="s">
        <v>14</v>
      </c>
      <c r="U29" s="705" t="e">
        <f t="shared" si="13"/>
        <v>#N/A</v>
      </c>
      <c r="V29" s="704" t="s">
        <v>14</v>
      </c>
      <c r="W29" s="705" t="e">
        <f t="shared" si="14"/>
        <v>#N/A</v>
      </c>
      <c r="X29" s="1354"/>
      <c r="Y29" s="3795"/>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95"/>
      <c r="Q30" s="1351" t="str">
        <f t="shared" si="11"/>
        <v>物业等级</v>
      </c>
      <c r="R30" s="704" t="s">
        <v>14</v>
      </c>
      <c r="S30" s="705">
        <f t="shared" si="12"/>
        <v>100</v>
      </c>
      <c r="T30" s="704" t="s">
        <v>14</v>
      </c>
      <c r="U30" s="705">
        <f t="shared" si="13"/>
        <v>100</v>
      </c>
      <c r="V30" s="704" t="s">
        <v>14</v>
      </c>
      <c r="W30" s="705">
        <f t="shared" si="14"/>
        <v>100</v>
      </c>
      <c r="X30" s="1354"/>
      <c r="Y30" s="3795"/>
      <c r="Z30" s="1355" t="str">
        <f t="shared" si="15"/>
        <v>物业等级</v>
      </c>
      <c r="AA30" s="1352">
        <f t="shared" si="3"/>
        <v>1</v>
      </c>
      <c r="AB30" s="1352">
        <f t="shared" si="4"/>
        <v>1</v>
      </c>
      <c r="AC30" s="1352">
        <f t="shared" si="5"/>
        <v>1</v>
      </c>
    </row>
    <row r="31" spans="1:29" s="107"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95"/>
      <c r="Q31" s="1342" t="str">
        <f t="shared" si="11"/>
        <v>停车位面积</v>
      </c>
      <c r="R31" s="700" t="s">
        <v>14</v>
      </c>
      <c r="S31" s="701" t="e">
        <f t="shared" si="12"/>
        <v>#N/A</v>
      </c>
      <c r="T31" s="700" t="s">
        <v>14</v>
      </c>
      <c r="U31" s="701" t="e">
        <f t="shared" si="13"/>
        <v>#N/A</v>
      </c>
      <c r="V31" s="700" t="s">
        <v>14</v>
      </c>
      <c r="W31" s="701" t="e">
        <f t="shared" si="14"/>
        <v>#N/A</v>
      </c>
      <c r="X31" s="702"/>
      <c r="Y31" s="3795"/>
      <c r="Z31" s="51"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95" t="s">
        <v>1695</v>
      </c>
      <c r="Q32" s="1351" t="str">
        <f t="shared" si="11"/>
        <v>车位类型</v>
      </c>
      <c r="R32" s="704" t="s">
        <v>14</v>
      </c>
      <c r="S32" s="705">
        <f t="shared" si="12"/>
        <v>100</v>
      </c>
      <c r="T32" s="704" t="s">
        <v>14</v>
      </c>
      <c r="U32" s="705">
        <f t="shared" si="13"/>
        <v>100</v>
      </c>
      <c r="V32" s="704" t="s">
        <v>14</v>
      </c>
      <c r="W32" s="705">
        <f t="shared" si="14"/>
        <v>100</v>
      </c>
      <c r="X32" s="1354"/>
      <c r="Y32" s="3795"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95"/>
      <c r="Q33" s="1351" t="str">
        <f t="shared" si="11"/>
        <v>是否直接入户</v>
      </c>
      <c r="R33" s="704" t="s">
        <v>14</v>
      </c>
      <c r="S33" s="705">
        <f t="shared" si="12"/>
        <v>100</v>
      </c>
      <c r="T33" s="704" t="s">
        <v>14</v>
      </c>
      <c r="U33" s="705">
        <f t="shared" si="13"/>
        <v>100</v>
      </c>
      <c r="V33" s="704" t="s">
        <v>14</v>
      </c>
      <c r="W33" s="705">
        <f t="shared" si="14"/>
        <v>100</v>
      </c>
      <c r="X33" s="1354"/>
      <c r="Y33" s="3795"/>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95"/>
      <c r="Q34" s="1351">
        <f t="shared" si="11"/>
        <v>111</v>
      </c>
      <c r="R34" s="704" t="s">
        <v>14</v>
      </c>
      <c r="S34" s="705">
        <f t="shared" si="12"/>
        <v>100</v>
      </c>
      <c r="T34" s="704" t="s">
        <v>14</v>
      </c>
      <c r="U34" s="705">
        <f t="shared" si="13"/>
        <v>100</v>
      </c>
      <c r="V34" s="704" t="s">
        <v>14</v>
      </c>
      <c r="W34" s="705">
        <f t="shared" si="14"/>
        <v>100</v>
      </c>
      <c r="X34" s="1354"/>
      <c r="Y34" s="3795"/>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95"/>
      <c r="Q35" s="706">
        <f t="shared" si="11"/>
        <v>111</v>
      </c>
      <c r="R35" s="707" t="s">
        <v>14</v>
      </c>
      <c r="S35" s="708">
        <f t="shared" si="12"/>
        <v>100</v>
      </c>
      <c r="T35" s="707" t="s">
        <v>14</v>
      </c>
      <c r="U35" s="708">
        <f t="shared" si="13"/>
        <v>100</v>
      </c>
      <c r="V35" s="707" t="s">
        <v>14</v>
      </c>
      <c r="W35" s="708">
        <f t="shared" si="14"/>
        <v>100</v>
      </c>
      <c r="X35" s="709"/>
      <c r="Y35" s="3795"/>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95"/>
      <c r="Q36" s="1351">
        <f t="shared" si="11"/>
        <v>111</v>
      </c>
      <c r="R36" s="704" t="s">
        <v>14</v>
      </c>
      <c r="S36" s="705">
        <f t="shared" si="12"/>
        <v>100</v>
      </c>
      <c r="T36" s="704" t="s">
        <v>14</v>
      </c>
      <c r="U36" s="705">
        <f t="shared" si="13"/>
        <v>100</v>
      </c>
      <c r="V36" s="704" t="s">
        <v>14</v>
      </c>
      <c r="W36" s="705">
        <f t="shared" si="14"/>
        <v>100</v>
      </c>
      <c r="X36" s="1354"/>
      <c r="Y36" s="3795"/>
      <c r="Z36" s="1355">
        <f t="shared" si="15"/>
        <v>111</v>
      </c>
      <c r="AA36" s="1352">
        <f t="shared" si="3"/>
        <v>1</v>
      </c>
      <c r="AB36" s="1352">
        <f t="shared" si="4"/>
        <v>1</v>
      </c>
      <c r="AC36" s="1352">
        <f t="shared" si="5"/>
        <v>1</v>
      </c>
    </row>
    <row r="37" spans="1:29" ht="15">
      <c r="A37" s="429" t="s">
        <v>1843</v>
      </c>
      <c r="B37" s="1972" t="s">
        <v>3352</v>
      </c>
      <c r="C37" s="1153" t="s">
        <v>0</v>
      </c>
      <c r="D37" s="1154"/>
      <c r="E37" s="1155"/>
      <c r="F37" s="1156"/>
      <c r="G37" s="1157"/>
      <c r="H37" s="1158"/>
      <c r="I37" s="1155"/>
      <c r="J37" s="1158"/>
      <c r="K37" s="567"/>
      <c r="L37" s="2723"/>
      <c r="M37" s="2724"/>
      <c r="N37" s="2715"/>
      <c r="O37" s="2724"/>
      <c r="P37" s="3788" t="str">
        <f>A37</f>
        <v>成交单价</v>
      </c>
      <c r="Q37" s="3788"/>
      <c r="R37" s="3789">
        <f>E37</f>
        <v>0</v>
      </c>
      <c r="S37" s="3789"/>
      <c r="T37" s="3789">
        <f>G37</f>
        <v>0</v>
      </c>
      <c r="U37" s="3789"/>
      <c r="V37" s="3789">
        <f>I37</f>
        <v>0</v>
      </c>
      <c r="W37" s="3789"/>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88" t="str">
        <f>A38</f>
        <v>比较价值（元/平方米）</v>
      </c>
      <c r="Q38" s="3788"/>
      <c r="R38" s="3789" t="e">
        <f>IF(F1="售价",ROUND(PRODUCT(R37,AA7:AA36),0),ROUND(PRODUCT(R37,AA7:AA36),1))</f>
        <v>#DIV/0!</v>
      </c>
      <c r="S38" s="3789"/>
      <c r="T38" s="3789" t="e">
        <f>IF(F1="售价",ROUND(PRODUCT(T37,AB7:AB36),0),ROUND(PRODUCT(T37,AB7:AB36),1))</f>
        <v>#DIV/0!</v>
      </c>
      <c r="U38" s="3789"/>
      <c r="V38" s="3789" t="e">
        <f>IF(F1="售价",ROUND(PRODUCT(V37,AC7:AC36),0),ROUND(PRODUCT(V37,AC7:AC36),1))</f>
        <v>#DIV/0!</v>
      </c>
      <c r="W38" s="3789"/>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3"/>
      <c r="M39" s="2724"/>
      <c r="N39" s="2724"/>
      <c r="O39" s="2724"/>
      <c r="P39" s="3785" t="str">
        <f>A39</f>
        <v>估价对象XX用房的比较价值（楼面单价，元/平方米）</v>
      </c>
      <c r="Q39" s="3786"/>
      <c r="R39" s="3815" t="e">
        <f>IF(F1="售价",ROUND(IF(D38="简单平均",AVERAGE(R38:W38),R38*F38+T38*H38+V38*J38),0),ROUND(IF(D38="简单平均",AVERAGE(R38:V38),R38*F38+T38*H38+V38*J38),1))</f>
        <v>#DIV/0!</v>
      </c>
      <c r="S39" s="3815"/>
      <c r="T39" s="3815"/>
      <c r="U39" s="3815"/>
      <c r="V39" s="3815"/>
      <c r="W39" s="381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1850</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1715</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1680</v>
      </c>
      <c r="B51" s="458"/>
      <c r="C51" s="470" t="s">
        <v>1775</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1718</v>
      </c>
      <c r="B53" s="476" t="s">
        <v>1684</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1687</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1726</v>
      </c>
      <c r="C65" s="526" t="s">
        <v>1720</v>
      </c>
      <c r="D65" s="526" t="s">
        <v>1721</v>
      </c>
      <c r="E65" s="526" t="s">
        <v>1722</v>
      </c>
      <c r="F65" s="526" t="s">
        <v>1723</v>
      </c>
      <c r="G65" s="526" t="s">
        <v>1724</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1812</v>
      </c>
      <c r="C67" s="607" t="s">
        <v>1798</v>
      </c>
      <c r="D67" s="607" t="s">
        <v>1799</v>
      </c>
      <c r="E67" s="607" t="s">
        <v>1800</v>
      </c>
      <c r="F67" s="607" t="s">
        <v>1801</v>
      </c>
      <c r="G67" s="607" t="s">
        <v>1802</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1732</v>
      </c>
      <c r="C69" s="526" t="s">
        <v>1720</v>
      </c>
      <c r="D69" s="526" t="s">
        <v>1721</v>
      </c>
      <c r="E69" s="526" t="s">
        <v>1722</v>
      </c>
      <c r="F69" s="526" t="s">
        <v>1723</v>
      </c>
      <c r="G69" s="526" t="s">
        <v>1724</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1851</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1693</v>
      </c>
      <c r="B79" s="476" t="s">
        <v>1852</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1853</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1739</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1855</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1857</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1858</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3332</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58" t="s">
        <v>1770</v>
      </c>
      <c r="S4" s="3759"/>
      <c r="T4" s="3758" t="s">
        <v>1771</v>
      </c>
      <c r="U4" s="3759"/>
      <c r="V4" s="3783" t="s">
        <v>1772</v>
      </c>
      <c r="W4" s="3783"/>
      <c r="X4" s="1354"/>
      <c r="Y4" s="3758" t="s">
        <v>1774</v>
      </c>
      <c r="Z4" s="3759"/>
      <c r="AA4" s="3753" t="s">
        <v>1770</v>
      </c>
      <c r="AB4" s="3754" t="s">
        <v>1771</v>
      </c>
      <c r="AC4" s="3753" t="s">
        <v>1772</v>
      </c>
    </row>
    <row r="5" spans="1:29" ht="15">
      <c r="A5" s="357"/>
      <c r="B5" s="358"/>
      <c r="C5" s="3764" t="s">
        <v>1672</v>
      </c>
      <c r="D5" s="3765"/>
      <c r="E5" s="3762" t="s">
        <v>1673</v>
      </c>
      <c r="F5" s="3763"/>
      <c r="G5" s="3764" t="s">
        <v>1674</v>
      </c>
      <c r="H5" s="3765"/>
      <c r="I5" s="3764" t="s">
        <v>1675</v>
      </c>
      <c r="J5" s="3765"/>
      <c r="K5" s="558"/>
      <c r="L5" s="2714"/>
      <c r="M5" s="2715"/>
      <c r="N5" s="2715"/>
      <c r="O5" s="2715"/>
      <c r="P5" s="3777"/>
      <c r="Q5" s="3778"/>
      <c r="R5" s="3760"/>
      <c r="S5" s="3761"/>
      <c r="T5" s="3760"/>
      <c r="U5" s="3761"/>
      <c r="V5" s="3783"/>
      <c r="W5" s="3783"/>
      <c r="X5" s="1354"/>
      <c r="Y5" s="3760"/>
      <c r="Z5" s="3761"/>
      <c r="AA5" s="3754"/>
      <c r="AB5" s="3754"/>
      <c r="AC5" s="3754"/>
    </row>
    <row r="6" spans="1:29" ht="15.75" thickBot="1">
      <c r="A6" s="359"/>
      <c r="B6" s="360"/>
      <c r="C6" s="3766" t="s">
        <v>1676</v>
      </c>
      <c r="D6" s="3767"/>
      <c r="E6" s="3768" t="s">
        <v>1676</v>
      </c>
      <c r="F6" s="3769"/>
      <c r="G6" s="3766" t="s">
        <v>1676</v>
      </c>
      <c r="H6" s="3767"/>
      <c r="I6" s="3766" t="s">
        <v>1676</v>
      </c>
      <c r="J6" s="3767"/>
      <c r="K6" s="558" t="s">
        <v>1677</v>
      </c>
      <c r="L6" s="2714"/>
      <c r="M6" s="2715"/>
      <c r="N6" s="2715"/>
      <c r="O6" s="2715"/>
      <c r="P6" s="3779"/>
      <c r="Q6" s="3780"/>
      <c r="R6" s="3760"/>
      <c r="S6" s="3761"/>
      <c r="T6" s="3781"/>
      <c r="U6" s="3782"/>
      <c r="V6" s="3783"/>
      <c r="W6" s="3783"/>
      <c r="X6" s="1354"/>
      <c r="Y6" s="3781"/>
      <c r="Z6" s="3782"/>
      <c r="AA6" s="3755"/>
      <c r="AB6" s="3755"/>
      <c r="AC6" s="3755"/>
    </row>
    <row r="7" spans="1:29" s="107" customFormat="1" ht="15.75" thickBot="1">
      <c r="A7" s="361" t="s">
        <v>1678</v>
      </c>
      <c r="B7" s="362"/>
      <c r="C7" s="363">
        <f>'数据-取费表'!B2</f>
        <v>45120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56" t="s">
        <v>1679</v>
      </c>
      <c r="Q7" s="3784"/>
      <c r="R7" s="700" t="s">
        <v>14</v>
      </c>
      <c r="S7" s="701">
        <f t="shared" ref="S7:S14" si="0">F7</f>
        <v>0</v>
      </c>
      <c r="T7" s="700" t="s">
        <v>14</v>
      </c>
      <c r="U7" s="701">
        <f t="shared" ref="U7:U14" si="1">H7</f>
        <v>0</v>
      </c>
      <c r="V7" s="700" t="s">
        <v>14</v>
      </c>
      <c r="W7" s="701">
        <f t="shared" ref="W7:W14" si="2">J7</f>
        <v>0</v>
      </c>
      <c r="X7" s="702"/>
      <c r="Y7" s="3756" t="s">
        <v>1679</v>
      </c>
      <c r="Z7" s="3757"/>
      <c r="AA7" s="703" t="e">
        <f>D7/F7</f>
        <v>#DIV/0!</v>
      </c>
      <c r="AB7" s="703" t="e">
        <f>D7/H7</f>
        <v>#DIV/0!</v>
      </c>
      <c r="AC7" s="703" t="e">
        <f>D7/J7</f>
        <v>#DIV/0!</v>
      </c>
    </row>
    <row r="8" spans="1:29" s="107"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56" t="s">
        <v>1682</v>
      </c>
      <c r="Q8" s="3757"/>
      <c r="R8" s="700" t="s">
        <v>14</v>
      </c>
      <c r="S8" s="701">
        <f t="shared" si="0"/>
        <v>100</v>
      </c>
      <c r="T8" s="700" t="s">
        <v>14</v>
      </c>
      <c r="U8" s="701">
        <f t="shared" si="1"/>
        <v>100</v>
      </c>
      <c r="V8" s="700" t="s">
        <v>14</v>
      </c>
      <c r="W8" s="701">
        <f t="shared" si="2"/>
        <v>100</v>
      </c>
      <c r="X8" s="702"/>
      <c r="Y8" s="3756" t="s">
        <v>1682</v>
      </c>
      <c r="Z8" s="3757"/>
      <c r="AA8" s="703">
        <f t="shared" ref="AA8:AA34" si="3">D8/F8</f>
        <v>1</v>
      </c>
      <c r="AB8" s="703">
        <f t="shared" ref="AB8:AB34" si="4">D8/H8</f>
        <v>1</v>
      </c>
      <c r="AC8" s="703">
        <f t="shared" ref="AC8:AC34" si="5">D8/J8</f>
        <v>1</v>
      </c>
    </row>
    <row r="9" spans="1:29" s="107" customFormat="1">
      <c r="A9" s="368" t="s">
        <v>1683</v>
      </c>
      <c r="B9" s="62" t="s">
        <v>1684</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88" t="s">
        <v>1685</v>
      </c>
      <c r="Q9" s="1342" t="str">
        <f t="shared" ref="Q9:Q14" si="6">B9</f>
        <v>用途</v>
      </c>
      <c r="R9" s="700" t="s">
        <v>14</v>
      </c>
      <c r="S9" s="701">
        <f t="shared" si="0"/>
        <v>100</v>
      </c>
      <c r="T9" s="700" t="s">
        <v>14</v>
      </c>
      <c r="U9" s="701">
        <f t="shared" si="1"/>
        <v>100</v>
      </c>
      <c r="V9" s="700" t="s">
        <v>14</v>
      </c>
      <c r="W9" s="701">
        <f t="shared" si="2"/>
        <v>100</v>
      </c>
      <c r="X9" s="702"/>
      <c r="Y9" s="3700" t="s">
        <v>1686</v>
      </c>
      <c r="Z9" s="51" t="str">
        <f t="shared" ref="Z9:Z14" si="7">Q9</f>
        <v>用途</v>
      </c>
      <c r="AA9" s="703">
        <f t="shared" si="3"/>
        <v>1</v>
      </c>
      <c r="AB9" s="703">
        <f t="shared" si="4"/>
        <v>1</v>
      </c>
      <c r="AC9" s="703">
        <f t="shared" si="5"/>
        <v>1</v>
      </c>
    </row>
    <row r="10" spans="1:29" s="377" customFormat="1" ht="27">
      <c r="A10" s="373"/>
      <c r="B10" s="374" t="s">
        <v>1687</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88"/>
      <c r="Q10" s="1342" t="str">
        <f t="shared" si="6"/>
        <v>土地使用年限（年）</v>
      </c>
      <c r="R10" s="700" t="s">
        <v>14</v>
      </c>
      <c r="S10" s="701">
        <f t="shared" si="0"/>
        <v>100</v>
      </c>
      <c r="T10" s="700" t="s">
        <v>14</v>
      </c>
      <c r="U10" s="701">
        <f t="shared" si="1"/>
        <v>100</v>
      </c>
      <c r="V10" s="700" t="s">
        <v>14</v>
      </c>
      <c r="W10" s="701">
        <f t="shared" si="2"/>
        <v>100</v>
      </c>
      <c r="X10" s="702"/>
      <c r="Y10" s="3700"/>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88"/>
      <c r="Q11" s="1342">
        <f t="shared" si="6"/>
        <v>111</v>
      </c>
      <c r="R11" s="700" t="s">
        <v>14</v>
      </c>
      <c r="S11" s="701">
        <f t="shared" si="0"/>
        <v>100</v>
      </c>
      <c r="T11" s="700" t="s">
        <v>14</v>
      </c>
      <c r="U11" s="701">
        <f t="shared" si="1"/>
        <v>100</v>
      </c>
      <c r="V11" s="700" t="s">
        <v>14</v>
      </c>
      <c r="W11" s="701">
        <f t="shared" si="2"/>
        <v>100</v>
      </c>
      <c r="X11" s="702"/>
      <c r="Y11" s="3700"/>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88"/>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88"/>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703">
        <f t="shared" si="5"/>
        <v>1</v>
      </c>
    </row>
    <row r="14" spans="1:29" ht="85.5">
      <c r="A14" s="390" t="s">
        <v>1689</v>
      </c>
      <c r="B14" s="60"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90" t="s">
        <v>1690</v>
      </c>
      <c r="Q14" s="1351" t="str">
        <f t="shared" si="6"/>
        <v>交通便捷度</v>
      </c>
      <c r="R14" s="704" t="s">
        <v>14</v>
      </c>
      <c r="S14" s="705">
        <f t="shared" si="0"/>
        <v>100</v>
      </c>
      <c r="T14" s="704" t="s">
        <v>14</v>
      </c>
      <c r="U14" s="705">
        <f t="shared" si="1"/>
        <v>100</v>
      </c>
      <c r="V14" s="704" t="s">
        <v>14</v>
      </c>
      <c r="W14" s="705">
        <f t="shared" si="2"/>
        <v>100</v>
      </c>
      <c r="X14" s="1354"/>
      <c r="Y14" s="3790"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91"/>
      <c r="Q15" s="1351"/>
      <c r="R15" s="704"/>
      <c r="S15" s="705"/>
      <c r="T15" s="704"/>
      <c r="U15" s="705"/>
      <c r="V15" s="704"/>
      <c r="W15" s="705"/>
      <c r="X15" s="1354"/>
      <c r="Y15" s="3791"/>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91"/>
      <c r="Q16" s="1351" t="str">
        <f>B16</f>
        <v>公共配套设施</v>
      </c>
      <c r="R16" s="704" t="s">
        <v>14</v>
      </c>
      <c r="S16" s="705">
        <f>F16</f>
        <v>100</v>
      </c>
      <c r="T16" s="704" t="s">
        <v>14</v>
      </c>
      <c r="U16" s="705">
        <f>H16</f>
        <v>100</v>
      </c>
      <c r="V16" s="704" t="s">
        <v>14</v>
      </c>
      <c r="W16" s="705">
        <f>J16</f>
        <v>100</v>
      </c>
      <c r="X16" s="1354"/>
      <c r="Y16" s="3791"/>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91"/>
      <c r="Q17" s="1351"/>
      <c r="R17" s="704"/>
      <c r="S17" s="705"/>
      <c r="T17" s="704"/>
      <c r="U17" s="705"/>
      <c r="V17" s="704"/>
      <c r="W17" s="705"/>
      <c r="X17" s="1354"/>
      <c r="Y17" s="3791"/>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91"/>
      <c r="Q18" s="1351" t="str">
        <f>B18</f>
        <v>基础设施水平</v>
      </c>
      <c r="R18" s="704" t="s">
        <v>14</v>
      </c>
      <c r="S18" s="705">
        <f>F18</f>
        <v>100</v>
      </c>
      <c r="T18" s="704" t="s">
        <v>14</v>
      </c>
      <c r="U18" s="705">
        <f>H18</f>
        <v>100</v>
      </c>
      <c r="V18" s="704" t="s">
        <v>14</v>
      </c>
      <c r="W18" s="705">
        <f>J18</f>
        <v>100</v>
      </c>
      <c r="X18" s="1354"/>
      <c r="Y18" s="3791"/>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91"/>
      <c r="Q19" s="1351"/>
      <c r="R19" s="704"/>
      <c r="S19" s="705"/>
      <c r="T19" s="704"/>
      <c r="U19" s="705"/>
      <c r="V19" s="704"/>
      <c r="W19" s="705"/>
      <c r="X19" s="1354"/>
      <c r="Y19" s="3791"/>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91"/>
      <c r="Q20" s="1351" t="str">
        <f>B20</f>
        <v>自然及人文环境</v>
      </c>
      <c r="R20" s="704" t="s">
        <v>14</v>
      </c>
      <c r="S20" s="705">
        <f>F20</f>
        <v>100</v>
      </c>
      <c r="T20" s="704" t="s">
        <v>14</v>
      </c>
      <c r="U20" s="705">
        <f>H20</f>
        <v>100</v>
      </c>
      <c r="V20" s="704" t="s">
        <v>14</v>
      </c>
      <c r="W20" s="705">
        <f>J20</f>
        <v>100</v>
      </c>
      <c r="X20" s="1354"/>
      <c r="Y20" s="3791"/>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91"/>
      <c r="Q21" s="1351"/>
      <c r="R21" s="704"/>
      <c r="S21" s="705"/>
      <c r="T21" s="704"/>
      <c r="U21" s="705"/>
      <c r="V21" s="704"/>
      <c r="W21" s="705"/>
      <c r="X21" s="1354"/>
      <c r="Y21" s="3791"/>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91"/>
      <c r="Q22" s="1351" t="str">
        <f>B22</f>
        <v>楼层</v>
      </c>
      <c r="R22" s="704" t="s">
        <v>14</v>
      </c>
      <c r="S22" s="705">
        <f>F22</f>
        <v>100</v>
      </c>
      <c r="T22" s="704" t="s">
        <v>14</v>
      </c>
      <c r="U22" s="705">
        <f>H22</f>
        <v>100</v>
      </c>
      <c r="V22" s="704" t="s">
        <v>14</v>
      </c>
      <c r="W22" s="705">
        <f>J22</f>
        <v>100</v>
      </c>
      <c r="X22" s="1354"/>
      <c r="Y22" s="3791"/>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91"/>
      <c r="Q23" s="1351">
        <f>B23</f>
        <v>111</v>
      </c>
      <c r="R23" s="704" t="s">
        <v>14</v>
      </c>
      <c r="S23" s="705">
        <f>F23</f>
        <v>100</v>
      </c>
      <c r="T23" s="704" t="s">
        <v>14</v>
      </c>
      <c r="U23" s="705">
        <f>H23</f>
        <v>100</v>
      </c>
      <c r="V23" s="704" t="s">
        <v>14</v>
      </c>
      <c r="W23" s="705">
        <f>J23</f>
        <v>100</v>
      </c>
      <c r="X23" s="1354"/>
      <c r="Y23" s="3791"/>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91"/>
      <c r="Q24" s="1351">
        <f t="shared" ref="Q24:Q34" si="11">B24</f>
        <v>111</v>
      </c>
      <c r="R24" s="704" t="s">
        <v>14</v>
      </c>
      <c r="S24" s="705">
        <f>F24</f>
        <v>100</v>
      </c>
      <c r="T24" s="704" t="s">
        <v>14</v>
      </c>
      <c r="U24" s="705">
        <f>H24</f>
        <v>100</v>
      </c>
      <c r="V24" s="704" t="s">
        <v>14</v>
      </c>
      <c r="W24" s="705">
        <f>J24</f>
        <v>100</v>
      </c>
      <c r="X24" s="1354"/>
      <c r="Y24" s="3791"/>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91"/>
      <c r="Q25" s="1342">
        <f t="shared" si="11"/>
        <v>111</v>
      </c>
      <c r="R25" s="700" t="s">
        <v>14</v>
      </c>
      <c r="S25" s="701">
        <f>F25</f>
        <v>100</v>
      </c>
      <c r="T25" s="700" t="s">
        <v>14</v>
      </c>
      <c r="U25" s="701">
        <f>H25</f>
        <v>100</v>
      </c>
      <c r="V25" s="700" t="s">
        <v>14</v>
      </c>
      <c r="W25" s="701">
        <f>J25</f>
        <v>100</v>
      </c>
      <c r="X25" s="702"/>
      <c r="Y25" s="3791"/>
      <c r="Z25" s="51">
        <f>Q25</f>
        <v>111</v>
      </c>
      <c r="AA25" s="1352">
        <f>D25/F25</f>
        <v>1</v>
      </c>
      <c r="AB25" s="1352">
        <f>D25/H25</f>
        <v>1</v>
      </c>
      <c r="AC25" s="1352">
        <f>D25/J25</f>
        <v>1</v>
      </c>
    </row>
    <row r="26" spans="1:29" ht="28.5">
      <c r="A26" s="416" t="s">
        <v>1693</v>
      </c>
      <c r="B26" s="62"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81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95"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95"/>
      <c r="Q27" s="706" t="str">
        <f t="shared" si="11"/>
        <v>成新率</v>
      </c>
      <c r="R27" s="707" t="s">
        <v>14</v>
      </c>
      <c r="S27" s="708" t="e">
        <f t="shared" si="12"/>
        <v>#N/A</v>
      </c>
      <c r="T27" s="707" t="s">
        <v>14</v>
      </c>
      <c r="U27" s="708" t="e">
        <f t="shared" si="13"/>
        <v>#N/A</v>
      </c>
      <c r="V27" s="707" t="s">
        <v>14</v>
      </c>
      <c r="W27" s="708" t="e">
        <f t="shared" si="14"/>
        <v>#N/A</v>
      </c>
      <c r="X27" s="709"/>
      <c r="Y27" s="3795"/>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95"/>
      <c r="Q28" s="1351" t="str">
        <f t="shared" si="11"/>
        <v>物业等级</v>
      </c>
      <c r="R28" s="704" t="s">
        <v>14</v>
      </c>
      <c r="S28" s="705">
        <f t="shared" si="12"/>
        <v>100</v>
      </c>
      <c r="T28" s="704" t="s">
        <v>14</v>
      </c>
      <c r="U28" s="705">
        <f t="shared" si="13"/>
        <v>100</v>
      </c>
      <c r="V28" s="704" t="s">
        <v>14</v>
      </c>
      <c r="W28" s="705">
        <f t="shared" si="14"/>
        <v>100</v>
      </c>
      <c r="X28" s="1354"/>
      <c r="Y28" s="3795"/>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95"/>
      <c r="Q29" s="1351" t="str">
        <f t="shared" si="11"/>
        <v>有无电梯</v>
      </c>
      <c r="R29" s="704" t="s">
        <v>14</v>
      </c>
      <c r="S29" s="705">
        <f t="shared" si="12"/>
        <v>100</v>
      </c>
      <c r="T29" s="704" t="s">
        <v>14</v>
      </c>
      <c r="U29" s="705">
        <f t="shared" si="13"/>
        <v>100</v>
      </c>
      <c r="V29" s="704" t="s">
        <v>14</v>
      </c>
      <c r="W29" s="705">
        <f t="shared" si="14"/>
        <v>100</v>
      </c>
      <c r="X29" s="1354"/>
      <c r="Y29" s="3795"/>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95"/>
      <c r="Q30" s="1351" t="str">
        <f t="shared" si="11"/>
        <v>建筑面积</v>
      </c>
      <c r="R30" s="704" t="s">
        <v>14</v>
      </c>
      <c r="S30" s="705" t="e">
        <f t="shared" si="12"/>
        <v>#N/A</v>
      </c>
      <c r="T30" s="704" t="s">
        <v>14</v>
      </c>
      <c r="U30" s="705" t="e">
        <f t="shared" si="13"/>
        <v>#N/A</v>
      </c>
      <c r="V30" s="704" t="s">
        <v>14</v>
      </c>
      <c r="W30" s="705" t="e">
        <f t="shared" si="14"/>
        <v>#N/A</v>
      </c>
      <c r="X30" s="1354"/>
      <c r="Y30" s="3795"/>
      <c r="Z30" s="1355" t="str">
        <f t="shared" si="15"/>
        <v>建筑面积</v>
      </c>
      <c r="AA30" s="1352" t="e">
        <f t="shared" si="3"/>
        <v>#N/A</v>
      </c>
      <c r="AB30" s="1352" t="e">
        <f t="shared" si="4"/>
        <v>#N/A</v>
      </c>
      <c r="AC30" s="1352" t="e">
        <f t="shared" si="5"/>
        <v>#N/A</v>
      </c>
    </row>
    <row r="31" spans="1:29" s="107"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95"/>
      <c r="Q31" s="1342" t="str">
        <f t="shared" si="11"/>
        <v>是否封闭</v>
      </c>
      <c r="R31" s="700" t="s">
        <v>14</v>
      </c>
      <c r="S31" s="701">
        <f t="shared" si="12"/>
        <v>100</v>
      </c>
      <c r="T31" s="700" t="s">
        <v>14</v>
      </c>
      <c r="U31" s="701">
        <f t="shared" si="13"/>
        <v>100</v>
      </c>
      <c r="V31" s="700" t="s">
        <v>14</v>
      </c>
      <c r="W31" s="701">
        <f t="shared" si="14"/>
        <v>100</v>
      </c>
      <c r="X31" s="702"/>
      <c r="Y31" s="3795"/>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95" t="s">
        <v>1695</v>
      </c>
      <c r="Q32" s="1351">
        <f t="shared" si="11"/>
        <v>111</v>
      </c>
      <c r="R32" s="704" t="s">
        <v>14</v>
      </c>
      <c r="S32" s="705">
        <f t="shared" si="12"/>
        <v>100</v>
      </c>
      <c r="T32" s="704" t="s">
        <v>14</v>
      </c>
      <c r="U32" s="705">
        <f t="shared" si="13"/>
        <v>100</v>
      </c>
      <c r="V32" s="704" t="s">
        <v>14</v>
      </c>
      <c r="W32" s="705">
        <f t="shared" si="14"/>
        <v>100</v>
      </c>
      <c r="X32" s="1354"/>
      <c r="Y32" s="3795"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95"/>
      <c r="Q33" s="1351">
        <f t="shared" si="11"/>
        <v>111</v>
      </c>
      <c r="R33" s="704" t="s">
        <v>14</v>
      </c>
      <c r="S33" s="705">
        <f t="shared" si="12"/>
        <v>100</v>
      </c>
      <c r="T33" s="704" t="s">
        <v>14</v>
      </c>
      <c r="U33" s="705">
        <f t="shared" si="13"/>
        <v>100</v>
      </c>
      <c r="V33" s="704" t="s">
        <v>14</v>
      </c>
      <c r="W33" s="705">
        <f t="shared" si="14"/>
        <v>100</v>
      </c>
      <c r="X33" s="1354"/>
      <c r="Y33" s="3795"/>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95"/>
      <c r="Q34" s="1351">
        <f t="shared" si="11"/>
        <v>111</v>
      </c>
      <c r="R34" s="704" t="s">
        <v>14</v>
      </c>
      <c r="S34" s="705">
        <f t="shared" si="12"/>
        <v>100</v>
      </c>
      <c r="T34" s="704" t="s">
        <v>14</v>
      </c>
      <c r="U34" s="705">
        <f t="shared" si="13"/>
        <v>100</v>
      </c>
      <c r="V34" s="704" t="s">
        <v>14</v>
      </c>
      <c r="W34" s="705">
        <f t="shared" si="14"/>
        <v>100</v>
      </c>
      <c r="X34" s="1354"/>
      <c r="Y34" s="3795"/>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3"/>
      <c r="M35" s="2724"/>
      <c r="N35" s="2715"/>
      <c r="O35" s="2724"/>
      <c r="P35" s="3788" t="str">
        <f>A35</f>
        <v>成交单价（元/平方米）</v>
      </c>
      <c r="Q35" s="3788"/>
      <c r="R35" s="3789">
        <f>E35</f>
        <v>0</v>
      </c>
      <c r="S35" s="3789"/>
      <c r="T35" s="3789">
        <f>G35</f>
        <v>0</v>
      </c>
      <c r="U35" s="3789"/>
      <c r="V35" s="3789">
        <f>I35</f>
        <v>0</v>
      </c>
      <c r="W35" s="3789"/>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88" t="str">
        <f>A36</f>
        <v>比较价值（元/平方米）</v>
      </c>
      <c r="Q36" s="3788"/>
      <c r="R36" s="3789" t="e">
        <f>IF(F1="售价",ROUND(PRODUCT(R35,AA7:AA34),0),ROUND(PRODUCT(R35,AA7:AA34),1))</f>
        <v>#DIV/0!</v>
      </c>
      <c r="S36" s="3789"/>
      <c r="T36" s="3789" t="e">
        <f>IF(F1="售价",ROUND(PRODUCT(T35,AB7:AB34),0),ROUND(PRODUCT(T35,AB7:AB34),1))</f>
        <v>#DIV/0!</v>
      </c>
      <c r="U36" s="3789"/>
      <c r="V36" s="3789" t="e">
        <f>IF(F1="售价",ROUND(PRODUCT(V35,AC7:AC34),0),ROUND(PRODUCT(V35,AC7:AC34),1))</f>
        <v>#DIV/0!</v>
      </c>
      <c r="W36" s="3789"/>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3"/>
      <c r="M37" s="2724"/>
      <c r="N37" s="2724"/>
      <c r="O37" s="2724"/>
      <c r="P37" s="3785" t="str">
        <f>A37</f>
        <v>估价对象XX用房的比较价值（楼面单价，元/平方米）</v>
      </c>
      <c r="Q37" s="3786"/>
      <c r="R37" s="3815" t="e">
        <f>IF(F1="售价",ROUND(IF(D36="简单平均",AVERAGE(R36:W36),R36*F36+T36*H36+V36*J36),0),ROUND(IF(D36="简单平均",AVERAGE(R36:V36),R36*F36+T36*H36+V36*J36),1))</f>
        <v>#DIV/0!</v>
      </c>
      <c r="S37" s="3815"/>
      <c r="T37" s="3815"/>
      <c r="U37" s="3815"/>
      <c r="V37" s="3815"/>
      <c r="W37" s="381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1678</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1715</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1680</v>
      </c>
      <c r="B49" s="458"/>
      <c r="C49" s="470" t="s">
        <v>1775</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1718</v>
      </c>
      <c r="B51" s="476" t="s">
        <v>1684</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1687</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1862</v>
      </c>
      <c r="C63" s="526" t="s">
        <v>1720</v>
      </c>
      <c r="D63" s="526" t="s">
        <v>1721</v>
      </c>
      <c r="E63" s="526" t="s">
        <v>1722</v>
      </c>
      <c r="F63" s="526" t="s">
        <v>1723</v>
      </c>
      <c r="G63" s="526" t="s">
        <v>1724</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1812</v>
      </c>
      <c r="C65" s="607" t="s">
        <v>1798</v>
      </c>
      <c r="D65" s="607" t="s">
        <v>1799</v>
      </c>
      <c r="E65" s="607" t="s">
        <v>1800</v>
      </c>
      <c r="F65" s="607" t="s">
        <v>1801</v>
      </c>
      <c r="G65" s="607" t="s">
        <v>1802</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1732</v>
      </c>
      <c r="C67" s="526" t="s">
        <v>1720</v>
      </c>
      <c r="D67" s="526" t="s">
        <v>1721</v>
      </c>
      <c r="E67" s="526" t="s">
        <v>1722</v>
      </c>
      <c r="F67" s="526" t="s">
        <v>1723</v>
      </c>
      <c r="G67" s="526" t="s">
        <v>1724</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1851</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1693</v>
      </c>
      <c r="B77" s="476" t="s">
        <v>1739</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1855</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1863</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1865</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58" t="s">
        <v>1770</v>
      </c>
      <c r="S4" s="3759"/>
      <c r="T4" s="3758" t="s">
        <v>1771</v>
      </c>
      <c r="U4" s="3759"/>
      <c r="V4" s="3783" t="s">
        <v>1772</v>
      </c>
      <c r="W4" s="3783"/>
      <c r="X4" s="1354"/>
      <c r="Y4" s="3758" t="s">
        <v>1774</v>
      </c>
      <c r="Z4" s="3759"/>
      <c r="AA4" s="3753" t="s">
        <v>1770</v>
      </c>
      <c r="AB4" s="3754" t="s">
        <v>1771</v>
      </c>
      <c r="AC4" s="3753" t="s">
        <v>1772</v>
      </c>
    </row>
    <row r="5" spans="1:30" ht="15">
      <c r="A5" s="357"/>
      <c r="B5" s="358"/>
      <c r="C5" s="3764" t="s">
        <v>1672</v>
      </c>
      <c r="D5" s="3765"/>
      <c r="E5" s="3762" t="s">
        <v>1673</v>
      </c>
      <c r="F5" s="3763"/>
      <c r="G5" s="3764" t="s">
        <v>1674</v>
      </c>
      <c r="H5" s="3765"/>
      <c r="I5" s="3764" t="s">
        <v>1675</v>
      </c>
      <c r="J5" s="3765"/>
      <c r="K5" s="558"/>
      <c r="L5" s="2714"/>
      <c r="M5" s="2715"/>
      <c r="N5" s="2715"/>
      <c r="O5" s="2715"/>
      <c r="P5" s="3777"/>
      <c r="Q5" s="3778"/>
      <c r="R5" s="3760"/>
      <c r="S5" s="3761"/>
      <c r="T5" s="3760"/>
      <c r="U5" s="3761"/>
      <c r="V5" s="3783"/>
      <c r="W5" s="3783"/>
      <c r="X5" s="1354"/>
      <c r="Y5" s="3760"/>
      <c r="Z5" s="3761"/>
      <c r="AA5" s="3754"/>
      <c r="AB5" s="3754"/>
      <c r="AC5" s="3754"/>
    </row>
    <row r="6" spans="1:30" ht="15.75" thickBot="1">
      <c r="A6" s="359"/>
      <c r="B6" s="360"/>
      <c r="C6" s="3766" t="s">
        <v>1676</v>
      </c>
      <c r="D6" s="3767"/>
      <c r="E6" s="3768" t="s">
        <v>1676</v>
      </c>
      <c r="F6" s="3769"/>
      <c r="G6" s="3766" t="s">
        <v>1676</v>
      </c>
      <c r="H6" s="3767"/>
      <c r="I6" s="3766" t="s">
        <v>1676</v>
      </c>
      <c r="J6" s="3767"/>
      <c r="K6" s="558" t="s">
        <v>1677</v>
      </c>
      <c r="L6" s="2714"/>
      <c r="M6" s="2715"/>
      <c r="N6" s="2715"/>
      <c r="O6" s="2715"/>
      <c r="P6" s="3779"/>
      <c r="Q6" s="3780"/>
      <c r="R6" s="3760"/>
      <c r="S6" s="3761"/>
      <c r="T6" s="3781"/>
      <c r="U6" s="3782"/>
      <c r="V6" s="3783"/>
      <c r="W6" s="3783"/>
      <c r="X6" s="1354"/>
      <c r="Y6" s="3781"/>
      <c r="Z6" s="3782"/>
      <c r="AA6" s="3755"/>
      <c r="AB6" s="3755"/>
      <c r="AC6" s="3755"/>
    </row>
    <row r="7" spans="1:30" s="107" customFormat="1" ht="15.75" thickBot="1">
      <c r="A7" s="361" t="s">
        <v>1678</v>
      </c>
      <c r="B7" s="362"/>
      <c r="C7" s="363">
        <f>'数据-取费表'!B2</f>
        <v>45120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56" t="s">
        <v>1679</v>
      </c>
      <c r="Q7" s="3784"/>
      <c r="R7" s="700" t="s">
        <v>14</v>
      </c>
      <c r="S7" s="701">
        <f t="shared" ref="S7:S15" si="0">F7</f>
        <v>0</v>
      </c>
      <c r="T7" s="700" t="s">
        <v>14</v>
      </c>
      <c r="U7" s="701">
        <f t="shared" ref="U7:U15" si="1">H7</f>
        <v>0</v>
      </c>
      <c r="V7" s="700" t="s">
        <v>14</v>
      </c>
      <c r="W7" s="701">
        <f t="shared" ref="W7:W15" si="2">J7</f>
        <v>0</v>
      </c>
      <c r="X7" s="702"/>
      <c r="Y7" s="3756" t="s">
        <v>1679</v>
      </c>
      <c r="Z7" s="3757"/>
      <c r="AA7" s="703" t="e">
        <f>D7/F7</f>
        <v>#DIV/0!</v>
      </c>
      <c r="AB7" s="703" t="e">
        <f>D7/H7</f>
        <v>#DIV/0!</v>
      </c>
      <c r="AC7" s="703" t="e">
        <f>D7/J7</f>
        <v>#DIV/0!</v>
      </c>
    </row>
    <row r="8" spans="1:30" s="107"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56" t="s">
        <v>1682</v>
      </c>
      <c r="Q8" s="3757"/>
      <c r="R8" s="700" t="s">
        <v>14</v>
      </c>
      <c r="S8" s="701">
        <f t="shared" si="0"/>
        <v>0</v>
      </c>
      <c r="T8" s="700" t="s">
        <v>14</v>
      </c>
      <c r="U8" s="701">
        <f t="shared" si="1"/>
        <v>0</v>
      </c>
      <c r="V8" s="700" t="s">
        <v>14</v>
      </c>
      <c r="W8" s="701">
        <f t="shared" si="2"/>
        <v>0</v>
      </c>
      <c r="X8" s="702"/>
      <c r="Y8" s="3756" t="s">
        <v>1682</v>
      </c>
      <c r="Z8" s="3757"/>
      <c r="AA8" s="703" t="e">
        <f t="shared" ref="AA8:AA45" si="3">D8/F8</f>
        <v>#DIV/0!</v>
      </c>
      <c r="AB8" s="703" t="e">
        <f t="shared" ref="AB8:AB45" si="4">D8/H8</f>
        <v>#DIV/0!</v>
      </c>
      <c r="AC8" s="703" t="e">
        <f t="shared" ref="AC8:AC45" si="5">D8/J8</f>
        <v>#DIV/0!</v>
      </c>
    </row>
    <row r="9" spans="1:30" s="107" customFormat="1">
      <c r="A9" s="368" t="s">
        <v>1683</v>
      </c>
      <c r="B9" s="62" t="s">
        <v>1684</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88"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114</v>
      </c>
      <c r="G10" s="413"/>
      <c r="H10" s="126">
        <f>ROUND(100/'数据-取费表'!G16,0)</f>
        <v>114</v>
      </c>
      <c r="I10" s="413"/>
      <c r="J10" s="126">
        <f>ROUND(100/'数据-取费表'!G16,0)</f>
        <v>114</v>
      </c>
      <c r="K10" s="619"/>
      <c r="L10" s="2718"/>
      <c r="M10" s="2719"/>
      <c r="N10" s="2719"/>
      <c r="O10" s="2772"/>
      <c r="P10" s="3788"/>
      <c r="Q10" s="1342" t="str">
        <f t="shared" si="6"/>
        <v>土地使用年限（年）</v>
      </c>
      <c r="R10" s="700" t="s">
        <v>14</v>
      </c>
      <c r="S10" s="701">
        <f t="shared" si="0"/>
        <v>114</v>
      </c>
      <c r="T10" s="700" t="s">
        <v>14</v>
      </c>
      <c r="U10" s="701">
        <f t="shared" si="1"/>
        <v>114</v>
      </c>
      <c r="V10" s="700" t="s">
        <v>14</v>
      </c>
      <c r="W10" s="701">
        <f t="shared" si="2"/>
        <v>114</v>
      </c>
      <c r="X10" s="702"/>
      <c r="Y10" s="3700"/>
      <c r="Z10" s="51" t="str">
        <f t="shared" si="7"/>
        <v>土地使用年限（年）</v>
      </c>
      <c r="AA10" s="703">
        <f t="shared" si="3"/>
        <v>0.8771929824561403</v>
      </c>
      <c r="AB10" s="703">
        <f t="shared" si="4"/>
        <v>0.8771929824561403</v>
      </c>
      <c r="AC10" s="703">
        <f t="shared" si="5"/>
        <v>0.8771929824561403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88"/>
      <c r="Q11" s="1342" t="str">
        <f t="shared" si="6"/>
        <v>容积率</v>
      </c>
      <c r="R11" s="700" t="s">
        <v>14</v>
      </c>
      <c r="S11" s="701" t="e">
        <f t="shared" si="0"/>
        <v>#N/A</v>
      </c>
      <c r="T11" s="700" t="s">
        <v>14</v>
      </c>
      <c r="U11" s="701" t="e">
        <f t="shared" si="1"/>
        <v>#N/A</v>
      </c>
      <c r="V11" s="700" t="s">
        <v>14</v>
      </c>
      <c r="W11" s="701" t="e">
        <f t="shared" si="2"/>
        <v>#N/A</v>
      </c>
      <c r="X11" s="702"/>
      <c r="Y11" s="3700"/>
      <c r="Z11" s="51" t="str">
        <f t="shared" si="7"/>
        <v>容积率</v>
      </c>
      <c r="AA11" s="703" t="e">
        <f t="shared" si="3"/>
        <v>#N/A</v>
      </c>
      <c r="AB11" s="703" t="e">
        <f t="shared" si="4"/>
        <v>#N/A</v>
      </c>
      <c r="AC11" s="703" t="e">
        <f t="shared" si="5"/>
        <v>#N/A</v>
      </c>
    </row>
    <row r="12" spans="1:30" s="107"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88"/>
      <c r="Q12" s="1342" t="str">
        <f t="shared" si="6"/>
        <v>配建</v>
      </c>
      <c r="R12" s="700" t="s">
        <v>14</v>
      </c>
      <c r="S12" s="701">
        <f t="shared" si="0"/>
        <v>100</v>
      </c>
      <c r="T12" s="700" t="s">
        <v>14</v>
      </c>
      <c r="U12" s="701">
        <f t="shared" si="1"/>
        <v>100</v>
      </c>
      <c r="V12" s="700" t="s">
        <v>14</v>
      </c>
      <c r="W12" s="701">
        <f t="shared" si="2"/>
        <v>100</v>
      </c>
      <c r="X12" s="702"/>
      <c r="Y12" s="3700"/>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88"/>
      <c r="Q13" s="1342">
        <f t="shared" si="6"/>
        <v>111</v>
      </c>
      <c r="R13" s="700" t="s">
        <v>14</v>
      </c>
      <c r="S13" s="701">
        <f t="shared" si="0"/>
        <v>100</v>
      </c>
      <c r="T13" s="700" t="s">
        <v>14</v>
      </c>
      <c r="U13" s="701">
        <f t="shared" si="1"/>
        <v>100</v>
      </c>
      <c r="V13" s="700" t="s">
        <v>14</v>
      </c>
      <c r="W13" s="701">
        <f t="shared" si="2"/>
        <v>100</v>
      </c>
      <c r="X13" s="702"/>
      <c r="Y13" s="3700"/>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88"/>
      <c r="Q14" s="1342">
        <f t="shared" si="6"/>
        <v>111</v>
      </c>
      <c r="R14" s="700" t="s">
        <v>14</v>
      </c>
      <c r="S14" s="701">
        <f t="shared" si="0"/>
        <v>100</v>
      </c>
      <c r="T14" s="700" t="s">
        <v>14</v>
      </c>
      <c r="U14" s="701">
        <f t="shared" si="1"/>
        <v>100</v>
      </c>
      <c r="V14" s="700" t="s">
        <v>14</v>
      </c>
      <c r="W14" s="701">
        <f t="shared" si="2"/>
        <v>100</v>
      </c>
      <c r="X14" s="702"/>
      <c r="Y14" s="3700"/>
      <c r="Z14" s="51">
        <f t="shared" si="7"/>
        <v>111</v>
      </c>
      <c r="AA14" s="703">
        <f>D14/F14</f>
        <v>1</v>
      </c>
      <c r="AB14" s="703">
        <f>D14/H14</f>
        <v>1</v>
      </c>
      <c r="AC14" s="703">
        <f>D14/J14</f>
        <v>1</v>
      </c>
    </row>
    <row r="15" spans="1:30" ht="99.75">
      <c r="A15" s="390" t="s">
        <v>1689</v>
      </c>
      <c r="B15" s="60" t="s">
        <v>1256</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90" t="s">
        <v>1690</v>
      </c>
      <c r="Q15" s="1351" t="str">
        <f t="shared" si="6"/>
        <v>居住社区成熟度</v>
      </c>
      <c r="R15" s="704" t="s">
        <v>14</v>
      </c>
      <c r="S15" s="705">
        <f t="shared" si="0"/>
        <v>100</v>
      </c>
      <c r="T15" s="704" t="s">
        <v>14</v>
      </c>
      <c r="U15" s="705">
        <f t="shared" si="1"/>
        <v>100</v>
      </c>
      <c r="V15" s="704" t="s">
        <v>14</v>
      </c>
      <c r="W15" s="705">
        <f t="shared" si="2"/>
        <v>100</v>
      </c>
      <c r="X15" s="1354"/>
      <c r="Y15" s="3790"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91"/>
      <c r="Q16" s="1351"/>
      <c r="R16" s="704"/>
      <c r="S16" s="705"/>
      <c r="T16" s="704"/>
      <c r="U16" s="705"/>
      <c r="V16" s="704"/>
      <c r="W16" s="705"/>
      <c r="X16" s="1354"/>
      <c r="Y16" s="3791"/>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91"/>
      <c r="Q17" s="1351" t="str">
        <f>B17</f>
        <v>商业繁华度</v>
      </c>
      <c r="R17" s="704" t="s">
        <v>14</v>
      </c>
      <c r="S17" s="705">
        <f>F17</f>
        <v>100</v>
      </c>
      <c r="T17" s="704" t="s">
        <v>14</v>
      </c>
      <c r="U17" s="705">
        <f>H17</f>
        <v>100</v>
      </c>
      <c r="V17" s="704" t="s">
        <v>14</v>
      </c>
      <c r="W17" s="705">
        <f>J17</f>
        <v>100</v>
      </c>
      <c r="X17" s="1354"/>
      <c r="Y17" s="3791"/>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91"/>
      <c r="Q18" s="1351"/>
      <c r="R18" s="704"/>
      <c r="S18" s="705"/>
      <c r="T18" s="704"/>
      <c r="U18" s="705"/>
      <c r="V18" s="704"/>
      <c r="W18" s="705"/>
      <c r="X18" s="1354"/>
      <c r="Y18" s="3791"/>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91"/>
      <c r="Q19" s="1351" t="str">
        <f>B19</f>
        <v>办公集聚程度</v>
      </c>
      <c r="R19" s="704" t="s">
        <v>14</v>
      </c>
      <c r="S19" s="705">
        <f>F19</f>
        <v>100</v>
      </c>
      <c r="T19" s="704" t="s">
        <v>14</v>
      </c>
      <c r="U19" s="705">
        <f>H19</f>
        <v>100</v>
      </c>
      <c r="V19" s="704" t="s">
        <v>14</v>
      </c>
      <c r="W19" s="705">
        <f>J19</f>
        <v>100</v>
      </c>
      <c r="X19" s="1354"/>
      <c r="Y19" s="3791"/>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91"/>
      <c r="Q20" s="1351"/>
      <c r="R20" s="704"/>
      <c r="S20" s="705"/>
      <c r="T20" s="704"/>
      <c r="U20" s="705"/>
      <c r="V20" s="704"/>
      <c r="W20" s="705"/>
      <c r="X20" s="1354"/>
      <c r="Y20" s="3791"/>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91"/>
      <c r="Q21" s="1351" t="str">
        <f>B21</f>
        <v>交通便捷度</v>
      </c>
      <c r="R21" s="704" t="s">
        <v>14</v>
      </c>
      <c r="S21" s="705">
        <f>F21</f>
        <v>100</v>
      </c>
      <c r="T21" s="704" t="s">
        <v>14</v>
      </c>
      <c r="U21" s="705">
        <f>H21</f>
        <v>100</v>
      </c>
      <c r="V21" s="704" t="s">
        <v>14</v>
      </c>
      <c r="W21" s="705">
        <f>J21</f>
        <v>100</v>
      </c>
      <c r="X21" s="1354"/>
      <c r="Y21" s="3791"/>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91"/>
      <c r="Q22" s="1351"/>
      <c r="R22" s="704"/>
      <c r="S22" s="705"/>
      <c r="T22" s="704"/>
      <c r="U22" s="705"/>
      <c r="V22" s="704"/>
      <c r="W22" s="705"/>
      <c r="X22" s="1354"/>
      <c r="Y22" s="3791"/>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91"/>
      <c r="Q23" s="1351" t="str">
        <f t="shared" ref="Q23:Q37" si="8">B23</f>
        <v>区域土地利用方向</v>
      </c>
      <c r="R23" s="704" t="s">
        <v>14</v>
      </c>
      <c r="S23" s="705">
        <f>F23</f>
        <v>100</v>
      </c>
      <c r="T23" s="704" t="s">
        <v>14</v>
      </c>
      <c r="U23" s="705">
        <f>H23</f>
        <v>100</v>
      </c>
      <c r="V23" s="704" t="s">
        <v>14</v>
      </c>
      <c r="W23" s="705">
        <f>J23</f>
        <v>100</v>
      </c>
      <c r="X23" s="1354"/>
      <c r="Y23" s="3791"/>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91"/>
      <c r="Q24" s="1351"/>
      <c r="R24" s="704"/>
      <c r="S24" s="705"/>
      <c r="T24" s="704"/>
      <c r="U24" s="705"/>
      <c r="V24" s="704"/>
      <c r="W24" s="705"/>
      <c r="X24" s="1354"/>
      <c r="Y24" s="3791"/>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91"/>
      <c r="Q25" s="1351" t="str">
        <f t="shared" si="8"/>
        <v>自然及人文环境状况</v>
      </c>
      <c r="R25" s="704" t="s">
        <v>14</v>
      </c>
      <c r="S25" s="705">
        <f>F25</f>
        <v>100</v>
      </c>
      <c r="T25" s="704" t="s">
        <v>14</v>
      </c>
      <c r="U25" s="705">
        <f>H25</f>
        <v>100</v>
      </c>
      <c r="V25" s="704" t="s">
        <v>14</v>
      </c>
      <c r="W25" s="705">
        <f>J25</f>
        <v>100</v>
      </c>
      <c r="X25" s="1354"/>
      <c r="Y25" s="3791"/>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91"/>
      <c r="Q26" s="1351"/>
      <c r="R26" s="704"/>
      <c r="S26" s="705"/>
      <c r="T26" s="704"/>
      <c r="U26" s="705"/>
      <c r="V26" s="704"/>
      <c r="W26" s="705"/>
      <c r="X26" s="1354"/>
      <c r="Y26" s="3791"/>
      <c r="Z26" s="1355"/>
      <c r="AA26" s="1352">
        <v>1</v>
      </c>
      <c r="AB26" s="1352">
        <v>1</v>
      </c>
      <c r="AC26" s="1352">
        <v>1</v>
      </c>
    </row>
    <row r="27" spans="1:29" s="107"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91"/>
      <c r="Q27" s="1342" t="str">
        <f t="shared" si="8"/>
        <v>公共配套设施</v>
      </c>
      <c r="R27" s="700" t="s">
        <v>14</v>
      </c>
      <c r="S27" s="701">
        <f>F27</f>
        <v>100</v>
      </c>
      <c r="T27" s="700" t="s">
        <v>14</v>
      </c>
      <c r="U27" s="701">
        <f>H27</f>
        <v>100</v>
      </c>
      <c r="V27" s="700" t="s">
        <v>14</v>
      </c>
      <c r="W27" s="701">
        <f>J27</f>
        <v>100</v>
      </c>
      <c r="X27" s="702"/>
      <c r="Y27" s="3791"/>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91"/>
      <c r="Q28" s="1342"/>
      <c r="R28" s="700"/>
      <c r="S28" s="701"/>
      <c r="T28" s="700"/>
      <c r="U28" s="701"/>
      <c r="V28" s="700"/>
      <c r="W28" s="701"/>
      <c r="X28" s="702"/>
      <c r="Y28" s="3791"/>
      <c r="Z28" s="51"/>
      <c r="AA28" s="1352">
        <v>1</v>
      </c>
      <c r="AB28" s="1352">
        <v>1</v>
      </c>
      <c r="AC28" s="1352">
        <v>1</v>
      </c>
    </row>
    <row r="29" spans="1:29" s="107"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91"/>
      <c r="Q29" s="1342" t="str">
        <f t="shared" ref="Q29" si="9">B29</f>
        <v>基础设施水平</v>
      </c>
      <c r="R29" s="700" t="s">
        <v>14</v>
      </c>
      <c r="S29" s="701">
        <f>F29</f>
        <v>100</v>
      </c>
      <c r="T29" s="700" t="s">
        <v>14</v>
      </c>
      <c r="U29" s="701">
        <f>H29</f>
        <v>100</v>
      </c>
      <c r="V29" s="700" t="s">
        <v>14</v>
      </c>
      <c r="W29" s="701">
        <f>J29</f>
        <v>100</v>
      </c>
      <c r="X29" s="702"/>
      <c r="Y29" s="3791"/>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91"/>
      <c r="Q30" s="1342"/>
      <c r="R30" s="700"/>
      <c r="S30" s="701"/>
      <c r="T30" s="700"/>
      <c r="U30" s="701"/>
      <c r="V30" s="700"/>
      <c r="W30" s="701"/>
      <c r="X30" s="702"/>
      <c r="Y30" s="3791"/>
      <c r="Z30" s="51"/>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9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91"/>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91"/>
      <c r="Q32" s="1351" t="str">
        <f t="shared" si="8"/>
        <v>毗邻道路的类型与等级</v>
      </c>
      <c r="R32" s="704" t="s">
        <v>14</v>
      </c>
      <c r="S32" s="705">
        <f t="shared" si="10"/>
        <v>100</v>
      </c>
      <c r="T32" s="704" t="s">
        <v>14</v>
      </c>
      <c r="U32" s="705">
        <f t="shared" si="11"/>
        <v>100</v>
      </c>
      <c r="V32" s="704" t="s">
        <v>14</v>
      </c>
      <c r="W32" s="705">
        <f t="shared" si="12"/>
        <v>100</v>
      </c>
      <c r="X32" s="1354"/>
      <c r="Y32" s="3791"/>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91"/>
      <c r="Q33" s="1351"/>
      <c r="R33" s="704"/>
      <c r="S33" s="705"/>
      <c r="T33" s="704"/>
      <c r="U33" s="705"/>
      <c r="V33" s="704"/>
      <c r="W33" s="705"/>
      <c r="X33" s="1354"/>
      <c r="Y33" s="3791"/>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91"/>
      <c r="Q34" s="1351" t="str">
        <f t="shared" si="8"/>
        <v>土地级别</v>
      </c>
      <c r="R34" s="704" t="s">
        <v>14</v>
      </c>
      <c r="S34" s="705">
        <f t="shared" si="10"/>
        <v>100</v>
      </c>
      <c r="T34" s="704" t="s">
        <v>14</v>
      </c>
      <c r="U34" s="705">
        <f t="shared" si="11"/>
        <v>100</v>
      </c>
      <c r="V34" s="704" t="s">
        <v>14</v>
      </c>
      <c r="W34" s="705">
        <f t="shared" si="12"/>
        <v>100</v>
      </c>
      <c r="X34" s="1354"/>
      <c r="Y34" s="3791"/>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91"/>
      <c r="Q35" s="1351">
        <f t="shared" si="8"/>
        <v>111</v>
      </c>
      <c r="R35" s="704" t="s">
        <v>14</v>
      </c>
      <c r="S35" s="705">
        <f t="shared" si="10"/>
        <v>100</v>
      </c>
      <c r="T35" s="704" t="s">
        <v>14</v>
      </c>
      <c r="U35" s="705">
        <f t="shared" si="11"/>
        <v>100</v>
      </c>
      <c r="V35" s="704" t="s">
        <v>14</v>
      </c>
      <c r="W35" s="705">
        <f t="shared" si="12"/>
        <v>100</v>
      </c>
      <c r="X35" s="1354"/>
      <c r="Y35" s="3791"/>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814" t="s">
        <v>1695</v>
      </c>
      <c r="Q36" s="1351">
        <f t="shared" si="8"/>
        <v>111</v>
      </c>
      <c r="R36" s="704" t="s">
        <v>14</v>
      </c>
      <c r="S36" s="705">
        <f t="shared" si="10"/>
        <v>100</v>
      </c>
      <c r="T36" s="704" t="s">
        <v>14</v>
      </c>
      <c r="U36" s="705">
        <f t="shared" si="11"/>
        <v>100</v>
      </c>
      <c r="V36" s="704" t="s">
        <v>14</v>
      </c>
      <c r="W36" s="705">
        <f t="shared" si="12"/>
        <v>100</v>
      </c>
      <c r="X36" s="1354"/>
      <c r="Y36" s="3795"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95"/>
      <c r="Q37" s="1351">
        <f t="shared" si="8"/>
        <v>111</v>
      </c>
      <c r="R37" s="707" t="s">
        <v>14</v>
      </c>
      <c r="S37" s="708">
        <f t="shared" si="10"/>
        <v>100</v>
      </c>
      <c r="T37" s="707" t="s">
        <v>14</v>
      </c>
      <c r="U37" s="708">
        <f t="shared" si="11"/>
        <v>100</v>
      </c>
      <c r="V37" s="707" t="s">
        <v>14</v>
      </c>
      <c r="W37" s="708">
        <f t="shared" si="12"/>
        <v>100</v>
      </c>
      <c r="X37" s="709"/>
      <c r="Y37" s="3795"/>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95"/>
      <c r="Q38" s="1351" t="str">
        <f>B38</f>
        <v>宗地面积</v>
      </c>
      <c r="R38" s="704" t="s">
        <v>14</v>
      </c>
      <c r="S38" s="705" t="e">
        <f t="shared" si="10"/>
        <v>#N/A</v>
      </c>
      <c r="T38" s="704" t="s">
        <v>14</v>
      </c>
      <c r="U38" s="705" t="e">
        <f t="shared" si="11"/>
        <v>#N/A</v>
      </c>
      <c r="V38" s="704" t="s">
        <v>14</v>
      </c>
      <c r="W38" s="705" t="e">
        <f t="shared" si="12"/>
        <v>#N/A</v>
      </c>
      <c r="X38" s="1354"/>
      <c r="Y38" s="3795"/>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95"/>
      <c r="Q39" s="1351" t="str">
        <f t="shared" ref="Q39:Q45" si="14">B39</f>
        <v>宗地形状</v>
      </c>
      <c r="R39" s="704" t="s">
        <v>14</v>
      </c>
      <c r="S39" s="705">
        <f t="shared" si="10"/>
        <v>100</v>
      </c>
      <c r="T39" s="704" t="s">
        <v>14</v>
      </c>
      <c r="U39" s="705">
        <f t="shared" si="11"/>
        <v>100</v>
      </c>
      <c r="V39" s="704" t="s">
        <v>14</v>
      </c>
      <c r="W39" s="705">
        <f t="shared" si="12"/>
        <v>100</v>
      </c>
      <c r="X39" s="1354"/>
      <c r="Y39" s="3795"/>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95"/>
      <c r="Q40" s="1351" t="str">
        <f t="shared" si="14"/>
        <v>临街宽度及深度</v>
      </c>
      <c r="R40" s="704" t="s">
        <v>14</v>
      </c>
      <c r="S40" s="705">
        <f t="shared" si="10"/>
        <v>100</v>
      </c>
      <c r="T40" s="704" t="s">
        <v>14</v>
      </c>
      <c r="U40" s="705">
        <f t="shared" si="11"/>
        <v>100</v>
      </c>
      <c r="V40" s="704" t="s">
        <v>14</v>
      </c>
      <c r="W40" s="705">
        <f t="shared" si="12"/>
        <v>100</v>
      </c>
      <c r="X40" s="1354"/>
      <c r="Y40" s="3795"/>
      <c r="Z40" s="1355" t="str">
        <f t="shared" si="13"/>
        <v>临街宽度及深度</v>
      </c>
      <c r="AA40" s="1352">
        <f t="shared" si="3"/>
        <v>1</v>
      </c>
      <c r="AB40" s="1352">
        <f t="shared" si="4"/>
        <v>1</v>
      </c>
      <c r="AC40" s="1352">
        <f t="shared" si="5"/>
        <v>1</v>
      </c>
    </row>
    <row r="41" spans="1:29" s="107"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95"/>
      <c r="Q41" s="1351" t="str">
        <f t="shared" si="14"/>
        <v>宗地开发程度</v>
      </c>
      <c r="R41" s="700" t="s">
        <v>14</v>
      </c>
      <c r="S41" s="701">
        <f t="shared" si="10"/>
        <v>100</v>
      </c>
      <c r="T41" s="700" t="s">
        <v>14</v>
      </c>
      <c r="U41" s="701">
        <f t="shared" si="11"/>
        <v>100</v>
      </c>
      <c r="V41" s="700" t="s">
        <v>14</v>
      </c>
      <c r="W41" s="701">
        <f t="shared" si="12"/>
        <v>100</v>
      </c>
      <c r="X41" s="702"/>
      <c r="Y41" s="3795"/>
      <c r="Z41" s="51"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95" t="s">
        <v>1695</v>
      </c>
      <c r="Q42" s="1351" t="str">
        <f t="shared" si="14"/>
        <v>工程地质条件</v>
      </c>
      <c r="R42" s="704" t="s">
        <v>14</v>
      </c>
      <c r="S42" s="705">
        <f t="shared" si="10"/>
        <v>100</v>
      </c>
      <c r="T42" s="704" t="s">
        <v>14</v>
      </c>
      <c r="U42" s="705">
        <f t="shared" si="11"/>
        <v>100</v>
      </c>
      <c r="V42" s="704" t="s">
        <v>14</v>
      </c>
      <c r="W42" s="705">
        <f t="shared" si="12"/>
        <v>100</v>
      </c>
      <c r="X42" s="1354"/>
      <c r="Y42" s="3795"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95"/>
      <c r="Q43" s="1351">
        <f t="shared" si="14"/>
        <v>111</v>
      </c>
      <c r="R43" s="704" t="s">
        <v>14</v>
      </c>
      <c r="S43" s="705">
        <f t="shared" si="10"/>
        <v>100</v>
      </c>
      <c r="T43" s="704" t="s">
        <v>14</v>
      </c>
      <c r="U43" s="705">
        <f t="shared" si="11"/>
        <v>100</v>
      </c>
      <c r="V43" s="704" t="s">
        <v>14</v>
      </c>
      <c r="W43" s="705">
        <f t="shared" si="12"/>
        <v>100</v>
      </c>
      <c r="X43" s="1354"/>
      <c r="Y43" s="3795"/>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95"/>
      <c r="Q44" s="1351">
        <f t="shared" si="14"/>
        <v>111</v>
      </c>
      <c r="R44" s="704" t="s">
        <v>14</v>
      </c>
      <c r="S44" s="705">
        <f t="shared" si="10"/>
        <v>100</v>
      </c>
      <c r="T44" s="704" t="s">
        <v>14</v>
      </c>
      <c r="U44" s="705">
        <f t="shared" si="11"/>
        <v>100</v>
      </c>
      <c r="V44" s="704" t="s">
        <v>14</v>
      </c>
      <c r="W44" s="705">
        <f t="shared" si="12"/>
        <v>100</v>
      </c>
      <c r="X44" s="1354"/>
      <c r="Y44" s="3795"/>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95"/>
      <c r="Q45" s="1351">
        <f t="shared" si="14"/>
        <v>111</v>
      </c>
      <c r="R45" s="707" t="s">
        <v>14</v>
      </c>
      <c r="S45" s="708">
        <f t="shared" si="10"/>
        <v>100</v>
      </c>
      <c r="T45" s="707" t="s">
        <v>14</v>
      </c>
      <c r="U45" s="708">
        <f t="shared" si="11"/>
        <v>100</v>
      </c>
      <c r="V45" s="707" t="s">
        <v>14</v>
      </c>
      <c r="W45" s="708">
        <f t="shared" si="12"/>
        <v>100</v>
      </c>
      <c r="X45" s="709"/>
      <c r="Y45" s="3795"/>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3"/>
      <c r="M46" s="2724"/>
      <c r="N46" s="2715"/>
      <c r="O46" s="2724"/>
      <c r="P46" s="3788" t="str">
        <f>A46</f>
        <v>成交单价</v>
      </c>
      <c r="Q46" s="3788"/>
      <c r="R46" s="3783">
        <f>E46</f>
        <v>0</v>
      </c>
      <c r="S46" s="3783"/>
      <c r="T46" s="3783">
        <f>G46</f>
        <v>0</v>
      </c>
      <c r="U46" s="3783"/>
      <c r="V46" s="3783">
        <f>I46</f>
        <v>0</v>
      </c>
      <c r="W46" s="3783"/>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788" t="str">
        <f>A47</f>
        <v>比较价值（元/平方米）</v>
      </c>
      <c r="Q47" s="3788"/>
      <c r="R47" s="3816" t="e">
        <f>ROUND(PRODUCT(R46,AA7:AA45),0)</f>
        <v>#DIV/0!</v>
      </c>
      <c r="S47" s="3816"/>
      <c r="T47" s="3816" t="e">
        <f>ROUND(PRODUCT(T46,AB7:AB45),0)</f>
        <v>#DIV/0!</v>
      </c>
      <c r="U47" s="3816"/>
      <c r="V47" s="3816" t="e">
        <f>ROUND(PRODUCT(V46,AC7:AC45),0)</f>
        <v>#DIV/0!</v>
      </c>
      <c r="W47" s="3816"/>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3"/>
      <c r="M48" s="2724"/>
      <c r="N48" s="2724"/>
      <c r="O48" s="2724"/>
      <c r="P48" s="3785" t="str">
        <f>A48</f>
        <v>估价对象XX用房的比较价值（楼面单价，元/平方米）</v>
      </c>
      <c r="Q48" s="3786"/>
      <c r="R48" s="3817" t="e">
        <f>ROUND(IF(D47="简单平均",AVERAGE(R47:W47),R47*F47+T47*H47+V47*J47),0)</f>
        <v>#DIV/0!</v>
      </c>
      <c r="S48" s="3817"/>
      <c r="T48" s="3817"/>
      <c r="U48" s="3817"/>
      <c r="V48" s="3817"/>
      <c r="W48" s="381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1880</v>
      </c>
      <c r="B55" s="632" t="s">
        <v>1881</v>
      </c>
      <c r="C55" s="1982" t="s">
        <v>1882</v>
      </c>
      <c r="D55" s="1983" t="s">
        <v>1883</v>
      </c>
      <c r="E55" s="633" t="s">
        <v>1884</v>
      </c>
      <c r="F55" s="889" t="s">
        <v>1885</v>
      </c>
      <c r="G55" s="3771" t="s">
        <v>1886</v>
      </c>
      <c r="H55" s="3818"/>
      <c r="I55" s="134"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1889</v>
      </c>
      <c r="B56" s="636" t="e">
        <f>C48</f>
        <v>#DIV/0!</v>
      </c>
      <c r="C56" s="637">
        <v>1</v>
      </c>
      <c r="D56" s="943">
        <v>1</v>
      </c>
      <c r="E56" s="637">
        <f>'数据-汇总表'!E8+'数据-汇总表'!E9</f>
        <v>28627.21</v>
      </c>
      <c r="F56" s="885" t="e">
        <f t="shared" ref="F56:F64" si="15">ROUND(B56*E56/10000,0)</f>
        <v>#DIV/0!</v>
      </c>
      <c r="G56" s="3770"/>
      <c r="H56" s="378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1890</v>
      </c>
      <c r="B57" s="217" t="e">
        <f>ROUND($C$48*C57*D57,0)</f>
        <v>#DIV/0!</v>
      </c>
      <c r="C57" s="170">
        <f t="shared" ref="C57:C64" si="16">IF($C$55="北京市系数",I57,J57)</f>
        <v>0</v>
      </c>
      <c r="D57" s="944">
        <v>0.25</v>
      </c>
      <c r="E57" s="641"/>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1892</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1893</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1902</v>
      </c>
      <c r="B65" s="643" t="s">
        <v>22</v>
      </c>
      <c r="C65" s="643" t="s">
        <v>23</v>
      </c>
      <c r="D65" s="643" t="s">
        <v>392</v>
      </c>
      <c r="E65" s="643">
        <f>IF(B46="楼面地价",SUM(E56:E64),'数据-汇总表'!D3)</f>
        <v>28627.21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1715</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1680</v>
      </c>
      <c r="B72" s="458"/>
      <c r="C72" s="470" t="s">
        <v>1775</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1718</v>
      </c>
      <c r="B74" s="476" t="s">
        <v>1684</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1687</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1689</v>
      </c>
      <c r="B87" s="476" t="s">
        <v>1719</v>
      </c>
      <c r="C87" s="521" t="s">
        <v>1720</v>
      </c>
      <c r="D87" s="521" t="s">
        <v>1721</v>
      </c>
      <c r="E87" s="521" t="s">
        <v>1722</v>
      </c>
      <c r="F87" s="521" t="s">
        <v>1723</v>
      </c>
      <c r="G87" s="521" t="s">
        <v>1724</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1905</v>
      </c>
      <c r="C89" s="526" t="s">
        <v>1720</v>
      </c>
      <c r="D89" s="526" t="s">
        <v>1721</v>
      </c>
      <c r="E89" s="526" t="s">
        <v>1722</v>
      </c>
      <c r="F89" s="526" t="s">
        <v>1723</v>
      </c>
      <c r="G89" s="526" t="s">
        <v>1724</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1820</v>
      </c>
      <c r="C91" s="526" t="s">
        <v>1720</v>
      </c>
      <c r="D91" s="526" t="s">
        <v>1721</v>
      </c>
      <c r="E91" s="526" t="s">
        <v>1722</v>
      </c>
      <c r="F91" s="526" t="s">
        <v>1723</v>
      </c>
      <c r="G91" s="526" t="s">
        <v>1724</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1725</v>
      </c>
      <c r="C93" s="526" t="s">
        <v>1720</v>
      </c>
      <c r="D93" s="526" t="s">
        <v>1721</v>
      </c>
      <c r="E93" s="526" t="s">
        <v>1722</v>
      </c>
      <c r="F93" s="526" t="s">
        <v>1723</v>
      </c>
      <c r="G93" s="526" t="s">
        <v>1724</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1906</v>
      </c>
      <c r="C95" s="526" t="s">
        <v>1720</v>
      </c>
      <c r="D95" s="526" t="s">
        <v>1721</v>
      </c>
      <c r="E95" s="526" t="s">
        <v>1722</v>
      </c>
      <c r="F95" s="526" t="s">
        <v>1723</v>
      </c>
      <c r="G95" s="526" t="s">
        <v>1724</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1907</v>
      </c>
      <c r="C97" s="521" t="s">
        <v>1720</v>
      </c>
      <c r="D97" s="521" t="s">
        <v>1721</v>
      </c>
      <c r="E97" s="521" t="s">
        <v>1722</v>
      </c>
      <c r="F97" s="521" t="s">
        <v>1723</v>
      </c>
      <c r="G97" s="521" t="s">
        <v>1724</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1814</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1872</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1913</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1914</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1915</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1916</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58" t="s">
        <v>1770</v>
      </c>
      <c r="S4" s="3759"/>
      <c r="T4" s="3758" t="s">
        <v>1771</v>
      </c>
      <c r="U4" s="3759"/>
      <c r="V4" s="3783" t="s">
        <v>1772</v>
      </c>
      <c r="W4" s="3783"/>
      <c r="X4" s="1354"/>
      <c r="Y4" s="3758" t="s">
        <v>1774</v>
      </c>
      <c r="Z4" s="3759"/>
      <c r="AA4" s="3753" t="s">
        <v>1770</v>
      </c>
      <c r="AB4" s="3754" t="s">
        <v>1771</v>
      </c>
      <c r="AC4" s="3753" t="s">
        <v>1772</v>
      </c>
    </row>
    <row r="5" spans="1:29" ht="15">
      <c r="A5" s="357"/>
      <c r="B5" s="358"/>
      <c r="C5" s="3764" t="s">
        <v>1672</v>
      </c>
      <c r="D5" s="3765"/>
      <c r="E5" s="3762" t="s">
        <v>1673</v>
      </c>
      <c r="F5" s="3763"/>
      <c r="G5" s="3764" t="s">
        <v>1674</v>
      </c>
      <c r="H5" s="3765"/>
      <c r="I5" s="3764" t="s">
        <v>1675</v>
      </c>
      <c r="J5" s="3765"/>
      <c r="K5" s="558"/>
      <c r="L5" s="2714"/>
      <c r="M5" s="2715"/>
      <c r="N5" s="2715"/>
      <c r="O5" s="2715"/>
      <c r="P5" s="3777"/>
      <c r="Q5" s="3778"/>
      <c r="R5" s="3760"/>
      <c r="S5" s="3761"/>
      <c r="T5" s="3760"/>
      <c r="U5" s="3761"/>
      <c r="V5" s="3783"/>
      <c r="W5" s="3783"/>
      <c r="X5" s="1354"/>
      <c r="Y5" s="3760"/>
      <c r="Z5" s="3761"/>
      <c r="AA5" s="3754"/>
      <c r="AB5" s="3754"/>
      <c r="AC5" s="3754"/>
    </row>
    <row r="6" spans="1:29" ht="15.75" thickBot="1">
      <c r="A6" s="359"/>
      <c r="B6" s="360"/>
      <c r="C6" s="3819" t="s">
        <v>1918</v>
      </c>
      <c r="D6" s="3820"/>
      <c r="E6" s="3821" t="s">
        <v>1918</v>
      </c>
      <c r="F6" s="3822"/>
      <c r="G6" s="3819" t="s">
        <v>1918</v>
      </c>
      <c r="H6" s="3820"/>
      <c r="I6" s="3819" t="s">
        <v>1918</v>
      </c>
      <c r="J6" s="3820"/>
      <c r="K6" s="558" t="s">
        <v>1677</v>
      </c>
      <c r="L6" s="2714"/>
      <c r="M6" s="2715"/>
      <c r="N6" s="2715"/>
      <c r="O6" s="2715"/>
      <c r="P6" s="3779"/>
      <c r="Q6" s="3780"/>
      <c r="R6" s="3760"/>
      <c r="S6" s="3761"/>
      <c r="T6" s="3781"/>
      <c r="U6" s="3782"/>
      <c r="V6" s="3783"/>
      <c r="W6" s="3783"/>
      <c r="X6" s="1354"/>
      <c r="Y6" s="3781"/>
      <c r="Z6" s="3782"/>
      <c r="AA6" s="3755"/>
      <c r="AB6" s="3755"/>
      <c r="AC6" s="3755"/>
    </row>
    <row r="7" spans="1:29" s="107" customFormat="1" ht="15.75" thickBot="1">
      <c r="A7" s="361" t="s">
        <v>1678</v>
      </c>
      <c r="B7" s="362"/>
      <c r="C7" s="363">
        <f>'数据-取费表'!B2</f>
        <v>45120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56" t="s">
        <v>1679</v>
      </c>
      <c r="Q7" s="3784"/>
      <c r="R7" s="700" t="s">
        <v>14</v>
      </c>
      <c r="S7" s="701">
        <f t="shared" ref="S7:S15" si="0">F7</f>
        <v>0</v>
      </c>
      <c r="T7" s="700" t="s">
        <v>14</v>
      </c>
      <c r="U7" s="701">
        <f t="shared" ref="U7:U15" si="1">H7</f>
        <v>0</v>
      </c>
      <c r="V7" s="700" t="s">
        <v>14</v>
      </c>
      <c r="W7" s="701">
        <f t="shared" ref="W7:W15" si="2">J7</f>
        <v>0</v>
      </c>
      <c r="X7" s="702"/>
      <c r="Y7" s="3756" t="s">
        <v>1679</v>
      </c>
      <c r="Z7" s="3757"/>
      <c r="AA7" s="703" t="e">
        <f>D7/F7</f>
        <v>#DIV/0!</v>
      </c>
      <c r="AB7" s="703" t="e">
        <f>D7/H7</f>
        <v>#DIV/0!</v>
      </c>
      <c r="AC7" s="703" t="e">
        <f>D7/J7</f>
        <v>#DIV/0!</v>
      </c>
    </row>
    <row r="8" spans="1:29" s="107"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56" t="s">
        <v>1682</v>
      </c>
      <c r="Q8" s="3757"/>
      <c r="R8" s="700" t="s">
        <v>14</v>
      </c>
      <c r="S8" s="701">
        <f t="shared" si="0"/>
        <v>0</v>
      </c>
      <c r="T8" s="700" t="s">
        <v>14</v>
      </c>
      <c r="U8" s="701">
        <f t="shared" si="1"/>
        <v>0</v>
      </c>
      <c r="V8" s="700" t="s">
        <v>14</v>
      </c>
      <c r="W8" s="701">
        <f t="shared" si="2"/>
        <v>0</v>
      </c>
      <c r="X8" s="702"/>
      <c r="Y8" s="3756" t="s">
        <v>1682</v>
      </c>
      <c r="Z8" s="3757"/>
      <c r="AA8" s="703" t="e">
        <f t="shared" ref="AA8:AA40" si="3">D8/F8</f>
        <v>#DIV/0!</v>
      </c>
      <c r="AB8" s="703" t="e">
        <f t="shared" ref="AB8:AB40" si="4">D8/H8</f>
        <v>#DIV/0!</v>
      </c>
      <c r="AC8" s="703" t="e">
        <f t="shared" ref="AC8:AC40" si="5">D8/J8</f>
        <v>#DIV/0!</v>
      </c>
    </row>
    <row r="9" spans="1:29" s="107" customFormat="1">
      <c r="A9" s="368" t="s">
        <v>1683</v>
      </c>
      <c r="B9" s="62" t="s">
        <v>1684</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88" t="s">
        <v>1685</v>
      </c>
      <c r="Q9" s="1342" t="str">
        <f t="shared" ref="Q9:Q15" si="6">B9</f>
        <v>用途</v>
      </c>
      <c r="R9" s="700" t="s">
        <v>14</v>
      </c>
      <c r="S9" s="701">
        <f t="shared" si="0"/>
        <v>100</v>
      </c>
      <c r="T9" s="700" t="s">
        <v>14</v>
      </c>
      <c r="U9" s="701">
        <f t="shared" si="1"/>
        <v>100</v>
      </c>
      <c r="V9" s="700" t="s">
        <v>14</v>
      </c>
      <c r="W9" s="701">
        <f t="shared" si="2"/>
        <v>100</v>
      </c>
      <c r="X9" s="702"/>
      <c r="Y9" s="3700" t="s">
        <v>1686</v>
      </c>
      <c r="Z9" s="51"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114</v>
      </c>
      <c r="G10" s="382"/>
      <c r="H10" s="126">
        <f>ROUND(100/'数据-取费表'!G16,0)</f>
        <v>114</v>
      </c>
      <c r="I10" s="382"/>
      <c r="J10" s="126">
        <f>ROUND(100/'数据-取费表'!G16,0)</f>
        <v>114</v>
      </c>
      <c r="K10" s="619"/>
      <c r="L10" s="2718"/>
      <c r="M10" s="2719"/>
      <c r="N10" s="2719"/>
      <c r="O10" s="2772"/>
      <c r="P10" s="3788"/>
      <c r="Q10" s="1342" t="str">
        <f t="shared" si="6"/>
        <v>土地使用年限（年）</v>
      </c>
      <c r="R10" s="700" t="s">
        <v>14</v>
      </c>
      <c r="S10" s="701">
        <f t="shared" si="0"/>
        <v>114</v>
      </c>
      <c r="T10" s="700" t="s">
        <v>14</v>
      </c>
      <c r="U10" s="701">
        <f t="shared" si="1"/>
        <v>114</v>
      </c>
      <c r="V10" s="700" t="s">
        <v>14</v>
      </c>
      <c r="W10" s="701">
        <f t="shared" si="2"/>
        <v>114</v>
      </c>
      <c r="X10" s="702"/>
      <c r="Y10" s="3700"/>
      <c r="Z10" s="51" t="str">
        <f t="shared" si="7"/>
        <v>土地使用年限（年）</v>
      </c>
      <c r="AA10" s="703">
        <f t="shared" si="3"/>
        <v>0.8771929824561403</v>
      </c>
      <c r="AB10" s="703">
        <f t="shared" si="4"/>
        <v>0.8771929824561403</v>
      </c>
      <c r="AC10" s="703">
        <f t="shared" si="5"/>
        <v>0.8771929824561403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88"/>
      <c r="Q11" s="1342" t="str">
        <f t="shared" si="6"/>
        <v>容积率</v>
      </c>
      <c r="R11" s="700" t="s">
        <v>14</v>
      </c>
      <c r="S11" s="701" t="e">
        <f t="shared" si="0"/>
        <v>#N/A</v>
      </c>
      <c r="T11" s="700" t="s">
        <v>14</v>
      </c>
      <c r="U11" s="701" t="e">
        <f t="shared" si="1"/>
        <v>#N/A</v>
      </c>
      <c r="V11" s="700" t="s">
        <v>14</v>
      </c>
      <c r="W11" s="701" t="e">
        <f t="shared" si="2"/>
        <v>#N/A</v>
      </c>
      <c r="X11" s="702"/>
      <c r="Y11" s="3700"/>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88"/>
      <c r="Q12" s="1342">
        <f t="shared" si="6"/>
        <v>111</v>
      </c>
      <c r="R12" s="700" t="s">
        <v>14</v>
      </c>
      <c r="S12" s="701">
        <f t="shared" si="0"/>
        <v>100</v>
      </c>
      <c r="T12" s="700" t="s">
        <v>14</v>
      </c>
      <c r="U12" s="701">
        <f t="shared" si="1"/>
        <v>100</v>
      </c>
      <c r="V12" s="700" t="s">
        <v>14</v>
      </c>
      <c r="W12" s="701">
        <f t="shared" si="2"/>
        <v>100</v>
      </c>
      <c r="X12" s="702"/>
      <c r="Y12" s="3700"/>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88"/>
      <c r="Q13" s="1342">
        <f t="shared" si="6"/>
        <v>111</v>
      </c>
      <c r="R13" s="700" t="s">
        <v>14</v>
      </c>
      <c r="S13" s="701">
        <f t="shared" si="0"/>
        <v>100</v>
      </c>
      <c r="T13" s="700" t="s">
        <v>14</v>
      </c>
      <c r="U13" s="701">
        <f t="shared" si="1"/>
        <v>100</v>
      </c>
      <c r="V13" s="700" t="s">
        <v>14</v>
      </c>
      <c r="W13" s="701">
        <f t="shared" si="2"/>
        <v>100</v>
      </c>
      <c r="X13" s="702"/>
      <c r="Y13" s="3700"/>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88"/>
      <c r="Q14" s="1342">
        <f t="shared" si="6"/>
        <v>111</v>
      </c>
      <c r="R14" s="700" t="s">
        <v>14</v>
      </c>
      <c r="S14" s="701">
        <f t="shared" si="0"/>
        <v>100</v>
      </c>
      <c r="T14" s="700" t="s">
        <v>14</v>
      </c>
      <c r="U14" s="701">
        <f t="shared" si="1"/>
        <v>100</v>
      </c>
      <c r="V14" s="700" t="s">
        <v>14</v>
      </c>
      <c r="W14" s="701">
        <f t="shared" si="2"/>
        <v>100</v>
      </c>
      <c r="X14" s="702"/>
      <c r="Y14" s="3700"/>
      <c r="Z14" s="51">
        <f t="shared" si="7"/>
        <v>111</v>
      </c>
      <c r="AA14" s="703">
        <f t="shared" si="3"/>
        <v>1</v>
      </c>
      <c r="AB14" s="703">
        <f t="shared" si="4"/>
        <v>1</v>
      </c>
      <c r="AC14" s="703">
        <f t="shared" si="5"/>
        <v>1</v>
      </c>
    </row>
    <row r="15" spans="1:29" ht="57">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90" t="s">
        <v>1690</v>
      </c>
      <c r="Q15" s="1351" t="str">
        <f t="shared" si="6"/>
        <v>产业集聚程度</v>
      </c>
      <c r="R15" s="704" t="s">
        <v>14</v>
      </c>
      <c r="S15" s="705">
        <f t="shared" si="0"/>
        <v>100</v>
      </c>
      <c r="T15" s="704" t="s">
        <v>14</v>
      </c>
      <c r="U15" s="705">
        <f t="shared" si="1"/>
        <v>100</v>
      </c>
      <c r="V15" s="704" t="s">
        <v>14</v>
      </c>
      <c r="W15" s="705">
        <f t="shared" si="2"/>
        <v>100</v>
      </c>
      <c r="X15" s="1354"/>
      <c r="Y15" s="3790"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91"/>
      <c r="Q16" s="1351"/>
      <c r="R16" s="704"/>
      <c r="S16" s="705"/>
      <c r="T16" s="704"/>
      <c r="U16" s="705"/>
      <c r="V16" s="704"/>
      <c r="W16" s="705"/>
      <c r="X16" s="1354"/>
      <c r="Y16" s="3791"/>
      <c r="Z16" s="1355"/>
      <c r="AA16" s="1352">
        <v>1</v>
      </c>
      <c r="AB16" s="1352">
        <v>1</v>
      </c>
      <c r="AC16" s="1352">
        <v>1</v>
      </c>
    </row>
    <row r="17" spans="1:29" ht="85.5">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91"/>
      <c r="Q17" s="1351" t="str">
        <f>B17</f>
        <v>交通便捷度</v>
      </c>
      <c r="R17" s="704" t="s">
        <v>14</v>
      </c>
      <c r="S17" s="705">
        <f>F17</f>
        <v>100</v>
      </c>
      <c r="T17" s="704" t="s">
        <v>14</v>
      </c>
      <c r="U17" s="705">
        <f>H17</f>
        <v>100</v>
      </c>
      <c r="V17" s="704" t="s">
        <v>14</v>
      </c>
      <c r="W17" s="705">
        <f>J17</f>
        <v>100</v>
      </c>
      <c r="X17" s="1354"/>
      <c r="Y17" s="3791"/>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91"/>
      <c r="Q18" s="1351"/>
      <c r="R18" s="704"/>
      <c r="S18" s="705"/>
      <c r="T18" s="704"/>
      <c r="U18" s="705"/>
      <c r="V18" s="704"/>
      <c r="W18" s="705"/>
      <c r="X18" s="1354"/>
      <c r="Y18" s="3791"/>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91"/>
      <c r="Q19" s="1351" t="str">
        <f t="shared" ref="Q19:Q33" si="8">B19</f>
        <v>区域土地利用方向</v>
      </c>
      <c r="R19" s="704" t="s">
        <v>14</v>
      </c>
      <c r="S19" s="705">
        <f>F19</f>
        <v>100</v>
      </c>
      <c r="T19" s="704" t="s">
        <v>14</v>
      </c>
      <c r="U19" s="705">
        <f>H19</f>
        <v>100</v>
      </c>
      <c r="V19" s="704" t="s">
        <v>14</v>
      </c>
      <c r="W19" s="705">
        <f>J19</f>
        <v>100</v>
      </c>
      <c r="X19" s="1354"/>
      <c r="Y19" s="3791"/>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91"/>
      <c r="Q20" s="1351"/>
      <c r="R20" s="704"/>
      <c r="S20" s="705"/>
      <c r="T20" s="704"/>
      <c r="U20" s="705"/>
      <c r="V20" s="704"/>
      <c r="W20" s="705"/>
      <c r="X20" s="1354"/>
      <c r="Y20" s="3791"/>
      <c r="Z20" s="1355"/>
      <c r="AA20" s="1352"/>
      <c r="AB20" s="1352"/>
      <c r="AC20" s="1352"/>
    </row>
    <row r="21" spans="1:29" ht="71.25">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91"/>
      <c r="Q21" s="1351" t="str">
        <f t="shared" si="8"/>
        <v>环境状况</v>
      </c>
      <c r="R21" s="704" t="s">
        <v>14</v>
      </c>
      <c r="S21" s="705">
        <f>F21</f>
        <v>100</v>
      </c>
      <c r="T21" s="704" t="s">
        <v>14</v>
      </c>
      <c r="U21" s="705">
        <f>H21</f>
        <v>100</v>
      </c>
      <c r="V21" s="704" t="s">
        <v>14</v>
      </c>
      <c r="W21" s="705">
        <f>J21</f>
        <v>100</v>
      </c>
      <c r="X21" s="1354"/>
      <c r="Y21" s="3791"/>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91"/>
      <c r="Q22" s="1351"/>
      <c r="R22" s="704"/>
      <c r="S22" s="705"/>
      <c r="T22" s="704"/>
      <c r="U22" s="705"/>
      <c r="V22" s="704"/>
      <c r="W22" s="705"/>
      <c r="X22" s="1354"/>
      <c r="Y22" s="3791"/>
      <c r="Z22" s="1355"/>
      <c r="AA22" s="1352">
        <v>1</v>
      </c>
      <c r="AB22" s="1352">
        <v>1</v>
      </c>
      <c r="AC22" s="1352">
        <v>1</v>
      </c>
    </row>
    <row r="23" spans="1:29" s="107" customFormat="1" ht="42.75">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91"/>
      <c r="Q23" s="1342" t="str">
        <f t="shared" si="8"/>
        <v>公共配套设施</v>
      </c>
      <c r="R23" s="700" t="s">
        <v>14</v>
      </c>
      <c r="S23" s="701">
        <f>F23</f>
        <v>100</v>
      </c>
      <c r="T23" s="700" t="s">
        <v>14</v>
      </c>
      <c r="U23" s="701">
        <f>H23</f>
        <v>100</v>
      </c>
      <c r="V23" s="700" t="s">
        <v>14</v>
      </c>
      <c r="W23" s="701">
        <f>J23</f>
        <v>100</v>
      </c>
      <c r="X23" s="702"/>
      <c r="Y23" s="3791"/>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91"/>
      <c r="Q24" s="1342"/>
      <c r="R24" s="700"/>
      <c r="S24" s="701"/>
      <c r="T24" s="700"/>
      <c r="U24" s="701"/>
      <c r="V24" s="700"/>
      <c r="W24" s="701"/>
      <c r="X24" s="702"/>
      <c r="Y24" s="3791"/>
      <c r="Z24" s="51"/>
      <c r="AA24" s="703">
        <v>1</v>
      </c>
      <c r="AB24" s="703">
        <v>1</v>
      </c>
      <c r="AC24" s="703">
        <v>1</v>
      </c>
    </row>
    <row r="25" spans="1:29" s="107" customFormat="1" ht="28.5">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91"/>
      <c r="Q25" s="1342" t="str">
        <f t="shared" ref="Q25" si="9">B25</f>
        <v>基础设施水平</v>
      </c>
      <c r="R25" s="700" t="s">
        <v>14</v>
      </c>
      <c r="S25" s="701">
        <f>F25</f>
        <v>100</v>
      </c>
      <c r="T25" s="700" t="s">
        <v>14</v>
      </c>
      <c r="U25" s="701">
        <f>H25</f>
        <v>100</v>
      </c>
      <c r="V25" s="700" t="s">
        <v>14</v>
      </c>
      <c r="W25" s="701">
        <f>J25</f>
        <v>100</v>
      </c>
      <c r="X25" s="702"/>
      <c r="Y25" s="3791"/>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91"/>
      <c r="Q26" s="1342"/>
      <c r="R26" s="700"/>
      <c r="S26" s="701"/>
      <c r="T26" s="700"/>
      <c r="U26" s="701"/>
      <c r="V26" s="700"/>
      <c r="W26" s="701"/>
      <c r="X26" s="702"/>
      <c r="Y26" s="3791"/>
      <c r="Z26" s="51"/>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9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91"/>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91"/>
      <c r="Q28" s="1351" t="str">
        <f t="shared" si="8"/>
        <v>毗邻道路的类型与等级</v>
      </c>
      <c r="R28" s="704" t="s">
        <v>14</v>
      </c>
      <c r="S28" s="705">
        <f t="shared" si="10"/>
        <v>100</v>
      </c>
      <c r="T28" s="704" t="s">
        <v>14</v>
      </c>
      <c r="U28" s="705">
        <f t="shared" si="11"/>
        <v>100</v>
      </c>
      <c r="V28" s="704" t="s">
        <v>14</v>
      </c>
      <c r="W28" s="705">
        <f t="shared" si="12"/>
        <v>100</v>
      </c>
      <c r="X28" s="1354"/>
      <c r="Y28" s="3791"/>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91"/>
      <c r="Q29" s="1351"/>
      <c r="R29" s="704"/>
      <c r="S29" s="705"/>
      <c r="T29" s="704"/>
      <c r="U29" s="705"/>
      <c r="V29" s="704"/>
      <c r="W29" s="705"/>
      <c r="X29" s="1354"/>
      <c r="Y29" s="3791"/>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91"/>
      <c r="Q30" s="1351" t="str">
        <f t="shared" si="8"/>
        <v>土地级别</v>
      </c>
      <c r="R30" s="704" t="s">
        <v>14</v>
      </c>
      <c r="S30" s="705">
        <f t="shared" si="10"/>
        <v>100</v>
      </c>
      <c r="T30" s="704" t="s">
        <v>14</v>
      </c>
      <c r="U30" s="705">
        <f t="shared" si="11"/>
        <v>100</v>
      </c>
      <c r="V30" s="704" t="s">
        <v>14</v>
      </c>
      <c r="W30" s="705">
        <f t="shared" si="12"/>
        <v>100</v>
      </c>
      <c r="X30" s="1354"/>
      <c r="Y30" s="3791"/>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91"/>
      <c r="Q31" s="1351">
        <f t="shared" si="8"/>
        <v>111</v>
      </c>
      <c r="R31" s="704" t="s">
        <v>14</v>
      </c>
      <c r="S31" s="705">
        <f t="shared" si="10"/>
        <v>100</v>
      </c>
      <c r="T31" s="704" t="s">
        <v>14</v>
      </c>
      <c r="U31" s="705">
        <f t="shared" si="11"/>
        <v>100</v>
      </c>
      <c r="V31" s="704" t="s">
        <v>14</v>
      </c>
      <c r="W31" s="705">
        <f t="shared" si="12"/>
        <v>100</v>
      </c>
      <c r="X31" s="1354"/>
      <c r="Y31" s="3791"/>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814" t="s">
        <v>1695</v>
      </c>
      <c r="Q32" s="1351">
        <f t="shared" si="8"/>
        <v>111</v>
      </c>
      <c r="R32" s="704" t="s">
        <v>14</v>
      </c>
      <c r="S32" s="705">
        <f t="shared" si="10"/>
        <v>100</v>
      </c>
      <c r="T32" s="704" t="s">
        <v>14</v>
      </c>
      <c r="U32" s="705">
        <f t="shared" si="11"/>
        <v>100</v>
      </c>
      <c r="V32" s="704" t="s">
        <v>14</v>
      </c>
      <c r="W32" s="705">
        <f t="shared" si="12"/>
        <v>100</v>
      </c>
      <c r="X32" s="1354"/>
      <c r="Y32" s="3795"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95"/>
      <c r="Q33" s="1351">
        <f t="shared" si="8"/>
        <v>111</v>
      </c>
      <c r="R33" s="707" t="s">
        <v>14</v>
      </c>
      <c r="S33" s="708">
        <f t="shared" si="10"/>
        <v>100</v>
      </c>
      <c r="T33" s="707" t="s">
        <v>14</v>
      </c>
      <c r="U33" s="708">
        <f t="shared" si="11"/>
        <v>100</v>
      </c>
      <c r="V33" s="707" t="s">
        <v>14</v>
      </c>
      <c r="W33" s="708">
        <f t="shared" si="12"/>
        <v>100</v>
      </c>
      <c r="X33" s="709"/>
      <c r="Y33" s="3795"/>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95"/>
      <c r="Q34" s="1351" t="str">
        <f>B34</f>
        <v>宗地面积</v>
      </c>
      <c r="R34" s="704" t="s">
        <v>14</v>
      </c>
      <c r="S34" s="705" t="e">
        <f t="shared" si="10"/>
        <v>#N/A</v>
      </c>
      <c r="T34" s="704" t="s">
        <v>14</v>
      </c>
      <c r="U34" s="705" t="e">
        <f t="shared" si="11"/>
        <v>#N/A</v>
      </c>
      <c r="V34" s="704" t="s">
        <v>14</v>
      </c>
      <c r="W34" s="705" t="e">
        <f t="shared" si="12"/>
        <v>#N/A</v>
      </c>
      <c r="X34" s="1354"/>
      <c r="Y34" s="3795"/>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95"/>
      <c r="Q35" s="1351" t="str">
        <f t="shared" ref="Q35:Q40" si="14">B35</f>
        <v>宗地形状</v>
      </c>
      <c r="R35" s="704" t="s">
        <v>14</v>
      </c>
      <c r="S35" s="705">
        <f t="shared" si="10"/>
        <v>100</v>
      </c>
      <c r="T35" s="704" t="s">
        <v>14</v>
      </c>
      <c r="U35" s="705">
        <f t="shared" si="11"/>
        <v>100</v>
      </c>
      <c r="V35" s="704" t="s">
        <v>14</v>
      </c>
      <c r="W35" s="705">
        <f t="shared" si="12"/>
        <v>100</v>
      </c>
      <c r="X35" s="1354"/>
      <c r="Y35" s="3795"/>
      <c r="Z35" s="1355" t="str">
        <f t="shared" si="13"/>
        <v>宗地形状</v>
      </c>
      <c r="AA35" s="1352">
        <f t="shared" si="3"/>
        <v>1</v>
      </c>
      <c r="AB35" s="1352">
        <f t="shared" si="4"/>
        <v>1</v>
      </c>
      <c r="AC35" s="1352">
        <f t="shared" si="5"/>
        <v>1</v>
      </c>
    </row>
    <row r="36" spans="1:31" s="107"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95"/>
      <c r="Q36" s="1351" t="str">
        <f t="shared" si="14"/>
        <v>宗地开发程度</v>
      </c>
      <c r="R36" s="700" t="s">
        <v>14</v>
      </c>
      <c r="S36" s="701">
        <f t="shared" si="10"/>
        <v>100</v>
      </c>
      <c r="T36" s="700" t="s">
        <v>14</v>
      </c>
      <c r="U36" s="701">
        <f t="shared" si="11"/>
        <v>100</v>
      </c>
      <c r="V36" s="700" t="s">
        <v>14</v>
      </c>
      <c r="W36" s="701">
        <f t="shared" si="12"/>
        <v>100</v>
      </c>
      <c r="X36" s="702"/>
      <c r="Y36" s="3795"/>
      <c r="Z36" s="51"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95" t="s">
        <v>1695</v>
      </c>
      <c r="Q37" s="1351" t="str">
        <f t="shared" si="14"/>
        <v>工程地质条件</v>
      </c>
      <c r="R37" s="704" t="s">
        <v>14</v>
      </c>
      <c r="S37" s="705">
        <f t="shared" si="10"/>
        <v>100</v>
      </c>
      <c r="T37" s="704" t="s">
        <v>14</v>
      </c>
      <c r="U37" s="705">
        <f t="shared" si="11"/>
        <v>100</v>
      </c>
      <c r="V37" s="704" t="s">
        <v>14</v>
      </c>
      <c r="W37" s="705">
        <f t="shared" si="12"/>
        <v>100</v>
      </c>
      <c r="X37" s="1354"/>
      <c r="Y37" s="3795"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95"/>
      <c r="Q38" s="1351">
        <f t="shared" si="14"/>
        <v>111</v>
      </c>
      <c r="R38" s="704" t="s">
        <v>14</v>
      </c>
      <c r="S38" s="705">
        <f t="shared" si="10"/>
        <v>100</v>
      </c>
      <c r="T38" s="704" t="s">
        <v>14</v>
      </c>
      <c r="U38" s="705">
        <f t="shared" si="11"/>
        <v>100</v>
      </c>
      <c r="V38" s="704" t="s">
        <v>14</v>
      </c>
      <c r="W38" s="705">
        <f t="shared" si="12"/>
        <v>100</v>
      </c>
      <c r="X38" s="1354"/>
      <c r="Y38" s="3795"/>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95"/>
      <c r="Q39" s="1351">
        <f t="shared" si="14"/>
        <v>111</v>
      </c>
      <c r="R39" s="704" t="s">
        <v>14</v>
      </c>
      <c r="S39" s="705">
        <f t="shared" si="10"/>
        <v>100</v>
      </c>
      <c r="T39" s="704" t="s">
        <v>14</v>
      </c>
      <c r="U39" s="705">
        <f t="shared" si="11"/>
        <v>100</v>
      </c>
      <c r="V39" s="704" t="s">
        <v>14</v>
      </c>
      <c r="W39" s="705">
        <f t="shared" si="12"/>
        <v>100</v>
      </c>
      <c r="X39" s="1354"/>
      <c r="Y39" s="3795"/>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95"/>
      <c r="Q40" s="1351">
        <f t="shared" si="14"/>
        <v>111</v>
      </c>
      <c r="R40" s="707" t="s">
        <v>14</v>
      </c>
      <c r="S40" s="708">
        <f t="shared" si="10"/>
        <v>100</v>
      </c>
      <c r="T40" s="707" t="s">
        <v>14</v>
      </c>
      <c r="U40" s="708">
        <f t="shared" si="11"/>
        <v>100</v>
      </c>
      <c r="V40" s="707" t="s">
        <v>14</v>
      </c>
      <c r="W40" s="708">
        <f t="shared" si="12"/>
        <v>100</v>
      </c>
      <c r="X40" s="709"/>
      <c r="Y40" s="3795"/>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3"/>
      <c r="M41" s="2715"/>
      <c r="N41" s="2715"/>
      <c r="O41" s="2724"/>
      <c r="P41" s="3788" t="str">
        <f>A41</f>
        <v>成交单价</v>
      </c>
      <c r="Q41" s="3788"/>
      <c r="R41" s="3783">
        <f>E41</f>
        <v>0</v>
      </c>
      <c r="S41" s="3783"/>
      <c r="T41" s="3783">
        <f>G41</f>
        <v>0</v>
      </c>
      <c r="U41" s="3783"/>
      <c r="V41" s="3783">
        <f>I41</f>
        <v>0</v>
      </c>
      <c r="W41" s="3783"/>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788" t="str">
        <f>A42</f>
        <v>比较价值（元/平方米）</v>
      </c>
      <c r="Q42" s="3788"/>
      <c r="R42" s="3816" t="e">
        <f>ROUND(PRODUCT(R41,AA7:AA40),0)</f>
        <v>#DIV/0!</v>
      </c>
      <c r="S42" s="3816"/>
      <c r="T42" s="3816" t="e">
        <f>ROUND(PRODUCT(T41,AB7:AB40),0)</f>
        <v>#DIV/0!</v>
      </c>
      <c r="U42" s="3816"/>
      <c r="V42" s="3816" t="e">
        <f>ROUND(PRODUCT(V41,AC7:AC40),0)</f>
        <v>#DIV/0!</v>
      </c>
      <c r="W42" s="3816"/>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3"/>
      <c r="M43" s="2715"/>
      <c r="N43" s="2715"/>
      <c r="O43" s="2724"/>
      <c r="P43" s="3785" t="str">
        <f>A43</f>
        <v>估价对象XX用房的比较价值（楼面单价，元/平方米）</v>
      </c>
      <c r="Q43" s="3786"/>
      <c r="R43" s="3817" t="e">
        <f>ROUND(IF(D42="简单平均",AVERAGE(R42:W42),R42*F42+T42*H42+V42*J42),0)</f>
        <v>#DIV/0!</v>
      </c>
      <c r="S43" s="3817"/>
      <c r="T43" s="3817"/>
      <c r="U43" s="3817"/>
      <c r="V43" s="3817"/>
      <c r="W43" s="381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1880</v>
      </c>
      <c r="B50" s="632" t="s">
        <v>1881</v>
      </c>
      <c r="C50" s="1982" t="s">
        <v>1882</v>
      </c>
      <c r="D50" s="1983" t="s">
        <v>1883</v>
      </c>
      <c r="E50" s="633" t="s">
        <v>1884</v>
      </c>
      <c r="F50" s="634" t="s">
        <v>1885</v>
      </c>
      <c r="G50" s="3771" t="s">
        <v>1886</v>
      </c>
      <c r="H50" s="3818"/>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1889</v>
      </c>
      <c r="B51" s="636" t="e">
        <f>C43</f>
        <v>#DIV/0!</v>
      </c>
      <c r="C51" s="637">
        <v>1</v>
      </c>
      <c r="D51" s="943">
        <v>1</v>
      </c>
      <c r="E51" s="637">
        <f>'数据-汇总表'!E8+'数据-汇总表'!E9</f>
        <v>28627.21</v>
      </c>
      <c r="F51" s="638" t="e">
        <f t="shared" ref="F51:F60" si="15">ROUND(B51*E51/10000,0)</f>
        <v>#DIV/0!</v>
      </c>
      <c r="G51" s="3770"/>
      <c r="H51" s="378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1890</v>
      </c>
      <c r="B52" s="217" t="e">
        <f>ROUND($C$43*C52*D52,0)</f>
        <v>#DIV/0!</v>
      </c>
      <c r="C52" s="170">
        <f t="shared" ref="C52:C60" si="16">IF($C$50="北京市系数",I52,J52)</f>
        <v>0</v>
      </c>
      <c r="D52" s="944">
        <v>0.25</v>
      </c>
      <c r="E52" s="641"/>
      <c r="F52" s="638"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1892</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1893</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1902</v>
      </c>
      <c r="B61" s="643" t="s">
        <v>22</v>
      </c>
      <c r="C61" s="643" t="s">
        <v>23</v>
      </c>
      <c r="D61" s="643" t="s">
        <v>392</v>
      </c>
      <c r="E61" s="643">
        <f>IF(B41="楼面地价",SUM(E51:E60),'数据-汇总表'!D3)</f>
        <v>22578.39</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1715</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1680</v>
      </c>
      <c r="B68" s="458"/>
      <c r="C68" s="470" t="s">
        <v>1775</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1718</v>
      </c>
      <c r="B70" s="476" t="s">
        <v>1684</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1687</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1689</v>
      </c>
      <c r="B83" s="476" t="s">
        <v>1828</v>
      </c>
      <c r="C83" s="521" t="s">
        <v>1720</v>
      </c>
      <c r="D83" s="521" t="s">
        <v>1721</v>
      </c>
      <c r="E83" s="521" t="s">
        <v>1722</v>
      </c>
      <c r="F83" s="521" t="s">
        <v>1723</v>
      </c>
      <c r="G83" s="521" t="s">
        <v>1724</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1725</v>
      </c>
      <c r="C85" s="526" t="s">
        <v>1720</v>
      </c>
      <c r="D85" s="526" t="s">
        <v>1721</v>
      </c>
      <c r="E85" s="526" t="s">
        <v>1722</v>
      </c>
      <c r="F85" s="526" t="s">
        <v>1723</v>
      </c>
      <c r="G85" s="526" t="s">
        <v>1724</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1906</v>
      </c>
      <c r="C87" s="521" t="s">
        <v>1720</v>
      </c>
      <c r="D87" s="521" t="s">
        <v>1721</v>
      </c>
      <c r="E87" s="521" t="s">
        <v>1722</v>
      </c>
      <c r="F87" s="521" t="s">
        <v>1723</v>
      </c>
      <c r="G87" s="521" t="s">
        <v>1724</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1907</v>
      </c>
      <c r="C89" s="521" t="s">
        <v>1720</v>
      </c>
      <c r="D89" s="521" t="s">
        <v>1721</v>
      </c>
      <c r="E89" s="521" t="s">
        <v>1722</v>
      </c>
      <c r="F89" s="521" t="s">
        <v>1723</v>
      </c>
      <c r="G89" s="521" t="s">
        <v>1724</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1814</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1872</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1913</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1915</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1916</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1" sqref="E21"/>
      <selection pane="bottomLeft" activeCell="E21" sqref="E21"/>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2082</v>
      </c>
      <c r="C1" s="3826" t="s">
        <v>2083</v>
      </c>
      <c r="D1" s="3827"/>
      <c r="E1" s="3827"/>
      <c r="F1" s="3827"/>
      <c r="G1" s="3827"/>
      <c r="H1" s="3827"/>
      <c r="I1" s="3827"/>
      <c r="J1" s="3827"/>
      <c r="K1" s="3827"/>
      <c r="L1" s="3827"/>
      <c r="M1" s="3827"/>
      <c r="N1" s="3827"/>
      <c r="O1" s="3827"/>
      <c r="P1" s="3827"/>
      <c r="Q1" s="3827"/>
      <c r="R1" s="3827"/>
      <c r="S1" s="382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0">
        <f>SUM(B24:B10000)</f>
        <v>0</v>
      </c>
      <c r="C22" s="3823" t="s">
        <v>27</v>
      </c>
      <c r="D22" s="3824"/>
      <c r="E22" s="3824"/>
      <c r="F22" s="3824"/>
      <c r="G22" s="3824"/>
      <c r="H22" s="3824"/>
      <c r="I22" s="3824"/>
      <c r="J22" s="3824"/>
      <c r="K22" s="3824"/>
      <c r="L22" s="3824"/>
      <c r="M22" s="3824"/>
      <c r="N22" s="3824"/>
      <c r="O22" s="3824"/>
      <c r="P22" s="3824"/>
      <c r="Q22" s="3825"/>
      <c r="R22" s="662"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5537</v>
      </c>
      <c r="C2" s="2144" t="s">
        <v>2073</v>
      </c>
      <c r="D2" s="2144" t="s">
        <v>2074</v>
      </c>
      <c r="E2" s="2611">
        <f ca="1">SUMIF(E6:E13,"&lt;&gt;#ref!",E6:E13)</f>
        <v>28627.21</v>
      </c>
      <c r="F2" s="2792"/>
      <c r="G2" s="2792"/>
      <c r="H2" s="2792"/>
      <c r="I2" s="2792"/>
      <c r="J2" s="2792"/>
      <c r="K2" s="2792"/>
      <c r="L2" s="2792"/>
      <c r="M2" s="2792"/>
      <c r="N2" s="2792"/>
      <c r="O2" s="2792"/>
      <c r="P2" s="2792"/>
    </row>
    <row r="3" spans="1:16" ht="15.75">
      <c r="A3" s="2144" t="s">
        <v>2075</v>
      </c>
      <c r="B3" s="2601">
        <f ca="1">ROUND(B2*10000/E2,0)</f>
        <v>1934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5537</v>
      </c>
      <c r="C6" s="2144" t="s">
        <v>2073</v>
      </c>
      <c r="D6" s="2792"/>
      <c r="E6" s="2611">
        <f ca="1">SUMIF(INDIRECT("'"&amp;A6&amp;"'"&amp;"!C:C"),"建筑面积",INDIRECT("'"&amp;A6&amp;"'"&amp;"!D:D"))</f>
        <v>28627.21</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88" sqref="C8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28627.21</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5537</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Ⅵ-光机电</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2992</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1934</v>
      </c>
      <c r="C3" s="1998" t="s">
        <v>1940</v>
      </c>
      <c r="D3" s="1999" t="s">
        <v>1941</v>
      </c>
      <c r="E3" s="3419" t="s">
        <v>2475</v>
      </c>
      <c r="F3" s="2003" t="s">
        <v>3465</v>
      </c>
      <c r="G3" s="751">
        <f>IF(F3="宗地容积率",'数据-汇总表'!I4,IF(F3="估价对象容积率",'数据-汇总表'!I6,'数据-汇总表'!I7))</f>
        <v>1.31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2358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36"/>
      <c r="B4" s="3837"/>
      <c r="C4" s="3837"/>
      <c r="D4" s="3838"/>
      <c r="E4" s="3838"/>
      <c r="F4" s="3838"/>
      <c r="G4" s="3838"/>
      <c r="H4" s="3838"/>
      <c r="I4" s="3838"/>
      <c r="J4" s="3839"/>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1993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2078</v>
      </c>
      <c r="D5" s="1338">
        <f>ROUND(C6*C17+C20,0)</f>
        <v>2078</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1758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2120</v>
      </c>
      <c r="D6" s="2016"/>
      <c r="E6" s="2017"/>
      <c r="F6" s="2017"/>
      <c r="G6" s="2018"/>
      <c r="H6" s="2018"/>
      <c r="I6" s="2018"/>
      <c r="J6" s="2019"/>
      <c r="K6" s="1383"/>
      <c r="L6" s="2002" t="s">
        <v>1950</v>
      </c>
      <c r="M6" s="863">
        <f>SUMPRODUCT((区片价!B127:B189=I2)*(区片价!C3:G3=E2)*(区片价!C127:G189))</f>
        <v>2120</v>
      </c>
      <c r="N6" s="865">
        <f>SUMPRODUCT((因素修正幅度!B127:B189=I2)*(因素修正幅度!C3:G3=E2)*(因素修正幅度!C127:G189))</f>
        <v>0.05</v>
      </c>
      <c r="O6" s="1118"/>
      <c r="P6" s="1118"/>
      <c r="Q6" s="1118"/>
      <c r="R6" s="1211">
        <v>5</v>
      </c>
      <c r="S6" s="3360">
        <f>ROUND(SUMPRODUCT((B106:B110=R6)*(C105:N105=G2)*(C106:N110)),4)</f>
        <v>0.84799999999999998</v>
      </c>
      <c r="T6" s="3360">
        <f t="shared" si="0"/>
        <v>1689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六级</v>
      </c>
      <c r="Y7" s="1213" t="s">
        <v>1955</v>
      </c>
      <c r="Z7" s="1214">
        <f>G3</f>
        <v>1.31</v>
      </c>
      <c r="AA7" s="1215"/>
      <c r="AB7" s="1215"/>
      <c r="AC7" s="1216"/>
      <c r="AD7" s="1217"/>
      <c r="AE7" s="1217"/>
      <c r="AF7" s="1217"/>
      <c r="AG7" s="1217"/>
      <c r="AH7" s="1217"/>
      <c r="AI7" s="1217"/>
      <c r="AJ7" s="1218"/>
    </row>
    <row r="8" spans="1:36" ht="15">
      <c r="A8" s="3298"/>
      <c r="B8" s="169"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833" t="s">
        <v>1959</v>
      </c>
      <c r="X8" s="383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835"/>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83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6" t="s">
        <v>1987</v>
      </c>
      <c r="F14" s="3311" t="s">
        <v>3241</v>
      </c>
      <c r="G14" s="3311" t="s">
        <v>3241</v>
      </c>
      <c r="H14" s="3311" t="s">
        <v>3241</v>
      </c>
      <c r="I14" s="3311" t="s">
        <v>3241</v>
      </c>
      <c r="J14" s="3311" t="s">
        <v>3241</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3247</v>
      </c>
      <c r="E19" s="3337"/>
      <c r="F19" s="3338" t="s">
        <v>3250</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40" t="s">
        <v>3252</v>
      </c>
      <c r="B20" s="166" t="s">
        <v>1993</v>
      </c>
      <c r="C20" s="3324">
        <f>ROUND(IF(F21="与级别开发程度一致",0,(G21-E21)/C21),0)</f>
        <v>-42</v>
      </c>
      <c r="D20" s="3340" t="s">
        <v>1997</v>
      </c>
      <c r="E20" s="3341"/>
      <c r="F20" s="3846" t="s">
        <v>1994</v>
      </c>
      <c r="G20" s="3847"/>
      <c r="H20" s="3325" t="s">
        <v>3458</v>
      </c>
      <c r="I20" s="3325" t="s">
        <v>3459</v>
      </c>
      <c r="J20" s="3326" t="s">
        <v>3460</v>
      </c>
      <c r="K20" s="2046" t="s">
        <v>3461</v>
      </c>
      <c r="L20" s="2046" t="s">
        <v>3462</v>
      </c>
      <c r="M20" s="2046" t="s">
        <v>3463</v>
      </c>
      <c r="N20" s="2046" t="s">
        <v>3464</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841"/>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3457</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2001</v>
      </c>
      <c r="E23" s="760">
        <v>44197</v>
      </c>
      <c r="F23" s="2053" t="s">
        <v>2002</v>
      </c>
      <c r="G23" s="761">
        <f>'数据-取费表'!B2</f>
        <v>45120</v>
      </c>
      <c r="H23" s="3342" t="s">
        <v>3254</v>
      </c>
      <c r="I23" s="3343" t="str">
        <f>IF(H23="季度增幅（自定义）",SUMIF(N25:N28,E2,O25:O28),"")</f>
        <v/>
      </c>
      <c r="J23" s="3445" t="s">
        <v>3253</v>
      </c>
      <c r="K23" s="1124"/>
      <c r="L23" s="2054" t="s">
        <v>2003</v>
      </c>
      <c r="M23" s="1327">
        <f>ROUND(SUMIF(地价!B2:G2,E2,地价!B16:G16),0)</f>
        <v>318</v>
      </c>
      <c r="N23" s="2055" t="s">
        <v>2004</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0.88080000000000003</v>
      </c>
      <c r="D24" s="2059" t="s">
        <v>2006</v>
      </c>
      <c r="E24" s="1334">
        <f>存贷款利率!E23/100</f>
        <v>4.3499999999999997E-2</v>
      </c>
      <c r="F24" s="2059" t="s">
        <v>1998</v>
      </c>
      <c r="G24" s="767">
        <f>SUMIF(M30:Q30,E2,M33:Q33)</f>
        <v>0.05</v>
      </c>
      <c r="H24" s="2059" t="s">
        <v>2007</v>
      </c>
      <c r="I24" s="768">
        <f>SUMIF('数据-取费表'!C6:C15,E2,'数据-取费表'!F6:F15)/COUNTIF('数据-取费表'!C6:C15,E2)</f>
        <v>33.4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0.97070000000000001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3255</v>
      </c>
      <c r="D26" s="1351">
        <f>IF(E26=G26,F26,IF(G3&lt;10,ROUND(F26+(H26-F26)*(G3-E26)/(G26-E26),4),"——"))</f>
        <v>0.97070000000000001</v>
      </c>
      <c r="E26" s="751">
        <f>ROUNDDOWN(G3,1)</f>
        <v>1.3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751">
        <f>ROUNDUP(G3,1)</f>
        <v>1.4000000000000001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3344" t="s">
        <v>3256</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5537</v>
      </c>
      <c r="D30" s="2082"/>
      <c r="E30" s="2045"/>
      <c r="F30" s="2083"/>
      <c r="G30" s="2045"/>
      <c r="H30" s="2045"/>
      <c r="I30" s="2045"/>
      <c r="J30" s="2084"/>
      <c r="K30" s="1118"/>
      <c r="L30" s="3350" t="s">
        <v>1935</v>
      </c>
      <c r="M30" s="3351" t="s">
        <v>1989</v>
      </c>
      <c r="N30" s="3351" t="s">
        <v>1990</v>
      </c>
      <c r="O30" s="3351" t="s">
        <v>1991</v>
      </c>
      <c r="P30" s="3351" t="s">
        <v>1992</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1934</v>
      </c>
      <c r="D33" s="2097">
        <f>'数据-汇总表'!F27</f>
        <v>28627.21</v>
      </c>
      <c r="E33" s="772">
        <f>ROUND(C33*D33/10000,0)</f>
        <v>5537</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290</v>
      </c>
      <c r="D34" s="2102"/>
      <c r="E34" s="772">
        <f>ROUND(IF(B25="楼层修正",SUM(V2:V16)*M40,C34*D34/10000),0)</f>
        <v>0</v>
      </c>
      <c r="F34" s="2103" t="s">
        <v>2031</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3259</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3263</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44"/>
      <c r="B37" s="2112" t="s">
        <v>2035</v>
      </c>
      <c r="C37" s="174">
        <f>ROUND(D5*C22*C23*C24*C28*F37,0)</f>
        <v>1195</v>
      </c>
      <c r="D37" s="2097"/>
      <c r="E37" s="170">
        <f>ROUND(C37*D37/10000,0)</f>
        <v>0</v>
      </c>
      <c r="F37" s="170">
        <f>SUMIF(修正!A57:A68,G2,修正!B57:B68)</f>
        <v>0.6</v>
      </c>
      <c r="G37" s="170">
        <f>ROUND(IF(E2="工业",C37*$M$42,C37*$M$41),0)</f>
        <v>179</v>
      </c>
      <c r="H37" s="170">
        <f>D37</f>
        <v>0</v>
      </c>
      <c r="I37" s="170">
        <f>ROUND(G37*H37/10000,0)</f>
        <v>0</v>
      </c>
      <c r="J37" s="3011"/>
      <c r="K37" s="3358" t="s">
        <v>3264</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45"/>
      <c r="B38" s="2040" t="s">
        <v>2036</v>
      </c>
      <c r="C38" s="174">
        <f>ROUND(D5*C22*C23*C24*C28*F38,0)</f>
        <v>598</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45"/>
      <c r="B39" s="2040" t="s">
        <v>3257</v>
      </c>
      <c r="C39" s="174">
        <f>ROUND(D5*C22*C23*C24*C28*F39,0)</f>
        <v>498</v>
      </c>
      <c r="D39" s="2097"/>
      <c r="E39" s="170">
        <f t="shared" si="4"/>
        <v>0</v>
      </c>
      <c r="F39" s="170">
        <f>SUMIF(修正!A57:A68,G2,修正!D57:D68)</f>
        <v>0.25</v>
      </c>
      <c r="G39" s="170">
        <f>ROUND(IF(E2="工业",C39*$M$42,C39*$M$41),0)</f>
        <v>75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498</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8.25">
      <c r="A83" s="2129" t="s">
        <v>2069</v>
      </c>
      <c r="B83" s="2133" t="str">
        <f>估价对象房地状况!G15</f>
        <v>估价对象位于XX开发区，园区建设成熟度XX，产业集聚程度XX</v>
      </c>
      <c r="C83" s="2043" t="s">
        <v>3455</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3455</v>
      </c>
      <c r="D84" s="1064">
        <f t="shared" si="22"/>
        <v>7.4999999999999997E-3</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3455</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3456</v>
      </c>
      <c r="D86" s="1064">
        <f t="shared" si="22"/>
        <v>0</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2058</v>
      </c>
      <c r="B87" s="1325" t="str">
        <f>估价对象房地状况!G19</f>
        <v>估价对象所在区域公共配套设施齐备情况</v>
      </c>
      <c r="C87" s="2043" t="s">
        <v>3456</v>
      </c>
      <c r="D87" s="1064">
        <f t="shared" si="22"/>
        <v>0</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2059</v>
      </c>
      <c r="B88" s="1325" t="str">
        <f>估价对象房地状况!G20</f>
        <v>估价对象所在区域基础设施水平</v>
      </c>
      <c r="C88" s="2043" t="s">
        <v>3884</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3455</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2071</v>
      </c>
      <c r="B90" s="2142" t="str">
        <f>估价对象房地状况!G18</f>
        <v>该园区内是否有污染型企业，绿化情况，卫生条件，整体环境状况判断</v>
      </c>
      <c r="C90" s="2043" t="s">
        <v>3456</v>
      </c>
      <c r="D90" s="1064">
        <f t="shared" si="22"/>
        <v>0</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3271</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3275</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3276</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3277</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42" t="s">
        <v>3292</v>
      </c>
      <c r="B103" s="3842"/>
      <c r="C103" s="3842"/>
      <c r="D103" s="3842"/>
      <c r="E103" s="3842"/>
      <c r="F103" s="3842"/>
      <c r="G103" s="3842"/>
      <c r="H103" s="3842"/>
      <c r="I103" s="3842"/>
      <c r="J103" s="3842"/>
      <c r="K103" s="3389"/>
      <c r="L103" s="3389"/>
      <c r="M103" s="3389"/>
      <c r="N103" s="3389"/>
    </row>
    <row r="104" spans="1:14">
      <c r="A104" s="3843" t="s">
        <v>3293</v>
      </c>
      <c r="B104" s="3843" t="s">
        <v>3294</v>
      </c>
      <c r="C104" s="3390" t="s">
        <v>3295</v>
      </c>
      <c r="D104" s="3391"/>
      <c r="E104" s="3391"/>
      <c r="F104" s="3391"/>
      <c r="G104" s="3391"/>
      <c r="H104" s="3391"/>
      <c r="I104" s="3391"/>
      <c r="J104" s="3392"/>
      <c r="K104" s="3393"/>
      <c r="L104" s="3393"/>
      <c r="M104" s="3393"/>
      <c r="N104" s="3393"/>
    </row>
    <row r="105" spans="1:14">
      <c r="A105" s="3843"/>
      <c r="B105" s="3843"/>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829"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3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3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3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3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30"/>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3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32" t="s">
        <v>3309</v>
      </c>
      <c r="B113" s="3832"/>
      <c r="C113" s="3832"/>
      <c r="D113" s="3832"/>
      <c r="E113" s="3832"/>
      <c r="F113" s="3832"/>
      <c r="G113" s="3832"/>
      <c r="H113" s="3832"/>
      <c r="I113" s="3832"/>
      <c r="J113" s="383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1.31</v>
      </c>
      <c r="C116" s="3399" t="s">
        <v>3311</v>
      </c>
      <c r="D116" s="3400">
        <f>SUMPRODUCT((A118:A122=F116)*(B117:M117=H116)*B118:M122)</f>
        <v>0.63759999999999994</v>
      </c>
      <c r="E116" s="1999" t="s">
        <v>3312</v>
      </c>
      <c r="F116" s="3401" t="str">
        <f>E2</f>
        <v>工业</v>
      </c>
      <c r="G116" s="1999" t="s">
        <v>3313</v>
      </c>
      <c r="H116" s="3401" t="str">
        <f>G2</f>
        <v>六级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0.98240000000000005</v>
      </c>
      <c r="C118" s="3387">
        <f>B118</f>
        <v>0.98240000000000005</v>
      </c>
      <c r="D118" s="3387">
        <f>ROUND(0.949-0.014*B116,4)</f>
        <v>0.93069999999999997</v>
      </c>
      <c r="E118" s="3387">
        <f>D118</f>
        <v>0.93069999999999997</v>
      </c>
      <c r="F118" s="3387">
        <f>E118</f>
        <v>0.93069999999999997</v>
      </c>
      <c r="G118" s="3387">
        <f>F118</f>
        <v>0.93069999999999997</v>
      </c>
      <c r="H118" s="3387">
        <f>G118</f>
        <v>0.93069999999999997</v>
      </c>
      <c r="I118" s="3387">
        <f>ROUND(0.8486-0.018*B116,4)</f>
        <v>0.82499999999999996</v>
      </c>
      <c r="J118" s="3387">
        <f t="shared" ref="J118:M122" si="35">I118</f>
        <v>0.82499999999999996</v>
      </c>
      <c r="K118" s="3387">
        <f t="shared" si="35"/>
        <v>0.82499999999999996</v>
      </c>
      <c r="L118" s="3387">
        <f t="shared" si="35"/>
        <v>0.82499999999999996</v>
      </c>
      <c r="M118" s="3410">
        <f t="shared" si="35"/>
        <v>0.82499999999999996</v>
      </c>
      <c r="N118" s="3397"/>
    </row>
    <row r="119" spans="1:14">
      <c r="A119" s="3409" t="s">
        <v>3327</v>
      </c>
      <c r="B119" s="3387">
        <f>ROUND(0.993-0.0112*B116,4)</f>
        <v>0.97829999999999995</v>
      </c>
      <c r="C119" s="3387">
        <f>B119</f>
        <v>0.97829999999999995</v>
      </c>
      <c r="D119" s="3387">
        <f>ROUND(0.9415-0.0142*B116,4)</f>
        <v>0.92290000000000005</v>
      </c>
      <c r="E119" s="3387">
        <f t="shared" ref="E119:H120" si="36">D119</f>
        <v>0.92290000000000005</v>
      </c>
      <c r="F119" s="3387">
        <f t="shared" si="36"/>
        <v>0.92290000000000005</v>
      </c>
      <c r="G119" s="3387">
        <f t="shared" si="36"/>
        <v>0.92290000000000005</v>
      </c>
      <c r="H119" s="3387">
        <f t="shared" si="36"/>
        <v>0.92290000000000005</v>
      </c>
      <c r="I119" s="3387">
        <f>ROUND(0.838-0.0182*B116,4)</f>
        <v>0.81420000000000003</v>
      </c>
      <c r="J119" s="3387">
        <f t="shared" si="35"/>
        <v>0.81420000000000003</v>
      </c>
      <c r="K119" s="3387">
        <f t="shared" si="35"/>
        <v>0.81420000000000003</v>
      </c>
      <c r="L119" s="3387">
        <f t="shared" si="35"/>
        <v>0.81420000000000003</v>
      </c>
      <c r="M119" s="3410">
        <f t="shared" si="35"/>
        <v>0.81420000000000003</v>
      </c>
      <c r="N119" s="3397"/>
    </row>
    <row r="120" spans="1:14">
      <c r="A120" s="3409" t="s">
        <v>3328</v>
      </c>
      <c r="B120" s="3387">
        <f>ROUND(0.9448-0.0115*B116,4)</f>
        <v>0.92969999999999997</v>
      </c>
      <c r="C120" s="3387">
        <f>B120</f>
        <v>0.92969999999999997</v>
      </c>
      <c r="D120" s="3387">
        <f>ROUND(0.937-0.0145*B116,4)</f>
        <v>0.91800000000000004</v>
      </c>
      <c r="E120" s="3387">
        <f t="shared" si="36"/>
        <v>0.91800000000000004</v>
      </c>
      <c r="F120" s="3387">
        <f t="shared" si="36"/>
        <v>0.91800000000000004</v>
      </c>
      <c r="G120" s="3387">
        <f t="shared" si="36"/>
        <v>0.91800000000000004</v>
      </c>
      <c r="H120" s="3387">
        <f t="shared" si="36"/>
        <v>0.91800000000000004</v>
      </c>
      <c r="I120" s="3387">
        <f>ROUND(0.7965-0.0185*B116,4)</f>
        <v>0.77229999999999999</v>
      </c>
      <c r="J120" s="3387">
        <f t="shared" si="35"/>
        <v>0.77229999999999999</v>
      </c>
      <c r="K120" s="3387">
        <f t="shared" si="35"/>
        <v>0.77229999999999999</v>
      </c>
      <c r="L120" s="3387">
        <f t="shared" si="35"/>
        <v>0.77229999999999999</v>
      </c>
      <c r="M120" s="3410">
        <f t="shared" si="35"/>
        <v>0.77229999999999999</v>
      </c>
      <c r="N120" s="3397"/>
    </row>
    <row r="121" spans="1:14" ht="13.5" thickBot="1">
      <c r="A121" s="3411" t="s">
        <v>3329</v>
      </c>
      <c r="B121" s="3412">
        <f>ROUND(0.7836-0.012*B116,4)</f>
        <v>0.76790000000000003</v>
      </c>
      <c r="C121" s="3412">
        <f>B121</f>
        <v>0.76790000000000003</v>
      </c>
      <c r="D121" s="3412">
        <f>ROUND(0.753-0.015*B116,4)</f>
        <v>0.73340000000000005</v>
      </c>
      <c r="E121" s="3412">
        <f>D121</f>
        <v>0.73340000000000005</v>
      </c>
      <c r="F121" s="3412">
        <f>E121</f>
        <v>0.73340000000000005</v>
      </c>
      <c r="G121" s="3412">
        <f>ROUND(0.6612-0.018*B116,4)</f>
        <v>0.63759999999999994</v>
      </c>
      <c r="H121" s="3412">
        <f>G121</f>
        <v>0.63759999999999994</v>
      </c>
      <c r="I121" s="3412">
        <f>ROUND(0.5905-0.019*B116,4)</f>
        <v>0.56559999999999999</v>
      </c>
      <c r="J121" s="3412">
        <f t="shared" si="35"/>
        <v>0.56559999999999999</v>
      </c>
      <c r="K121" s="3412">
        <f t="shared" si="35"/>
        <v>0.56559999999999999</v>
      </c>
      <c r="L121" s="3412">
        <f t="shared" si="35"/>
        <v>0.56559999999999999</v>
      </c>
      <c r="M121" s="3413">
        <f t="shared" si="35"/>
        <v>0.56559999999999999</v>
      </c>
      <c r="N121" s="3397"/>
    </row>
    <row r="122" spans="1:14">
      <c r="A122" s="3414" t="s">
        <v>2608</v>
      </c>
      <c r="B122" s="3387">
        <f>ROUND(0.9404-0.0106*B116,4)</f>
        <v>0.92649999999999999</v>
      </c>
      <c r="C122" s="3387">
        <f>B122</f>
        <v>0.92649999999999999</v>
      </c>
      <c r="D122" s="3387">
        <f>ROUND(0.8955-0.0135*B116,4)</f>
        <v>0.87780000000000002</v>
      </c>
      <c r="E122" s="3387">
        <f t="shared" ref="E122:H122" si="37">D122</f>
        <v>0.87780000000000002</v>
      </c>
      <c r="F122" s="3387">
        <f t="shared" si="37"/>
        <v>0.87780000000000002</v>
      </c>
      <c r="G122" s="3387">
        <f t="shared" si="37"/>
        <v>0.87780000000000002</v>
      </c>
      <c r="H122" s="3387">
        <f t="shared" si="37"/>
        <v>0.87780000000000002</v>
      </c>
      <c r="I122" s="3387">
        <f>ROUND(0.7632-0.0166*B116,4)</f>
        <v>0.74150000000000005</v>
      </c>
      <c r="J122" s="3387">
        <f t="shared" si="35"/>
        <v>0.74150000000000005</v>
      </c>
      <c r="K122" s="3387">
        <f t="shared" si="35"/>
        <v>0.74150000000000005</v>
      </c>
      <c r="L122" s="3387">
        <f t="shared" si="35"/>
        <v>0.74150000000000005</v>
      </c>
      <c r="M122" s="3410">
        <f t="shared" si="35"/>
        <v>0.74150000000000005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855" t="s">
        <v>2603</v>
      </c>
      <c r="B20" s="3848" t="s">
        <v>2624</v>
      </c>
      <c r="C20" s="3102" t="s">
        <v>2435</v>
      </c>
      <c r="D20" s="3103"/>
      <c r="E20" s="3104">
        <v>1</v>
      </c>
      <c r="F20" s="3105" t="s">
        <v>2436</v>
      </c>
      <c r="G20" s="3105"/>
    </row>
    <row r="21" spans="1:13" ht="19.5" customHeight="1">
      <c r="A21" s="3856"/>
      <c r="B21" s="3849"/>
      <c r="C21" s="3106" t="s">
        <v>2437</v>
      </c>
      <c r="D21" s="3107"/>
      <c r="E21" s="3108">
        <v>1</v>
      </c>
      <c r="F21" s="3105" t="s">
        <v>2438</v>
      </c>
      <c r="G21" s="3105"/>
    </row>
    <row r="22" spans="1:13" ht="19.5" customHeight="1">
      <c r="A22" s="3856"/>
      <c r="B22" s="3849"/>
      <c r="C22" s="3106" t="s">
        <v>2439</v>
      </c>
      <c r="D22" s="3107"/>
      <c r="E22" s="3108">
        <v>0.9</v>
      </c>
      <c r="F22" s="3105" t="s">
        <v>2440</v>
      </c>
      <c r="G22" s="3105"/>
    </row>
    <row r="23" spans="1:13" ht="19.5" customHeight="1">
      <c r="A23" s="3856"/>
      <c r="B23" s="3849"/>
      <c r="C23" s="3106" t="s">
        <v>2441</v>
      </c>
      <c r="D23" s="3107"/>
      <c r="E23" s="3108">
        <v>0.9</v>
      </c>
      <c r="F23" s="3105" t="s">
        <v>2442</v>
      </c>
      <c r="G23" s="3105"/>
    </row>
    <row r="24" spans="1:13" ht="19.5" customHeight="1">
      <c r="A24" s="3856"/>
      <c r="B24" s="3849"/>
      <c r="C24" s="3106" t="s">
        <v>2443</v>
      </c>
      <c r="D24" s="3107"/>
      <c r="E24" s="3108">
        <v>0.8</v>
      </c>
      <c r="F24" s="3105" t="s">
        <v>2444</v>
      </c>
      <c r="G24" s="3105"/>
    </row>
    <row r="25" spans="1:13" ht="19.5" customHeight="1" thickBot="1">
      <c r="A25" s="3857"/>
      <c r="B25" s="3850"/>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851" t="s">
        <v>2627</v>
      </c>
      <c r="B27" s="3848" t="s">
        <v>2608</v>
      </c>
      <c r="C27" s="3102" t="s">
        <v>2448</v>
      </c>
      <c r="D27" s="3103"/>
      <c r="E27" s="3104">
        <v>1</v>
      </c>
      <c r="F27" s="3105" t="s">
        <v>2449</v>
      </c>
      <c r="G27" s="3105"/>
    </row>
    <row r="28" spans="1:13" ht="19.5" customHeight="1">
      <c r="A28" s="3852"/>
      <c r="B28" s="3849"/>
      <c r="C28" s="3106" t="s">
        <v>2450</v>
      </c>
      <c r="D28" s="3107"/>
      <c r="E28" s="3108">
        <v>1</v>
      </c>
      <c r="F28" s="3105" t="s">
        <v>2451</v>
      </c>
      <c r="G28" s="3105"/>
    </row>
    <row r="29" spans="1:13" ht="19.5" customHeight="1">
      <c r="A29" s="3852"/>
      <c r="B29" s="3849"/>
      <c r="C29" s="3106" t="s">
        <v>2452</v>
      </c>
      <c r="D29" s="3107"/>
      <c r="E29" s="3108">
        <v>0.8</v>
      </c>
      <c r="F29" s="3105" t="s">
        <v>2453</v>
      </c>
      <c r="G29" s="3105"/>
    </row>
    <row r="30" spans="1:13" ht="19.5" customHeight="1">
      <c r="A30" s="3852"/>
      <c r="B30" s="3849"/>
      <c r="C30" s="3106" t="s">
        <v>2454</v>
      </c>
      <c r="D30" s="3107"/>
      <c r="E30" s="3108">
        <v>0.8</v>
      </c>
      <c r="F30" s="3105" t="s">
        <v>2455</v>
      </c>
      <c r="G30" s="3105"/>
    </row>
    <row r="31" spans="1:13" ht="19.5" customHeight="1">
      <c r="A31" s="3852"/>
      <c r="B31" s="3849"/>
      <c r="C31" s="3106" t="s">
        <v>2456</v>
      </c>
      <c r="D31" s="3107"/>
      <c r="E31" s="3108">
        <v>0.8</v>
      </c>
      <c r="F31" s="3105" t="s">
        <v>2457</v>
      </c>
      <c r="G31" s="3105"/>
    </row>
    <row r="32" spans="1:13" ht="19.5" customHeight="1">
      <c r="A32" s="3852"/>
      <c r="B32" s="3849"/>
      <c r="C32" s="3106" t="s">
        <v>2458</v>
      </c>
      <c r="D32" s="3107"/>
      <c r="E32" s="3108">
        <v>0.7</v>
      </c>
      <c r="F32" s="3105" t="s">
        <v>2459</v>
      </c>
      <c r="G32" s="3105"/>
    </row>
    <row r="33" spans="1:7" ht="19.5" customHeight="1">
      <c r="A33" s="3852"/>
      <c r="B33" s="3849"/>
      <c r="C33" s="3106" t="s">
        <v>2460</v>
      </c>
      <c r="D33" s="3107"/>
      <c r="E33" s="3108">
        <v>0.8</v>
      </c>
      <c r="F33" s="3105" t="s">
        <v>2461</v>
      </c>
      <c r="G33" s="3105"/>
    </row>
    <row r="34" spans="1:7" ht="19.5" customHeight="1">
      <c r="A34" s="3852"/>
      <c r="B34" s="3849"/>
      <c r="C34" s="3106" t="s">
        <v>2462</v>
      </c>
      <c r="D34" s="3107"/>
      <c r="E34" s="3108">
        <v>0.6</v>
      </c>
      <c r="F34" s="3105" t="s">
        <v>2463</v>
      </c>
      <c r="G34" s="3105"/>
    </row>
    <row r="35" spans="1:7" ht="19.5" customHeight="1">
      <c r="A35" s="3852"/>
      <c r="B35" s="3849"/>
      <c r="C35" s="3106" t="s">
        <v>2464</v>
      </c>
      <c r="D35" s="3107"/>
      <c r="E35" s="3108">
        <v>0.2</v>
      </c>
      <c r="F35" s="3105" t="s">
        <v>2465</v>
      </c>
      <c r="G35" s="3105"/>
    </row>
    <row r="36" spans="1:7" ht="19.5" customHeight="1">
      <c r="A36" s="3852"/>
      <c r="B36" s="3849"/>
      <c r="C36" s="3106" t="s">
        <v>2466</v>
      </c>
      <c r="D36" s="3107"/>
      <c r="E36" s="3108">
        <v>0.2</v>
      </c>
      <c r="F36" s="3105" t="s">
        <v>2467</v>
      </c>
      <c r="G36" s="3105"/>
    </row>
    <row r="37" spans="1:7" ht="19.5" customHeight="1">
      <c r="A37" s="3852"/>
      <c r="B37" s="3854" t="s">
        <v>2628</v>
      </c>
      <c r="C37" s="3106" t="s">
        <v>2468</v>
      </c>
      <c r="D37" s="3107"/>
      <c r="E37" s="3108">
        <v>0.6</v>
      </c>
      <c r="F37" s="3105" t="s">
        <v>2469</v>
      </c>
      <c r="G37" s="3105"/>
    </row>
    <row r="38" spans="1:7" ht="19.5" customHeight="1">
      <c r="A38" s="3852"/>
      <c r="B38" s="3849"/>
      <c r="C38" s="3106" t="s">
        <v>2470</v>
      </c>
      <c r="D38" s="3107"/>
      <c r="E38" s="3108">
        <v>0.6</v>
      </c>
      <c r="F38" s="3105" t="s">
        <v>2471</v>
      </c>
      <c r="G38" s="3105"/>
    </row>
    <row r="39" spans="1:7" ht="19.5" customHeight="1" thickBot="1">
      <c r="A39" s="3853"/>
      <c r="B39" s="3850"/>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855" t="s">
        <v>2606</v>
      </c>
      <c r="B41" s="3848" t="s">
        <v>2630</v>
      </c>
      <c r="C41" s="3102" t="s">
        <v>2475</v>
      </c>
      <c r="D41" s="3103"/>
      <c r="E41" s="3104">
        <v>1</v>
      </c>
      <c r="F41" s="3105" t="s">
        <v>2476</v>
      </c>
      <c r="G41" s="3105"/>
    </row>
    <row r="42" spans="1:7" ht="19.5" customHeight="1">
      <c r="A42" s="3856"/>
      <c r="B42" s="3849"/>
      <c r="C42" s="3106" t="s">
        <v>2477</v>
      </c>
      <c r="D42" s="3107"/>
      <c r="E42" s="3108">
        <v>1</v>
      </c>
      <c r="F42" s="3105" t="s">
        <v>2478</v>
      </c>
      <c r="G42" s="3105"/>
    </row>
    <row r="43" spans="1:7" ht="19.5" customHeight="1">
      <c r="A43" s="3856"/>
      <c r="B43" s="3858"/>
      <c r="C43" s="3106" t="s">
        <v>2479</v>
      </c>
      <c r="D43" s="3107"/>
      <c r="E43" s="3108">
        <v>1.5</v>
      </c>
      <c r="F43" s="3105" t="s">
        <v>2480</v>
      </c>
      <c r="G43" s="3105"/>
    </row>
    <row r="44" spans="1:7" ht="19.5" customHeight="1">
      <c r="A44" s="3856"/>
      <c r="B44" s="3117" t="s">
        <v>2631</v>
      </c>
      <c r="C44" s="3106" t="s">
        <v>2632</v>
      </c>
      <c r="D44" s="3107"/>
      <c r="E44" s="3108">
        <v>2</v>
      </c>
      <c r="F44" s="3105" t="s">
        <v>2481</v>
      </c>
      <c r="G44" s="3105"/>
    </row>
    <row r="45" spans="1:7" ht="19.5" customHeight="1">
      <c r="A45" s="3856"/>
      <c r="B45" s="3854" t="s">
        <v>2633</v>
      </c>
      <c r="C45" s="3106" t="s">
        <v>2482</v>
      </c>
      <c r="D45" s="3107"/>
      <c r="E45" s="3108">
        <v>1</v>
      </c>
      <c r="F45" s="3105" t="s">
        <v>2483</v>
      </c>
      <c r="G45" s="3105"/>
    </row>
    <row r="46" spans="1:7" ht="19.5" customHeight="1">
      <c r="A46" s="3856"/>
      <c r="B46" s="3849"/>
      <c r="C46" s="3106" t="s">
        <v>2484</v>
      </c>
      <c r="D46" s="3107"/>
      <c r="E46" s="3108">
        <v>1</v>
      </c>
      <c r="F46" s="3105" t="s">
        <v>2485</v>
      </c>
      <c r="G46" s="3105"/>
    </row>
    <row r="47" spans="1:7" ht="19.5" customHeight="1">
      <c r="A47" s="3856"/>
      <c r="B47" s="3849"/>
      <c r="C47" s="3106" t="s">
        <v>2486</v>
      </c>
      <c r="D47" s="3107"/>
      <c r="E47" s="3108">
        <v>1</v>
      </c>
      <c r="F47" s="3105" t="s">
        <v>2487</v>
      </c>
      <c r="G47" s="3105"/>
    </row>
    <row r="48" spans="1:7" ht="19.5" customHeight="1">
      <c r="A48" s="3856"/>
      <c r="B48" s="3849"/>
      <c r="C48" s="3106" t="s">
        <v>2488</v>
      </c>
      <c r="D48" s="3107"/>
      <c r="E48" s="3108">
        <v>1</v>
      </c>
      <c r="F48" s="3105" t="s">
        <v>2489</v>
      </c>
      <c r="G48" s="3105"/>
    </row>
    <row r="49" spans="1:7" ht="19.5" customHeight="1">
      <c r="A49" s="3856"/>
      <c r="B49" s="3849"/>
      <c r="C49" s="3106" t="s">
        <v>2490</v>
      </c>
      <c r="D49" s="3107"/>
      <c r="E49" s="3108">
        <v>1</v>
      </c>
      <c r="F49" s="3105" t="s">
        <v>2491</v>
      </c>
      <c r="G49" s="3105"/>
    </row>
    <row r="50" spans="1:7" ht="19.5" customHeight="1">
      <c r="A50" s="3856"/>
      <c r="B50" s="3849"/>
      <c r="C50" s="3106" t="s">
        <v>2492</v>
      </c>
      <c r="D50" s="3107"/>
      <c r="E50" s="3108">
        <v>1</v>
      </c>
      <c r="F50" s="3105" t="s">
        <v>2493</v>
      </c>
      <c r="G50" s="3105"/>
    </row>
    <row r="51" spans="1:7" ht="19.5" customHeight="1" thickBot="1">
      <c r="A51" s="3857"/>
      <c r="B51" s="3850"/>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854" t="s">
        <v>2647</v>
      </c>
      <c r="C73" s="3091" t="s">
        <v>2648</v>
      </c>
      <c r="D73" s="3091" t="s">
        <v>2649</v>
      </c>
      <c r="E73" s="3117">
        <v>0.2</v>
      </c>
      <c r="F73" s="3117">
        <v>25</v>
      </c>
    </row>
    <row r="74" spans="1:7" ht="24">
      <c r="A74" s="3117">
        <v>2</v>
      </c>
      <c r="B74" s="3849"/>
      <c r="C74" s="3091" t="s">
        <v>2650</v>
      </c>
      <c r="D74" s="3091" t="s">
        <v>2651</v>
      </c>
      <c r="E74" s="3117">
        <v>0.2</v>
      </c>
      <c r="F74" s="3117">
        <v>25</v>
      </c>
    </row>
    <row r="75" spans="1:7" ht="24">
      <c r="A75" s="3117">
        <v>3</v>
      </c>
      <c r="B75" s="3849"/>
      <c r="C75" s="3091" t="s">
        <v>2652</v>
      </c>
      <c r="D75" s="3091" t="s">
        <v>2653</v>
      </c>
      <c r="E75" s="3117">
        <v>0.2</v>
      </c>
      <c r="F75" s="3117">
        <v>25</v>
      </c>
    </row>
    <row r="76" spans="1:7" ht="13.5">
      <c r="A76" s="3117">
        <v>4</v>
      </c>
      <c r="B76" s="3849"/>
      <c r="C76" s="3091" t="s">
        <v>2654</v>
      </c>
      <c r="D76" s="3091" t="s">
        <v>2655</v>
      </c>
      <c r="E76" s="3117">
        <v>0.15</v>
      </c>
      <c r="F76" s="3117">
        <v>20</v>
      </c>
    </row>
    <row r="77" spans="1:7" ht="24">
      <c r="A77" s="3117">
        <v>5</v>
      </c>
      <c r="B77" s="3849"/>
      <c r="C77" s="3091" t="s">
        <v>2656</v>
      </c>
      <c r="D77" s="3091" t="s">
        <v>2657</v>
      </c>
      <c r="E77" s="3117">
        <v>0.15</v>
      </c>
      <c r="F77" s="3117">
        <v>20</v>
      </c>
    </row>
    <row r="78" spans="1:7" ht="24">
      <c r="A78" s="3117">
        <v>6</v>
      </c>
      <c r="B78" s="3849"/>
      <c r="C78" s="3091" t="s">
        <v>2658</v>
      </c>
      <c r="D78" s="3091" t="s">
        <v>2659</v>
      </c>
      <c r="E78" s="3117">
        <v>0.15</v>
      </c>
      <c r="F78" s="3117">
        <v>20</v>
      </c>
    </row>
    <row r="79" spans="1:7" ht="24">
      <c r="A79" s="3117">
        <v>7</v>
      </c>
      <c r="B79" s="3849"/>
      <c r="C79" s="3091" t="s">
        <v>2660</v>
      </c>
      <c r="D79" s="3091" t="s">
        <v>2661</v>
      </c>
      <c r="E79" s="3117">
        <v>0.15</v>
      </c>
      <c r="F79" s="3117">
        <v>20</v>
      </c>
    </row>
    <row r="80" spans="1:7" ht="24">
      <c r="A80" s="3117">
        <v>8</v>
      </c>
      <c r="B80" s="3849"/>
      <c r="C80" s="3091" t="s">
        <v>2662</v>
      </c>
      <c r="D80" s="3091" t="s">
        <v>2663</v>
      </c>
      <c r="E80" s="3117">
        <v>0.1</v>
      </c>
      <c r="F80" s="3117">
        <v>15</v>
      </c>
    </row>
    <row r="81" spans="1:6" ht="24">
      <c r="A81" s="3117">
        <v>9</v>
      </c>
      <c r="B81" s="3849"/>
      <c r="C81" s="3091" t="s">
        <v>2664</v>
      </c>
      <c r="D81" s="3091" t="s">
        <v>2665</v>
      </c>
      <c r="E81" s="3117">
        <v>0.1</v>
      </c>
      <c r="F81" s="3117">
        <v>15</v>
      </c>
    </row>
    <row r="82" spans="1:6" ht="24">
      <c r="A82" s="3117">
        <v>10</v>
      </c>
      <c r="B82" s="3849"/>
      <c r="C82" s="3091" t="s">
        <v>2666</v>
      </c>
      <c r="D82" s="3091" t="s">
        <v>2667</v>
      </c>
      <c r="E82" s="3117">
        <v>0.1</v>
      </c>
      <c r="F82" s="3117">
        <v>15</v>
      </c>
    </row>
    <row r="83" spans="1:6" ht="24">
      <c r="A83" s="3117">
        <v>11</v>
      </c>
      <c r="B83" s="3849"/>
      <c r="C83" s="3091" t="s">
        <v>2668</v>
      </c>
      <c r="D83" s="3091" t="s">
        <v>2669</v>
      </c>
      <c r="E83" s="3117">
        <v>0.1</v>
      </c>
      <c r="F83" s="3117">
        <v>15</v>
      </c>
    </row>
    <row r="84" spans="1:6" ht="24">
      <c r="A84" s="3117">
        <v>12</v>
      </c>
      <c r="B84" s="3849"/>
      <c r="C84" s="3091" t="s">
        <v>2670</v>
      </c>
      <c r="D84" s="3091" t="s">
        <v>2671</v>
      </c>
      <c r="E84" s="3117">
        <v>0.1</v>
      </c>
      <c r="F84" s="3117">
        <v>15</v>
      </c>
    </row>
    <row r="85" spans="1:6" ht="13.5">
      <c r="A85" s="3117">
        <v>13</v>
      </c>
      <c r="B85" s="3849"/>
      <c r="C85" s="3091" t="s">
        <v>2672</v>
      </c>
      <c r="D85" s="3091" t="s">
        <v>2673</v>
      </c>
      <c r="E85" s="3117">
        <v>0.1</v>
      </c>
      <c r="F85" s="3117">
        <v>15</v>
      </c>
    </row>
    <row r="86" spans="1:6" ht="13.5">
      <c r="A86" s="3117">
        <v>14</v>
      </c>
      <c r="B86" s="3849"/>
      <c r="C86" s="3091" t="s">
        <v>2674</v>
      </c>
      <c r="D86" s="3091" t="s">
        <v>2675</v>
      </c>
      <c r="E86" s="3117">
        <v>0.1</v>
      </c>
      <c r="F86" s="3117">
        <v>15</v>
      </c>
    </row>
    <row r="87" spans="1:6" ht="13.5">
      <c r="A87" s="3117">
        <v>15</v>
      </c>
      <c r="B87" s="3849"/>
      <c r="C87" s="3091" t="s">
        <v>2676</v>
      </c>
      <c r="D87" s="3091" t="s">
        <v>2677</v>
      </c>
      <c r="E87" s="3117">
        <v>0.1</v>
      </c>
      <c r="F87" s="3117">
        <v>15</v>
      </c>
    </row>
    <row r="88" spans="1:6" ht="24">
      <c r="A88" s="3117">
        <v>16</v>
      </c>
      <c r="B88" s="3849"/>
      <c r="C88" s="3091" t="s">
        <v>2678</v>
      </c>
      <c r="D88" s="3091" t="s">
        <v>2679</v>
      </c>
      <c r="E88" s="3117">
        <v>0.1</v>
      </c>
      <c r="F88" s="3117">
        <v>15</v>
      </c>
    </row>
    <row r="89" spans="1:6" ht="24">
      <c r="A89" s="3117">
        <v>17</v>
      </c>
      <c r="B89" s="3858"/>
      <c r="C89" s="3091" t="s">
        <v>2680</v>
      </c>
      <c r="D89" s="3091" t="s">
        <v>2681</v>
      </c>
      <c r="E89" s="3117">
        <v>0.1</v>
      </c>
      <c r="F89" s="3117">
        <v>15</v>
      </c>
    </row>
    <row r="90" spans="1:6" ht="13.5">
      <c r="A90" s="3117">
        <v>18</v>
      </c>
      <c r="B90" s="3854" t="s">
        <v>2682</v>
      </c>
      <c r="C90" s="3091" t="s">
        <v>2683</v>
      </c>
      <c r="D90" s="3091" t="s">
        <v>2684</v>
      </c>
      <c r="E90" s="3117">
        <v>0.2</v>
      </c>
      <c r="F90" s="3117">
        <v>25</v>
      </c>
    </row>
    <row r="91" spans="1:6" ht="24">
      <c r="A91" s="3117">
        <v>19</v>
      </c>
      <c r="B91" s="3849"/>
      <c r="C91" s="3091" t="s">
        <v>2685</v>
      </c>
      <c r="D91" s="3091" t="s">
        <v>2686</v>
      </c>
      <c r="E91" s="3117">
        <v>0.2</v>
      </c>
      <c r="F91" s="3117">
        <v>25</v>
      </c>
    </row>
    <row r="92" spans="1:6" ht="13.5">
      <c r="A92" s="3117">
        <v>20</v>
      </c>
      <c r="B92" s="3849"/>
      <c r="C92" s="3091" t="s">
        <v>2687</v>
      </c>
      <c r="D92" s="3091" t="s">
        <v>2688</v>
      </c>
      <c r="E92" s="3117">
        <v>0.15</v>
      </c>
      <c r="F92" s="3117">
        <v>20</v>
      </c>
    </row>
    <row r="93" spans="1:6" ht="13.5">
      <c r="A93" s="3117">
        <v>21</v>
      </c>
      <c r="B93" s="3849"/>
      <c r="C93" s="3091" t="s">
        <v>2689</v>
      </c>
      <c r="D93" s="3091" t="s">
        <v>2690</v>
      </c>
      <c r="E93" s="3117">
        <v>0.15</v>
      </c>
      <c r="F93" s="3117">
        <v>20</v>
      </c>
    </row>
    <row r="94" spans="1:6" ht="13.5">
      <c r="A94" s="3117">
        <v>22</v>
      </c>
      <c r="B94" s="3849"/>
      <c r="C94" s="3091" t="s">
        <v>2691</v>
      </c>
      <c r="D94" s="3091" t="s">
        <v>2692</v>
      </c>
      <c r="E94" s="3117">
        <v>0.15</v>
      </c>
      <c r="F94" s="3117">
        <v>20</v>
      </c>
    </row>
    <row r="95" spans="1:6" ht="36">
      <c r="A95" s="3117">
        <v>23</v>
      </c>
      <c r="B95" s="3849"/>
      <c r="C95" s="3091" t="s">
        <v>2693</v>
      </c>
      <c r="D95" s="3091" t="s">
        <v>2694</v>
      </c>
      <c r="E95" s="3117">
        <v>0.15</v>
      </c>
      <c r="F95" s="3117">
        <v>20</v>
      </c>
    </row>
    <row r="96" spans="1:6" ht="13.5">
      <c r="A96" s="3117">
        <v>24</v>
      </c>
      <c r="B96" s="3849"/>
      <c r="C96" s="3091" t="s">
        <v>2695</v>
      </c>
      <c r="D96" s="3091" t="s">
        <v>2696</v>
      </c>
      <c r="E96" s="3117">
        <v>0.1</v>
      </c>
      <c r="F96" s="3117">
        <v>15</v>
      </c>
    </row>
    <row r="97" spans="1:6" ht="13.5">
      <c r="A97" s="3117">
        <v>25</v>
      </c>
      <c r="B97" s="3849"/>
      <c r="C97" s="3091" t="s">
        <v>2697</v>
      </c>
      <c r="D97" s="3091" t="s">
        <v>2698</v>
      </c>
      <c r="E97" s="3117">
        <v>0.1</v>
      </c>
      <c r="F97" s="3117">
        <v>15</v>
      </c>
    </row>
    <row r="98" spans="1:6" ht="24">
      <c r="A98" s="3117">
        <v>26</v>
      </c>
      <c r="B98" s="3849"/>
      <c r="C98" s="3091" t="s">
        <v>2699</v>
      </c>
      <c r="D98" s="3091" t="s">
        <v>2700</v>
      </c>
      <c r="E98" s="3117">
        <v>0.1</v>
      </c>
      <c r="F98" s="3117">
        <v>15</v>
      </c>
    </row>
    <row r="99" spans="1:6" ht="24">
      <c r="A99" s="3117">
        <v>27</v>
      </c>
      <c r="B99" s="3849"/>
      <c r="C99" s="3091" t="s">
        <v>2701</v>
      </c>
      <c r="D99" s="3091" t="s">
        <v>2702</v>
      </c>
      <c r="E99" s="3117">
        <v>0.1</v>
      </c>
      <c r="F99" s="3117">
        <v>15</v>
      </c>
    </row>
    <row r="100" spans="1:6" ht="13.5">
      <c r="A100" s="3117">
        <v>28</v>
      </c>
      <c r="B100" s="3849"/>
      <c r="C100" s="3091" t="s">
        <v>2703</v>
      </c>
      <c r="D100" s="3091" t="s">
        <v>2704</v>
      </c>
      <c r="E100" s="3117">
        <v>0.1</v>
      </c>
      <c r="F100" s="3117">
        <v>15</v>
      </c>
    </row>
    <row r="101" spans="1:6" ht="13.5">
      <c r="A101" s="3117">
        <v>29</v>
      </c>
      <c r="B101" s="3849"/>
      <c r="C101" s="3091" t="s">
        <v>2705</v>
      </c>
      <c r="D101" s="3091" t="s">
        <v>2706</v>
      </c>
      <c r="E101" s="3117">
        <v>0.1</v>
      </c>
      <c r="F101" s="3117">
        <v>15</v>
      </c>
    </row>
    <row r="102" spans="1:6" ht="13.5">
      <c r="A102" s="3117">
        <v>30</v>
      </c>
      <c r="B102" s="3849"/>
      <c r="C102" s="3091" t="s">
        <v>2707</v>
      </c>
      <c r="D102" s="3091" t="s">
        <v>2708</v>
      </c>
      <c r="E102" s="3117">
        <v>0.1</v>
      </c>
      <c r="F102" s="3117">
        <v>15</v>
      </c>
    </row>
    <row r="103" spans="1:6" ht="24">
      <c r="A103" s="3117">
        <v>31</v>
      </c>
      <c r="B103" s="3849"/>
      <c r="C103" s="3091" t="s">
        <v>2709</v>
      </c>
      <c r="D103" s="3091" t="s">
        <v>2710</v>
      </c>
      <c r="E103" s="3117">
        <v>0.1</v>
      </c>
      <c r="F103" s="3117">
        <v>15</v>
      </c>
    </row>
    <row r="104" spans="1:6" ht="24">
      <c r="A104" s="3117">
        <v>32</v>
      </c>
      <c r="B104" s="3849"/>
      <c r="C104" s="3091" t="s">
        <v>2711</v>
      </c>
      <c r="D104" s="3091" t="s">
        <v>2712</v>
      </c>
      <c r="E104" s="3117">
        <v>0.1</v>
      </c>
      <c r="F104" s="3117">
        <v>15</v>
      </c>
    </row>
    <row r="105" spans="1:6" ht="24">
      <c r="A105" s="3117">
        <v>33</v>
      </c>
      <c r="B105" s="3849"/>
      <c r="C105" s="3091" t="s">
        <v>2713</v>
      </c>
      <c r="D105" s="3091" t="s">
        <v>2714</v>
      </c>
      <c r="E105" s="3117">
        <v>0.1</v>
      </c>
      <c r="F105" s="3117">
        <v>15</v>
      </c>
    </row>
    <row r="106" spans="1:6" ht="24">
      <c r="A106" s="3117">
        <v>34</v>
      </c>
      <c r="B106" s="3858"/>
      <c r="C106" s="3091" t="s">
        <v>2715</v>
      </c>
      <c r="D106" s="3091" t="s">
        <v>2716</v>
      </c>
      <c r="E106" s="3117">
        <v>0.1</v>
      </c>
      <c r="F106" s="3117">
        <v>15</v>
      </c>
    </row>
    <row r="107" spans="1:6" ht="24">
      <c r="A107" s="3117">
        <v>35</v>
      </c>
      <c r="B107" s="3854" t="s">
        <v>2717</v>
      </c>
      <c r="C107" s="3117" t="s">
        <v>2718</v>
      </c>
      <c r="D107" s="3091" t="s">
        <v>2719</v>
      </c>
      <c r="E107" s="3117">
        <v>0.15</v>
      </c>
      <c r="F107" s="3117">
        <v>20</v>
      </c>
    </row>
    <row r="108" spans="1:6" ht="13.5">
      <c r="A108" s="3117">
        <v>36</v>
      </c>
      <c r="B108" s="3849"/>
      <c r="C108" s="3117" t="s">
        <v>2720</v>
      </c>
      <c r="D108" s="3091" t="s">
        <v>2721</v>
      </c>
      <c r="E108" s="3117">
        <v>0.15</v>
      </c>
      <c r="F108" s="3117">
        <v>20</v>
      </c>
    </row>
    <row r="109" spans="1:6" ht="13.5">
      <c r="A109" s="3117">
        <v>37</v>
      </c>
      <c r="B109" s="3849"/>
      <c r="C109" s="3117" t="s">
        <v>2722</v>
      </c>
      <c r="D109" s="3091" t="s">
        <v>2723</v>
      </c>
      <c r="E109" s="3117">
        <v>0.15</v>
      </c>
      <c r="F109" s="3117">
        <v>20</v>
      </c>
    </row>
    <row r="110" spans="1:6" ht="13.5">
      <c r="A110" s="3117">
        <v>38</v>
      </c>
      <c r="B110" s="3849"/>
      <c r="C110" s="3117" t="s">
        <v>2724</v>
      </c>
      <c r="D110" s="3091" t="s">
        <v>2725</v>
      </c>
      <c r="E110" s="3117">
        <v>0.1</v>
      </c>
      <c r="F110" s="3117">
        <v>15</v>
      </c>
    </row>
    <row r="111" spans="1:6" ht="24">
      <c r="A111" s="3117">
        <v>39</v>
      </c>
      <c r="B111" s="3849"/>
      <c r="C111" s="3117" t="s">
        <v>2726</v>
      </c>
      <c r="D111" s="3091" t="s">
        <v>2727</v>
      </c>
      <c r="E111" s="3117">
        <v>0.1</v>
      </c>
      <c r="F111" s="3117">
        <v>15</v>
      </c>
    </row>
    <row r="112" spans="1:6" ht="24">
      <c r="A112" s="3117">
        <v>40</v>
      </c>
      <c r="B112" s="3858"/>
      <c r="C112" s="3117" t="s">
        <v>2728</v>
      </c>
      <c r="D112" s="3091" t="s">
        <v>2729</v>
      </c>
      <c r="E112" s="3117">
        <v>0.1</v>
      </c>
      <c r="F112" s="3117">
        <v>15</v>
      </c>
    </row>
    <row r="113" spans="1:6" ht="13.5">
      <c r="A113" s="3117">
        <v>41</v>
      </c>
      <c r="B113" s="3859" t="s">
        <v>2730</v>
      </c>
      <c r="C113" s="3117" t="s">
        <v>2731</v>
      </c>
      <c r="D113" s="3091" t="s">
        <v>2732</v>
      </c>
      <c r="E113" s="3117">
        <v>0.1</v>
      </c>
      <c r="F113" s="3117">
        <v>15</v>
      </c>
    </row>
    <row r="114" spans="1:6" ht="13.5">
      <c r="A114" s="3117">
        <v>42</v>
      </c>
      <c r="B114" s="3859"/>
      <c r="C114" s="3117" t="s">
        <v>2733</v>
      </c>
      <c r="D114" s="3091" t="s">
        <v>2734</v>
      </c>
      <c r="E114" s="3117">
        <v>0.1</v>
      </c>
      <c r="F114" s="3117">
        <v>15</v>
      </c>
    </row>
    <row r="115" spans="1:6" ht="24">
      <c r="A115" s="3117">
        <v>43</v>
      </c>
      <c r="B115" s="3859"/>
      <c r="C115" s="3117" t="s">
        <v>2735</v>
      </c>
      <c r="D115" s="3091" t="s">
        <v>2736</v>
      </c>
      <c r="E115" s="3117">
        <v>0.1</v>
      </c>
      <c r="F115" s="3117">
        <v>15</v>
      </c>
    </row>
    <row r="116" spans="1:6" ht="13.5">
      <c r="A116" s="3117">
        <v>44</v>
      </c>
      <c r="B116" s="3854" t="s">
        <v>2737</v>
      </c>
      <c r="C116" s="3117" t="s">
        <v>2738</v>
      </c>
      <c r="D116" s="3091" t="s">
        <v>2739</v>
      </c>
      <c r="E116" s="3117">
        <v>0.1</v>
      </c>
      <c r="F116" s="3117">
        <v>15</v>
      </c>
    </row>
    <row r="117" spans="1:6" ht="24">
      <c r="A117" s="3117">
        <v>45</v>
      </c>
      <c r="B117" s="3858"/>
      <c r="C117" s="3091" t="s">
        <v>2740</v>
      </c>
      <c r="D117" s="3091" t="s">
        <v>2741</v>
      </c>
      <c r="E117" s="3117">
        <v>0.1</v>
      </c>
      <c r="F117" s="3117">
        <v>15</v>
      </c>
    </row>
    <row r="118" spans="1:6" ht="24">
      <c r="A118" s="3117">
        <v>46</v>
      </c>
      <c r="B118" s="3854" t="s">
        <v>2742</v>
      </c>
      <c r="C118" s="3117" t="s">
        <v>2743</v>
      </c>
      <c r="D118" s="3091" t="s">
        <v>2744</v>
      </c>
      <c r="E118" s="3117">
        <v>0.1</v>
      </c>
      <c r="F118" s="3117">
        <v>15</v>
      </c>
    </row>
    <row r="119" spans="1:6" ht="24">
      <c r="A119" s="3117">
        <v>47</v>
      </c>
      <c r="B119" s="3858"/>
      <c r="C119" s="3117" t="s">
        <v>2745</v>
      </c>
      <c r="D119" s="3091" t="s">
        <v>2746</v>
      </c>
      <c r="E119" s="3117">
        <v>0.1</v>
      </c>
      <c r="F119" s="3117">
        <v>15</v>
      </c>
    </row>
    <row r="120" spans="1:6" ht="13.5">
      <c r="A120" s="3117">
        <v>48</v>
      </c>
      <c r="B120" s="3854" t="s">
        <v>2747</v>
      </c>
      <c r="C120" s="3117" t="s">
        <v>2748</v>
      </c>
      <c r="D120" s="3091" t="s">
        <v>2749</v>
      </c>
      <c r="E120" s="3117">
        <v>0.1</v>
      </c>
      <c r="F120" s="3117">
        <v>15</v>
      </c>
    </row>
    <row r="121" spans="1:6" ht="13.5">
      <c r="A121" s="3117">
        <v>49</v>
      </c>
      <c r="B121" s="3858"/>
      <c r="C121" s="3117" t="s">
        <v>2750</v>
      </c>
      <c r="D121" s="3091" t="s">
        <v>2751</v>
      </c>
      <c r="E121" s="3117">
        <v>0.1</v>
      </c>
      <c r="F121" s="3117">
        <v>15</v>
      </c>
    </row>
    <row r="122" spans="1:6" ht="24">
      <c r="A122" s="3117">
        <v>50</v>
      </c>
      <c r="B122" s="3859" t="s">
        <v>2752</v>
      </c>
      <c r="C122" s="3117" t="s">
        <v>2753</v>
      </c>
      <c r="D122" s="3091" t="s">
        <v>2754</v>
      </c>
      <c r="E122" s="3117">
        <v>0.1</v>
      </c>
      <c r="F122" s="3117">
        <v>15</v>
      </c>
    </row>
    <row r="123" spans="1:6" ht="24">
      <c r="A123" s="3117">
        <v>51</v>
      </c>
      <c r="B123" s="3859"/>
      <c r="C123" s="3117" t="s">
        <v>2755</v>
      </c>
      <c r="D123" s="3091" t="s">
        <v>2756</v>
      </c>
      <c r="E123" s="3117">
        <v>0.1</v>
      </c>
      <c r="F123" s="3117">
        <v>15</v>
      </c>
    </row>
    <row r="124" spans="1:6" ht="24">
      <c r="A124" s="3117">
        <v>52</v>
      </c>
      <c r="B124" s="3859" t="s">
        <v>2757</v>
      </c>
      <c r="C124" s="3117" t="s">
        <v>2758</v>
      </c>
      <c r="D124" s="3091" t="s">
        <v>2759</v>
      </c>
      <c r="E124" s="3117">
        <v>0.1</v>
      </c>
      <c r="F124" s="3117">
        <v>15</v>
      </c>
    </row>
    <row r="125" spans="1:6" ht="24">
      <c r="A125" s="3117">
        <v>53</v>
      </c>
      <c r="B125" s="3859"/>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859" t="s">
        <v>2765</v>
      </c>
      <c r="C127" s="3117" t="s">
        <v>2766</v>
      </c>
      <c r="D127" s="3091" t="s">
        <v>2767</v>
      </c>
      <c r="E127" s="3117">
        <v>0.1</v>
      </c>
      <c r="F127" s="3117">
        <v>15</v>
      </c>
    </row>
    <row r="128" spans="1:6" ht="13.5">
      <c r="A128" s="3117">
        <v>56</v>
      </c>
      <c r="B128" s="3859"/>
      <c r="C128" s="3117" t="s">
        <v>2768</v>
      </c>
      <c r="D128" s="3091" t="s">
        <v>2769</v>
      </c>
      <c r="E128" s="3117">
        <v>0.1</v>
      </c>
      <c r="F128" s="3117">
        <v>15</v>
      </c>
    </row>
    <row r="129" spans="1:6" ht="24">
      <c r="A129" s="3117">
        <v>57</v>
      </c>
      <c r="B129" s="3859"/>
      <c r="C129" s="3117" t="s">
        <v>2770</v>
      </c>
      <c r="D129" s="3091" t="s">
        <v>2771</v>
      </c>
      <c r="E129" s="3117">
        <v>0.1</v>
      </c>
      <c r="F129" s="3117">
        <v>15</v>
      </c>
    </row>
    <row r="130" spans="1:6" ht="24">
      <c r="A130" s="3117">
        <v>58</v>
      </c>
      <c r="B130" s="3859" t="s">
        <v>2772</v>
      </c>
      <c r="C130" s="3117" t="s">
        <v>2773</v>
      </c>
      <c r="D130" s="3091" t="s">
        <v>2774</v>
      </c>
      <c r="E130" s="3117">
        <v>0.1</v>
      </c>
      <c r="F130" s="3117">
        <v>15</v>
      </c>
    </row>
    <row r="131" spans="1:6" ht="13.5">
      <c r="A131" s="3117">
        <v>59</v>
      </c>
      <c r="B131" s="3859"/>
      <c r="C131" s="3117" t="s">
        <v>2775</v>
      </c>
      <c r="D131" s="3091" t="s">
        <v>2776</v>
      </c>
      <c r="E131" s="3117">
        <v>0.1</v>
      </c>
      <c r="F131" s="3117">
        <v>15</v>
      </c>
    </row>
    <row r="132" spans="1:6" ht="13.5">
      <c r="A132" s="3117">
        <v>60</v>
      </c>
      <c r="B132" s="3854" t="s">
        <v>2777</v>
      </c>
      <c r="C132" s="3117" t="s">
        <v>2778</v>
      </c>
      <c r="D132" s="3091" t="s">
        <v>2779</v>
      </c>
      <c r="E132" s="3117">
        <v>0.1</v>
      </c>
      <c r="F132" s="3117">
        <v>15</v>
      </c>
    </row>
    <row r="133" spans="1:6" ht="13.5">
      <c r="A133" s="3117">
        <v>61</v>
      </c>
      <c r="B133" s="3858"/>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859" t="s">
        <v>2785</v>
      </c>
      <c r="C135" s="3117" t="s">
        <v>2786</v>
      </c>
      <c r="D135" s="3091" t="s">
        <v>2787</v>
      </c>
      <c r="E135" s="3117">
        <v>0.1</v>
      </c>
      <c r="F135" s="3117">
        <v>15</v>
      </c>
    </row>
    <row r="136" spans="1:6" ht="13.5">
      <c r="A136" s="3117">
        <v>64</v>
      </c>
      <c r="B136" s="3859"/>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9.5" thickBot="1">
      <c r="A4" s="1492"/>
      <c r="B4" s="3545" t="s">
        <v>917</v>
      </c>
      <c r="C4" s="3545"/>
      <c r="D4" s="3545"/>
      <c r="E4" s="1492"/>
    </row>
    <row r="5" spans="1:5" ht="16.5" thickTop="1">
      <c r="A5" s="1490"/>
      <c r="B5" s="3543" t="s">
        <v>909</v>
      </c>
      <c r="C5" s="1493" t="s">
        <v>910</v>
      </c>
      <c r="D5" s="849">
        <f ca="1">结果表!H101</f>
        <v>23656</v>
      </c>
      <c r="E5" s="1490"/>
    </row>
    <row r="6" spans="1:5" ht="15.75">
      <c r="A6" s="1490"/>
      <c r="B6" s="3543"/>
      <c r="C6" s="1493" t="s">
        <v>911</v>
      </c>
      <c r="D6" s="849" t="str">
        <f ca="1">NUMBERSTRING(INT(D5*10000),2)&amp;"元整"</f>
        <v>贰亿叁仟陆佰伍拾陆万元整</v>
      </c>
      <c r="E6" s="1490"/>
    </row>
    <row r="7" spans="1:5" ht="15.75">
      <c r="A7" s="1490"/>
      <c r="B7" s="3548"/>
      <c r="C7" s="1494" t="s">
        <v>912</v>
      </c>
      <c r="D7" s="850">
        <f ca="1">结果表!H102</f>
        <v>7140</v>
      </c>
      <c r="E7" s="1490"/>
    </row>
    <row r="8" spans="1:5" ht="15.75">
      <c r="A8" s="1490"/>
      <c r="B8" s="3549" t="str">
        <f>结果表!E103</f>
        <v>2.估价师知悉的法定优先受偿款</v>
      </c>
      <c r="C8" s="1495" t="s">
        <v>913</v>
      </c>
      <c r="D8" s="850">
        <f>结果表!H103</f>
        <v>0</v>
      </c>
      <c r="E8" s="1490"/>
    </row>
    <row r="9" spans="1:5" ht="15.75">
      <c r="A9" s="1490"/>
      <c r="B9" s="355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42" t="str">
        <f>结果表!E107</f>
        <v>3.房地产抵押价值</v>
      </c>
      <c r="C13" s="1498" t="s">
        <v>910</v>
      </c>
      <c r="D13" s="852">
        <f ca="1">结果表!H107</f>
        <v>23656</v>
      </c>
      <c r="E13" s="1490"/>
    </row>
    <row r="14" spans="1:5" ht="15.75">
      <c r="A14" s="1490"/>
      <c r="B14" s="3543"/>
      <c r="C14" s="1493" t="s">
        <v>911</v>
      </c>
      <c r="D14" s="849" t="str">
        <f ca="1">NUMBERSTRING(INT(D13*10000),2)&amp;"元整"</f>
        <v>贰亿叁仟陆佰伍拾陆万元整</v>
      </c>
      <c r="E14" s="1490"/>
    </row>
    <row r="15" spans="1:5" ht="15">
      <c r="A15" s="1490"/>
      <c r="B15" s="3548"/>
      <c r="C15" s="1494" t="s">
        <v>921</v>
      </c>
      <c r="D15" s="858">
        <f ca="1">结果表!H108</f>
        <v>7140</v>
      </c>
      <c r="E15" s="1490"/>
    </row>
    <row r="16" spans="1:5" ht="15">
      <c r="A16" s="1490"/>
      <c r="B16" s="3549" t="str">
        <f>结果表!E109</f>
        <v>——</v>
      </c>
      <c r="C16" s="1498" t="s">
        <v>922</v>
      </c>
      <c r="D16" s="1499" t="str">
        <f>结果表!H109</f>
        <v>——</v>
      </c>
      <c r="E16" s="1490"/>
    </row>
    <row r="17" spans="1:5" ht="15.75">
      <c r="A17" s="1490"/>
      <c r="B17" s="3550"/>
      <c r="C17" s="1493" t="s">
        <v>923</v>
      </c>
      <c r="D17" s="849" t="e">
        <f>NUMBERSTRING(INT(D16*10000),2)&amp;"元整"</f>
        <v>#VALUE!</v>
      </c>
      <c r="E17" s="1490"/>
    </row>
    <row r="18" spans="1:5" ht="15">
      <c r="A18" s="1490"/>
      <c r="B18" s="3551"/>
      <c r="C18" s="1494" t="s">
        <v>912</v>
      </c>
      <c r="D18" s="858" t="str">
        <f>结果表!H110</f>
        <v>——</v>
      </c>
      <c r="E18" s="1490"/>
    </row>
    <row r="19" spans="1:5" ht="15.75">
      <c r="A19" s="1490"/>
      <c r="B19" s="3542" t="str">
        <f>结果表!E111</f>
        <v>——</v>
      </c>
      <c r="C19" s="1498" t="s">
        <v>910</v>
      </c>
      <c r="D19" s="850" t="str">
        <f>结果表!H111</f>
        <v>——</v>
      </c>
      <c r="E19" s="1490"/>
    </row>
    <row r="20" spans="1:5" ht="15.75">
      <c r="A20" s="1490"/>
      <c r="B20" s="3543"/>
      <c r="C20" s="1493" t="s">
        <v>923</v>
      </c>
      <c r="D20" s="849" t="e">
        <f>NUMBERSTRING(INT(D19*10000),2)&amp;"元整"</f>
        <v>#VALUE!</v>
      </c>
      <c r="E20" s="1490"/>
    </row>
    <row r="21" spans="1:5" ht="15.75" thickBot="1">
      <c r="A21" s="1490"/>
      <c r="B21" s="354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1.1559999999999999</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1.0995999999999999</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42049</v>
      </c>
      <c r="C2" s="2" t="s">
        <v>106</v>
      </c>
      <c r="D2" s="198"/>
      <c r="E2" s="198"/>
      <c r="F2" s="198"/>
      <c r="G2" s="198"/>
    </row>
    <row r="3" spans="1:7" s="199" customFormat="1" ht="18" customHeight="1" thickBot="1">
      <c r="A3" s="202" t="s">
        <v>58</v>
      </c>
      <c r="B3" s="203">
        <f ca="1">ROUND(B2*10000/'数据-汇总表'!E3,0)</f>
        <v>12691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663</v>
      </c>
      <c r="D10" s="844">
        <f>'数据-汇总表'!E6</f>
        <v>33133.130000000005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663</v>
      </c>
      <c r="D19" s="848">
        <f>'数据-汇总表'!E3</f>
        <v>33133.130000000005</v>
      </c>
      <c r="E19" s="210">
        <f>'数据-取费表'!B31</f>
        <v>200</v>
      </c>
      <c r="F19" s="230"/>
      <c r="G19" s="1" t="s">
        <v>436</v>
      </c>
    </row>
    <row r="20" spans="1:7" s="213" customFormat="1" ht="13.5" customHeight="1">
      <c r="A20" s="776" t="s">
        <v>419</v>
      </c>
      <c r="B20" s="209" t="s">
        <v>77</v>
      </c>
      <c r="C20" s="231">
        <f>ROUND((C5+C19)*F20,0)</f>
        <v>425</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1552</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48</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2170</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2170</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27483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13370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12160</v>
      </c>
      <c r="D34" s="216"/>
      <c r="E34" s="219"/>
      <c r="F34" s="256">
        <f>IF('数据-取费表'!B24=0,1,'数据-取费表'!N16)</f>
        <v>1</v>
      </c>
      <c r="G34" s="218" t="s">
        <v>89</v>
      </c>
    </row>
    <row r="35" spans="1:7" ht="13.5" customHeight="1">
      <c r="A35" s="779" t="s">
        <v>351</v>
      </c>
      <c r="B35" s="214" t="s">
        <v>33</v>
      </c>
      <c r="C35" s="219">
        <f>ROUND(C34*F35,0)</f>
        <v>365</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663</v>
      </c>
      <c r="D37" s="216">
        <f>'数据-汇总表'!E3</f>
        <v>33133.130000000005</v>
      </c>
      <c r="E37" s="248">
        <f>'数据-取费表'!B35</f>
        <v>200</v>
      </c>
      <c r="F37" s="258"/>
      <c r="G37" s="260" t="s">
        <v>92</v>
      </c>
    </row>
    <row r="38" spans="1:7" ht="13.5" customHeight="1">
      <c r="A38" s="779" t="s">
        <v>354</v>
      </c>
      <c r="B38" s="214" t="s">
        <v>36</v>
      </c>
      <c r="C38" s="219">
        <f>ROUND(C34*F38,0)</f>
        <v>182</v>
      </c>
      <c r="D38" s="219"/>
      <c r="E38" s="219"/>
      <c r="F38" s="258">
        <f>'数据-取费表'!B36</f>
        <v>1.4999999999999999E-2</v>
      </c>
      <c r="G38" s="218" t="s">
        <v>90</v>
      </c>
    </row>
    <row r="39" spans="1:7" s="213" customFormat="1" ht="13.5" customHeight="1">
      <c r="A39" s="776" t="s">
        <v>338</v>
      </c>
      <c r="B39" s="209" t="s">
        <v>77</v>
      </c>
      <c r="C39" s="231">
        <f>ROUND(C33*F20,0)</f>
        <v>267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484</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475</v>
      </c>
      <c r="D42" s="237"/>
      <c r="E42" s="237"/>
      <c r="F42" s="238"/>
      <c r="G42" s="3724" t="s">
        <v>94</v>
      </c>
    </row>
    <row r="43" spans="1:7" ht="13.5" customHeight="1">
      <c r="A43" s="779" t="s">
        <v>347</v>
      </c>
      <c r="B43" s="214" t="s">
        <v>426</v>
      </c>
      <c r="C43" s="237">
        <f ca="1">ROUND(IF('数据-取费表'!B22&lt;=1,C39*F22*'数据-取费表'!B21/2,C39*(POWER((1+F22),'数据-取费表'!B21/2)-1)),0)</f>
        <v>9</v>
      </c>
      <c r="D43" s="237"/>
      <c r="E43" s="237"/>
      <c r="F43" s="238"/>
      <c r="G43" s="3725"/>
    </row>
    <row r="44" spans="1:7" ht="13.5" customHeight="1">
      <c r="A44" s="779" t="s">
        <v>348</v>
      </c>
      <c r="B44" s="214" t="s">
        <v>428</v>
      </c>
      <c r="C44" s="237">
        <f ca="1">ROUND(IF('数据-取费表'!B22&lt;=1,C40*F22*'数据-取费表'!B21/2,C40*(POWER((1+F22),'数据-取费表'!B21/2)-1)),4)</f>
        <v>6.9999999999999999E-4</v>
      </c>
      <c r="D44" s="237"/>
      <c r="E44" s="237"/>
      <c r="F44" s="238"/>
      <c r="G44" s="3726"/>
    </row>
    <row r="45" spans="1:7" s="213" customFormat="1" ht="13.5" customHeight="1">
      <c r="A45" s="776" t="s">
        <v>341</v>
      </c>
      <c r="B45" s="243" t="s">
        <v>85</v>
      </c>
      <c r="C45" s="244">
        <f>C46</f>
        <v>1364</v>
      </c>
      <c r="D45" s="234">
        <f>C47</f>
        <v>2E-3</v>
      </c>
      <c r="E45" s="235" t="s">
        <v>102</v>
      </c>
      <c r="F45" s="245"/>
      <c r="G45" s="246" t="s">
        <v>434</v>
      </c>
    </row>
    <row r="46" spans="1:7" s="213" customFormat="1" ht="13.5" customHeight="1">
      <c r="A46" s="779" t="s">
        <v>349</v>
      </c>
      <c r="B46" s="247" t="s">
        <v>427</v>
      </c>
      <c r="C46" s="248">
        <f>ROUND((C33+C39)*F27,0)</f>
        <v>1364</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16742</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14566</v>
      </c>
      <c r="D51" s="231"/>
      <c r="E51" s="231"/>
      <c r="F51" s="263"/>
      <c r="G51" s="233" t="s">
        <v>37</v>
      </c>
    </row>
    <row r="52" spans="1:7" s="207" customFormat="1" ht="16.5" thickBot="1">
      <c r="A52" s="264" t="s">
        <v>38</v>
      </c>
      <c r="B52" s="265"/>
      <c r="C52" s="266">
        <f ca="1">C31+C51</f>
        <v>42049</v>
      </c>
      <c r="D52" s="265"/>
      <c r="E52" s="265"/>
      <c r="F52" s="265"/>
      <c r="G52" s="267"/>
    </row>
    <row r="55" spans="1:7" ht="15">
      <c r="B55" s="269" t="s">
        <v>39</v>
      </c>
      <c r="C55" s="270"/>
    </row>
    <row r="56" spans="1:7">
      <c r="B56" s="272" t="s">
        <v>40</v>
      </c>
      <c r="C56" s="273">
        <f ca="1">ROUND(C51/C52,3)</f>
        <v>0.34599999999999997</v>
      </c>
    </row>
    <row r="57" spans="1:7">
      <c r="B57" s="272" t="s">
        <v>41</v>
      </c>
      <c r="C57" s="274">
        <f ca="1">1-C56</f>
        <v>0.65400000000000003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42" zoomScale="80" zoomScaleNormal="80" workbookViewId="0">
      <selection activeCell="A183" sqref="A183:G18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62" t="s">
        <v>2837</v>
      </c>
      <c r="B1" s="3862"/>
      <c r="C1" s="3862"/>
      <c r="D1" s="3862"/>
      <c r="E1" s="3862"/>
      <c r="F1" s="3862"/>
      <c r="G1" s="3863"/>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60" t="s">
        <v>2864</v>
      </c>
      <c r="B3" s="3229"/>
      <c r="C3" s="3230" t="s">
        <v>2807</v>
      </c>
      <c r="D3" s="3230" t="s">
        <v>2865</v>
      </c>
      <c r="E3" s="3230" t="s">
        <v>2809</v>
      </c>
      <c r="F3" s="3230" t="s">
        <v>2866</v>
      </c>
      <c r="G3" s="3230" t="s">
        <v>2627</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61"/>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54" workbookViewId="0">
      <selection activeCell="A181" sqref="A181:G189"/>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64" t="s">
        <v>3179</v>
      </c>
      <c r="B1" s="3864"/>
    </row>
    <row r="2" spans="1:7" ht="14.25" thickBot="1">
      <c r="A2" s="3254"/>
      <c r="B2" s="3254"/>
    </row>
    <row r="3" spans="1:7" ht="14.25" thickBot="1">
      <c r="A3" s="3254"/>
      <c r="B3" s="3254"/>
      <c r="C3" s="3255" t="s">
        <v>2807</v>
      </c>
      <c r="D3" s="3255" t="s">
        <v>2865</v>
      </c>
      <c r="E3" s="3255" t="s">
        <v>2809</v>
      </c>
      <c r="F3" s="3255" t="s">
        <v>2866</v>
      </c>
      <c r="G3" s="3255" t="s">
        <v>2627</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30" sqref="E30"/>
    </sheetView>
  </sheetViews>
  <sheetFormatPr defaultColWidth="13.25" defaultRowHeight="13.5"/>
  <cols>
    <col min="1" max="16384" width="13.25" style="3289"/>
  </cols>
  <sheetData>
    <row r="1" spans="1:6">
      <c r="A1" s="3865" t="s">
        <v>3230</v>
      </c>
      <c r="B1" s="3865"/>
      <c r="C1" s="3865"/>
      <c r="D1" s="3865"/>
      <c r="E1" s="3865"/>
      <c r="F1" s="3866"/>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20">
        <f>基准地价修正!G23</f>
        <v>45120</v>
      </c>
      <c r="B1" s="3209" t="s">
        <v>2836</v>
      </c>
      <c r="C1" s="3210"/>
      <c r="D1" s="3210"/>
      <c r="E1" s="3210"/>
      <c r="F1" s="3210"/>
      <c r="G1" s="3210"/>
      <c r="H1" s="3210"/>
      <c r="I1" s="3210"/>
      <c r="J1" s="3164"/>
      <c r="K1" s="3210" t="s">
        <v>454</v>
      </c>
      <c r="L1" s="3210"/>
      <c r="M1" s="3210"/>
      <c r="N1" s="3210"/>
      <c r="O1" s="3210"/>
      <c r="P1" s="3210"/>
      <c r="Q1" s="3164"/>
      <c r="R1" s="3867" t="s">
        <v>456</v>
      </c>
      <c r="S1" s="3868"/>
      <c r="T1" s="3868"/>
      <c r="U1" s="3868"/>
      <c r="V1" s="3868"/>
      <c r="W1" s="3868"/>
      <c r="X1" s="3164"/>
      <c r="Y1" s="3867" t="s">
        <v>457</v>
      </c>
      <c r="Z1" s="3868"/>
      <c r="AA1" s="3868"/>
      <c r="AB1" s="3868"/>
      <c r="AC1" s="3868"/>
      <c r="AD1" s="3868"/>
    </row>
    <row r="2" spans="1:30"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2.75">
      <c r="A3" s="3148" t="s">
        <v>2815</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3371</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3370</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3362</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3353</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2816</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2817</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2818</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2819</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2820</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3364</v>
      </c>
    </row>
    <row r="19" spans="1:30" s="3008" customFormat="1">
      <c r="I19" s="3207" t="s">
        <v>2821</v>
      </c>
    </row>
    <row r="20" spans="1:30" s="3008" customFormat="1"/>
    <row r="21" spans="1:30" s="3208" customFormat="1" ht="12.75">
      <c r="B21" s="3209" t="s">
        <v>2822</v>
      </c>
      <c r="C21" s="3210"/>
      <c r="D21" s="3210"/>
      <c r="E21" s="3210"/>
      <c r="F21" s="3210"/>
      <c r="G21" s="3210"/>
      <c r="H21" s="3210"/>
      <c r="I21" s="3210"/>
      <c r="J21" s="3164"/>
      <c r="K21" s="3210" t="s">
        <v>2823</v>
      </c>
      <c r="L21" s="3210"/>
      <c r="M21" s="3210"/>
      <c r="N21" s="3210"/>
      <c r="O21" s="3210"/>
      <c r="P21" s="3210"/>
      <c r="Q21" s="3164"/>
      <c r="R21" s="3867" t="s">
        <v>2824</v>
      </c>
      <c r="S21" s="3868"/>
      <c r="T21" s="3868"/>
      <c r="U21" s="3868"/>
      <c r="V21" s="3868"/>
      <c r="W21" s="3868"/>
      <c r="X21" s="3164"/>
      <c r="Y21" s="3867" t="s">
        <v>2825</v>
      </c>
      <c r="Z21" s="3868"/>
      <c r="AA21" s="3868"/>
      <c r="AB21" s="3868"/>
      <c r="AC21" s="3868"/>
      <c r="AD21" s="3868"/>
    </row>
    <row r="22" spans="1:30" s="3142" customFormat="1" ht="14.25" thickBot="1">
      <c r="B22" s="3143"/>
      <c r="C22" s="3144"/>
      <c r="D22" s="3145" t="s">
        <v>2826</v>
      </c>
      <c r="E22" s="3146" t="s">
        <v>2827</v>
      </c>
      <c r="F22" s="3146" t="s">
        <v>2828</v>
      </c>
      <c r="G22" s="3146" t="s">
        <v>2829</v>
      </c>
      <c r="H22" s="3146"/>
      <c r="I22" s="3146" t="s">
        <v>2830</v>
      </c>
      <c r="J22" s="3147"/>
      <c r="K22" s="3145" t="s">
        <v>2826</v>
      </c>
      <c r="L22" s="3146" t="s">
        <v>2827</v>
      </c>
      <c r="M22" s="3146" t="s">
        <v>2828</v>
      </c>
      <c r="N22" s="3146" t="s">
        <v>2829</v>
      </c>
      <c r="O22" s="3146"/>
      <c r="P22" s="3146" t="s">
        <v>2830</v>
      </c>
      <c r="Q22" s="3147"/>
      <c r="R22" s="3145" t="s">
        <v>2826</v>
      </c>
      <c r="S22" s="3146" t="s">
        <v>2827</v>
      </c>
      <c r="T22" s="3146" t="s">
        <v>2828</v>
      </c>
      <c r="U22" s="3146" t="s">
        <v>2829</v>
      </c>
      <c r="V22" s="3146"/>
      <c r="W22" s="3146" t="s">
        <v>2830</v>
      </c>
      <c r="X22" s="3147"/>
      <c r="Y22" s="3145" t="s">
        <v>2826</v>
      </c>
      <c r="Z22" s="3146" t="s">
        <v>2827</v>
      </c>
      <c r="AA22" s="3146" t="s">
        <v>2828</v>
      </c>
      <c r="AB22" s="3146" t="s">
        <v>2829</v>
      </c>
      <c r="AC22" s="3146"/>
      <c r="AD22" s="3146" t="s">
        <v>2830</v>
      </c>
    </row>
    <row r="23" spans="1:30" s="3160" customFormat="1" ht="12.75">
      <c r="A23" s="3148" t="s">
        <v>2831</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3369</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3370</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3353</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2832</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2833</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2834</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2835</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2820</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4" t="s">
        <v>452</v>
      </c>
      <c r="C1" s="3874"/>
      <c r="D1" s="3874"/>
      <c r="E1" s="3874"/>
      <c r="F1" s="3874"/>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7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7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7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7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7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7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7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7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7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7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7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7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7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7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7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7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7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7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7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7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7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7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7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7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7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7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7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7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7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7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7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topLeftCell="F1" workbookViewId="0">
      <selection activeCell="L14" sqref="L14:L17"/>
    </sheetView>
  </sheetViews>
  <sheetFormatPr defaultRowHeight="12"/>
  <cols>
    <col min="1" max="1" width="4.75" style="3493" bestFit="1" customWidth="1"/>
    <col min="2" max="2" width="23.875" style="3493" customWidth="1"/>
    <col min="3" max="3" width="12" style="3493" customWidth="1"/>
    <col min="4" max="4" width="10.25" style="3493" bestFit="1" customWidth="1"/>
    <col min="5" max="5" width="21" style="3493" bestFit="1" customWidth="1"/>
    <col min="6" max="6" width="12.375" style="3493" bestFit="1" customWidth="1"/>
    <col min="7" max="7" width="8" style="3493" bestFit="1" customWidth="1"/>
    <col min="8" max="8" width="12.25" style="3493" bestFit="1" customWidth="1"/>
    <col min="9" max="9" width="14.125" style="3493" bestFit="1" customWidth="1"/>
    <col min="10" max="10" width="15" style="3517" bestFit="1" customWidth="1"/>
    <col min="11" max="11" width="16.75" style="3517" bestFit="1" customWidth="1"/>
    <col min="12" max="12" width="8.5" style="3493" bestFit="1" customWidth="1"/>
    <col min="13" max="13" width="12.25" style="3493" bestFit="1" customWidth="1"/>
    <col min="14" max="14" width="13.125" style="3493" bestFit="1" customWidth="1"/>
    <col min="15" max="16384" width="9" style="3493"/>
  </cols>
  <sheetData>
    <row r="1" spans="1:14">
      <c r="A1" s="3486" t="s">
        <v>3472</v>
      </c>
      <c r="B1" s="3487" t="s">
        <v>3473</v>
      </c>
      <c r="C1" s="3488" t="s">
        <v>3474</v>
      </c>
      <c r="D1" s="3489" t="s">
        <v>3475</v>
      </c>
      <c r="E1" s="3490" t="s">
        <v>3476</v>
      </c>
      <c r="F1" s="3489" t="s">
        <v>3477</v>
      </c>
      <c r="G1" s="3489" t="s">
        <v>3478</v>
      </c>
      <c r="H1" s="3491" t="s">
        <v>3479</v>
      </c>
      <c r="I1" s="3491" t="s">
        <v>3480</v>
      </c>
      <c r="J1" s="3513" t="s">
        <v>3481</v>
      </c>
      <c r="K1" s="3513" t="s">
        <v>3482</v>
      </c>
      <c r="L1" s="3492" t="s">
        <v>3483</v>
      </c>
      <c r="M1" s="3491" t="s">
        <v>3484</v>
      </c>
    </row>
    <row r="2" spans="1:14" s="3512" customFormat="1">
      <c r="A2" s="3504">
        <v>1</v>
      </c>
      <c r="B2" s="3505" t="s">
        <v>3485</v>
      </c>
      <c r="C2" s="3506" t="s">
        <v>3486</v>
      </c>
      <c r="D2" s="3507" t="s">
        <v>3487</v>
      </c>
      <c r="E2" s="3508" t="s">
        <v>3488</v>
      </c>
      <c r="F2" s="3505" t="s">
        <v>3489</v>
      </c>
      <c r="G2" s="3505" t="s">
        <v>3490</v>
      </c>
      <c r="H2" s="3509">
        <v>135974.95000000001</v>
      </c>
      <c r="I2" s="3509">
        <v>271949.90000000002</v>
      </c>
      <c r="J2" s="3514">
        <v>1.6537500000000001</v>
      </c>
      <c r="K2" s="3514">
        <v>0.70874999999999999</v>
      </c>
      <c r="L2" s="3510"/>
      <c r="M2" s="3511">
        <v>64749.98</v>
      </c>
    </row>
    <row r="3" spans="1:14" s="3512" customFormat="1" ht="11.25" customHeight="1">
      <c r="A3" s="3504">
        <v>2</v>
      </c>
      <c r="B3" s="3518" t="s">
        <v>3491</v>
      </c>
      <c r="C3" s="3519" t="s">
        <v>3492</v>
      </c>
      <c r="D3" s="3518" t="s">
        <v>3493</v>
      </c>
      <c r="E3" s="3520" t="s">
        <v>3494</v>
      </c>
      <c r="F3" s="3521" t="s">
        <v>3489</v>
      </c>
      <c r="G3" s="3521" t="s">
        <v>3495</v>
      </c>
      <c r="H3" s="3509">
        <v>494255.63</v>
      </c>
      <c r="I3" s="3509">
        <v>1812270.64</v>
      </c>
      <c r="J3" s="3522">
        <v>1.5</v>
      </c>
      <c r="K3" s="3522">
        <v>0.5</v>
      </c>
      <c r="L3" s="3880"/>
      <c r="M3" s="3523"/>
    </row>
    <row r="4" spans="1:14">
      <c r="A4" s="3486">
        <v>3</v>
      </c>
      <c r="B4" s="3497" t="s">
        <v>3491</v>
      </c>
      <c r="C4" s="3498" t="s">
        <v>3492</v>
      </c>
      <c r="D4" s="3497" t="s">
        <v>3493</v>
      </c>
      <c r="E4" s="3499" t="s">
        <v>3496</v>
      </c>
      <c r="F4" s="3500" t="s">
        <v>3489</v>
      </c>
      <c r="G4" s="3500" t="s">
        <v>3495</v>
      </c>
      <c r="H4" s="3496">
        <v>518968.41</v>
      </c>
      <c r="I4" s="3496">
        <v>1902884.17</v>
      </c>
      <c r="J4" s="3515">
        <v>1.58</v>
      </c>
      <c r="K4" s="3515">
        <v>0.53</v>
      </c>
      <c r="L4" s="3880"/>
      <c r="M4" s="3491">
        <v>32950.370000000003</v>
      </c>
      <c r="N4" s="3493">
        <f>ROUND(J4/J3,2)</f>
        <v>1.05</v>
      </c>
    </row>
    <row r="5" spans="1:14">
      <c r="A5" s="3486">
        <v>4</v>
      </c>
      <c r="B5" s="3497" t="s">
        <v>3491</v>
      </c>
      <c r="C5" s="3498" t="s">
        <v>3492</v>
      </c>
      <c r="D5" s="3497" t="s">
        <v>3493</v>
      </c>
      <c r="E5" s="3499" t="s">
        <v>3497</v>
      </c>
      <c r="F5" s="3500" t="s">
        <v>3489</v>
      </c>
      <c r="G5" s="3500" t="s">
        <v>3495</v>
      </c>
      <c r="H5" s="3496">
        <v>544916.82999999996</v>
      </c>
      <c r="I5" s="3496">
        <v>1998028.37</v>
      </c>
      <c r="J5" s="3515">
        <v>1.65</v>
      </c>
      <c r="K5" s="3515">
        <v>0.55000000000000004</v>
      </c>
      <c r="L5" s="3880"/>
      <c r="M5" s="3491">
        <v>34597.89</v>
      </c>
      <c r="N5" s="3493">
        <f>ROUND(J5/J4,2)</f>
        <v>1.04</v>
      </c>
    </row>
    <row r="6" spans="1:14" s="3512" customFormat="1">
      <c r="A6" s="3504">
        <v>5</v>
      </c>
      <c r="B6" s="3518" t="s">
        <v>3498</v>
      </c>
      <c r="C6" s="3519" t="s">
        <v>3499</v>
      </c>
      <c r="D6" s="3518" t="s">
        <v>3500</v>
      </c>
      <c r="E6" s="3520" t="s">
        <v>3501</v>
      </c>
      <c r="F6" s="3521" t="s">
        <v>3489</v>
      </c>
      <c r="G6" s="3521" t="s">
        <v>3502</v>
      </c>
      <c r="H6" s="3509">
        <v>40516.879999999997</v>
      </c>
      <c r="I6" s="3509">
        <v>486202.55999999994</v>
      </c>
      <c r="J6" s="3522">
        <v>3.55</v>
      </c>
      <c r="K6" s="3522">
        <v>1.52</v>
      </c>
      <c r="L6" s="3880"/>
      <c r="M6" s="3524">
        <v>2756.25</v>
      </c>
    </row>
    <row r="7" spans="1:14">
      <c r="A7" s="3486">
        <v>6</v>
      </c>
      <c r="B7" s="3497" t="s">
        <v>3498</v>
      </c>
      <c r="C7" s="3498" t="s">
        <v>3499</v>
      </c>
      <c r="D7" s="3497" t="s">
        <v>3500</v>
      </c>
      <c r="E7" s="3499" t="s">
        <v>3503</v>
      </c>
      <c r="F7" s="3500" t="s">
        <v>3489</v>
      </c>
      <c r="G7" s="3500" t="s">
        <v>3502</v>
      </c>
      <c r="H7" s="3496">
        <v>42542.720000000001</v>
      </c>
      <c r="I7" s="3496">
        <v>510512.64000000001</v>
      </c>
      <c r="J7" s="3515">
        <v>3.73</v>
      </c>
      <c r="K7" s="3515">
        <v>1.6</v>
      </c>
      <c r="L7" s="3880"/>
      <c r="M7" s="3501">
        <v>2894.06</v>
      </c>
      <c r="N7" s="3493">
        <f>ROUND(J7/J6,2)</f>
        <v>1.05</v>
      </c>
    </row>
    <row r="8" spans="1:14">
      <c r="A8" s="3486">
        <v>7</v>
      </c>
      <c r="B8" s="3497" t="s">
        <v>3498</v>
      </c>
      <c r="C8" s="3498" t="s">
        <v>3499</v>
      </c>
      <c r="D8" s="3497" t="s">
        <v>3500</v>
      </c>
      <c r="E8" s="3499" t="s">
        <v>3504</v>
      </c>
      <c r="F8" s="3500" t="s">
        <v>3489</v>
      </c>
      <c r="G8" s="3500" t="s">
        <v>3502</v>
      </c>
      <c r="H8" s="3496">
        <v>44669.86</v>
      </c>
      <c r="I8" s="3496">
        <v>536038.32000000007</v>
      </c>
      <c r="J8" s="3515">
        <v>3.92</v>
      </c>
      <c r="K8" s="3515">
        <v>1.68</v>
      </c>
      <c r="L8" s="3880"/>
      <c r="M8" s="3501">
        <v>3038.77</v>
      </c>
      <c r="N8" s="3493">
        <f>ROUND(J8/J7,2)</f>
        <v>1.05</v>
      </c>
    </row>
    <row r="9" spans="1:14" s="3512" customFormat="1">
      <c r="A9" s="3504">
        <v>8</v>
      </c>
      <c r="B9" s="3518" t="s">
        <v>3505</v>
      </c>
      <c r="C9" s="3519" t="s">
        <v>3506</v>
      </c>
      <c r="D9" s="3518" t="s">
        <v>3507</v>
      </c>
      <c r="E9" s="3520" t="s">
        <v>3508</v>
      </c>
      <c r="F9" s="3521" t="s">
        <v>3489</v>
      </c>
      <c r="G9" s="3518" t="s">
        <v>3495</v>
      </c>
      <c r="H9" s="3509">
        <v>79620.179999999993</v>
      </c>
      <c r="I9" s="3509">
        <v>318480.71999999997</v>
      </c>
      <c r="J9" s="3522">
        <v>1.575</v>
      </c>
      <c r="K9" s="3522">
        <v>0.63</v>
      </c>
      <c r="L9" s="3510"/>
      <c r="M9" s="3523">
        <v>5308.01</v>
      </c>
    </row>
    <row r="10" spans="1:14" s="3512" customFormat="1">
      <c r="A10" s="3504">
        <v>9</v>
      </c>
      <c r="B10" s="3518" t="s">
        <v>3509</v>
      </c>
      <c r="C10" s="3519" t="s">
        <v>3510</v>
      </c>
      <c r="D10" s="3518" t="s">
        <v>3511</v>
      </c>
      <c r="E10" s="3520" t="s">
        <v>3512</v>
      </c>
      <c r="F10" s="3521" t="s">
        <v>3489</v>
      </c>
      <c r="G10" s="3518" t="s">
        <v>3495</v>
      </c>
      <c r="H10" s="3509">
        <v>47189.03</v>
      </c>
      <c r="I10" s="3509">
        <v>188756.12</v>
      </c>
      <c r="J10" s="3522">
        <v>1.69</v>
      </c>
      <c r="K10" s="3522">
        <v>0.72</v>
      </c>
      <c r="L10" s="3510"/>
      <c r="M10" s="3523">
        <v>3071.48</v>
      </c>
    </row>
    <row r="11" spans="1:14" s="3512" customFormat="1">
      <c r="A11" s="3504">
        <v>10</v>
      </c>
      <c r="B11" s="3518" t="s">
        <v>3505</v>
      </c>
      <c r="C11" s="3519" t="s">
        <v>3513</v>
      </c>
      <c r="D11" s="3518" t="s">
        <v>3514</v>
      </c>
      <c r="E11" s="3520" t="s">
        <v>3515</v>
      </c>
      <c r="F11" s="3505" t="s">
        <v>3489</v>
      </c>
      <c r="G11" s="3518" t="s">
        <v>3516</v>
      </c>
      <c r="H11" s="3509">
        <v>5040</v>
      </c>
      <c r="I11" s="3509">
        <v>15120</v>
      </c>
      <c r="J11" s="3522" t="s">
        <v>3517</v>
      </c>
      <c r="K11" s="3522" t="s">
        <v>3518</v>
      </c>
      <c r="L11" s="3510">
        <v>8.8000000000000007</v>
      </c>
      <c r="M11" s="3523">
        <v>600</v>
      </c>
    </row>
    <row r="12" spans="1:14" s="3512" customFormat="1">
      <c r="A12" s="3504">
        <v>11</v>
      </c>
      <c r="B12" s="3518" t="s">
        <v>3519</v>
      </c>
      <c r="C12" s="3519" t="s">
        <v>3520</v>
      </c>
      <c r="D12" s="3518" t="s">
        <v>3521</v>
      </c>
      <c r="E12" s="3520" t="s">
        <v>3522</v>
      </c>
      <c r="F12" s="3521" t="s">
        <v>3489</v>
      </c>
      <c r="G12" s="3518" t="s">
        <v>3495</v>
      </c>
      <c r="H12" s="3509">
        <v>28402.48</v>
      </c>
      <c r="I12" s="3509">
        <v>227219.84</v>
      </c>
      <c r="J12" s="3522">
        <v>1.58</v>
      </c>
      <c r="K12" s="3522">
        <v>0.63</v>
      </c>
      <c r="L12" s="3880"/>
      <c r="M12" s="3523">
        <v>1977.38</v>
      </c>
    </row>
    <row r="13" spans="1:14">
      <c r="A13" s="3486">
        <v>12</v>
      </c>
      <c r="B13" s="3497" t="s">
        <v>3519</v>
      </c>
      <c r="C13" s="3498" t="s">
        <v>3520</v>
      </c>
      <c r="D13" s="3497" t="s">
        <v>3521</v>
      </c>
      <c r="E13" s="3499" t="s">
        <v>3523</v>
      </c>
      <c r="F13" s="3500" t="s">
        <v>3489</v>
      </c>
      <c r="G13" s="3497" t="s">
        <v>3495</v>
      </c>
      <c r="H13" s="3496">
        <v>30739.39</v>
      </c>
      <c r="I13" s="3496">
        <v>245915.12</v>
      </c>
      <c r="J13" s="3515">
        <v>1.71</v>
      </c>
      <c r="K13" s="3515">
        <v>0.8</v>
      </c>
      <c r="L13" s="3880"/>
      <c r="M13" s="3491">
        <v>3235.73</v>
      </c>
      <c r="N13" s="3493">
        <f>ROUND(J13/J12,2)</f>
        <v>1.08</v>
      </c>
    </row>
    <row r="14" spans="1:14" s="3512" customFormat="1">
      <c r="A14" s="3504">
        <v>13</v>
      </c>
      <c r="B14" s="3518" t="s">
        <v>3524</v>
      </c>
      <c r="C14" s="3519" t="s">
        <v>3525</v>
      </c>
      <c r="D14" s="3518" t="s">
        <v>3526</v>
      </c>
      <c r="E14" s="3520" t="s">
        <v>3527</v>
      </c>
      <c r="F14" s="3525" t="s">
        <v>3489</v>
      </c>
      <c r="G14" s="3525" t="s">
        <v>3495</v>
      </c>
      <c r="H14" s="3509">
        <v>240900</v>
      </c>
      <c r="I14" s="3509">
        <v>883300</v>
      </c>
      <c r="J14" s="3522">
        <v>1.5</v>
      </c>
      <c r="K14" s="3522">
        <v>0.5</v>
      </c>
      <c r="L14" s="3880"/>
      <c r="M14" s="3523"/>
    </row>
    <row r="15" spans="1:14">
      <c r="A15" s="3486">
        <v>14</v>
      </c>
      <c r="B15" s="3497" t="s">
        <v>3524</v>
      </c>
      <c r="C15" s="3498" t="s">
        <v>3525</v>
      </c>
      <c r="D15" s="3497" t="s">
        <v>3526</v>
      </c>
      <c r="E15" s="3499" t="s">
        <v>3528</v>
      </c>
      <c r="F15" s="3502" t="s">
        <v>3489</v>
      </c>
      <c r="G15" s="3502" t="s">
        <v>3495</v>
      </c>
      <c r="H15" s="3496">
        <v>253748</v>
      </c>
      <c r="I15" s="3496">
        <v>1014992</v>
      </c>
      <c r="J15" s="3515">
        <v>1.58</v>
      </c>
      <c r="K15" s="3515">
        <v>0.53</v>
      </c>
      <c r="L15" s="3880"/>
      <c r="M15" s="3491">
        <v>338866</v>
      </c>
      <c r="N15" s="3493">
        <f>ROUND(J15/J14,2)</f>
        <v>1.05</v>
      </c>
    </row>
    <row r="16" spans="1:14">
      <c r="A16" s="3486">
        <v>15</v>
      </c>
      <c r="B16" s="3497" t="s">
        <v>3524</v>
      </c>
      <c r="C16" s="3498" t="s">
        <v>3525</v>
      </c>
      <c r="D16" s="3497" t="s">
        <v>3526</v>
      </c>
      <c r="E16" s="3499" t="s">
        <v>3529</v>
      </c>
      <c r="F16" s="3502" t="s">
        <v>3489</v>
      </c>
      <c r="G16" s="3502" t="s">
        <v>3495</v>
      </c>
      <c r="H16" s="3496">
        <v>266596</v>
      </c>
      <c r="I16" s="3496">
        <v>1066384</v>
      </c>
      <c r="J16" s="3515">
        <v>1.66</v>
      </c>
      <c r="K16" s="3515">
        <v>0.56000000000000005</v>
      </c>
      <c r="L16" s="3880"/>
      <c r="M16" s="3491">
        <v>356532</v>
      </c>
      <c r="N16" s="3493">
        <f t="shared" ref="N16:N17" si="0">ROUND(J16/J15,2)</f>
        <v>1.05</v>
      </c>
    </row>
    <row r="17" spans="1:14">
      <c r="A17" s="3486">
        <v>16</v>
      </c>
      <c r="B17" s="3497" t="s">
        <v>3524</v>
      </c>
      <c r="C17" s="3498" t="s">
        <v>3525</v>
      </c>
      <c r="D17" s="3497" t="s">
        <v>3526</v>
      </c>
      <c r="E17" s="3499" t="s">
        <v>3530</v>
      </c>
      <c r="F17" s="3502" t="s">
        <v>3489</v>
      </c>
      <c r="G17" s="3502" t="s">
        <v>3495</v>
      </c>
      <c r="H17" s="3496">
        <v>279444</v>
      </c>
      <c r="I17" s="3496">
        <v>1117776</v>
      </c>
      <c r="J17" s="3515">
        <v>1.74</v>
      </c>
      <c r="K17" s="3515">
        <v>0.59</v>
      </c>
      <c r="L17" s="3880"/>
      <c r="M17" s="3491">
        <v>374198</v>
      </c>
      <c r="N17" s="3493">
        <f t="shared" si="0"/>
        <v>1.05</v>
      </c>
    </row>
    <row r="18" spans="1:14" s="3512" customFormat="1">
      <c r="A18" s="3504">
        <v>17</v>
      </c>
      <c r="B18" s="3518" t="s">
        <v>3531</v>
      </c>
      <c r="C18" s="3519" t="s">
        <v>3532</v>
      </c>
      <c r="D18" s="3518" t="s">
        <v>3533</v>
      </c>
      <c r="E18" s="3520" t="s">
        <v>3527</v>
      </c>
      <c r="F18" s="3505" t="s">
        <v>3489</v>
      </c>
      <c r="G18" s="3518" t="s">
        <v>3490</v>
      </c>
      <c r="H18" s="3509">
        <v>50516</v>
      </c>
      <c r="I18" s="3509">
        <v>101032</v>
      </c>
      <c r="J18" s="3522">
        <v>1.73</v>
      </c>
      <c r="K18" s="3522">
        <v>0.74</v>
      </c>
      <c r="L18" s="3510"/>
      <c r="M18" s="3523">
        <v>24041.33</v>
      </c>
    </row>
    <row r="19" spans="1:14" s="3512" customFormat="1">
      <c r="A19" s="3504">
        <v>18</v>
      </c>
      <c r="B19" s="3518" t="s">
        <v>3534</v>
      </c>
      <c r="C19" s="3519" t="s">
        <v>3535</v>
      </c>
      <c r="D19" s="3518" t="s">
        <v>3536</v>
      </c>
      <c r="E19" s="3520" t="s">
        <v>3537</v>
      </c>
      <c r="F19" s="3525" t="s">
        <v>3489</v>
      </c>
      <c r="G19" s="3525" t="s">
        <v>3495</v>
      </c>
      <c r="H19" s="3509">
        <v>7992</v>
      </c>
      <c r="I19" s="3509">
        <v>63936</v>
      </c>
      <c r="J19" s="3522">
        <v>1.85</v>
      </c>
      <c r="K19" s="3522">
        <v>0.79</v>
      </c>
      <c r="L19" s="3510">
        <v>48</v>
      </c>
      <c r="M19" s="3523">
        <v>11404.8</v>
      </c>
    </row>
    <row r="20" spans="1:14" s="3512" customFormat="1">
      <c r="A20" s="3504">
        <v>19</v>
      </c>
      <c r="B20" s="3518" t="s">
        <v>3538</v>
      </c>
      <c r="C20" s="3519" t="s">
        <v>3539</v>
      </c>
      <c r="D20" s="3518" t="s">
        <v>3540</v>
      </c>
      <c r="E20" s="3520" t="s">
        <v>3541</v>
      </c>
      <c r="F20" s="3525" t="s">
        <v>3489</v>
      </c>
      <c r="G20" s="3525" t="s">
        <v>3495</v>
      </c>
      <c r="H20" s="3509">
        <v>30410.89</v>
      </c>
      <c r="I20" s="3509">
        <v>243287.12</v>
      </c>
      <c r="J20" s="3522">
        <v>1.61</v>
      </c>
      <c r="K20" s="3522">
        <v>0.69</v>
      </c>
      <c r="L20" s="3510">
        <v>207</v>
      </c>
      <c r="M20" s="3523">
        <v>43444.13</v>
      </c>
    </row>
    <row r="21" spans="1:14" s="3512" customFormat="1">
      <c r="A21" s="3504">
        <v>20</v>
      </c>
      <c r="B21" s="3518" t="s">
        <v>3542</v>
      </c>
      <c r="C21" s="3519" t="s">
        <v>3543</v>
      </c>
      <c r="D21" s="3518" t="s">
        <v>3544</v>
      </c>
      <c r="E21" s="3520" t="s">
        <v>3545</v>
      </c>
      <c r="F21" s="3505" t="s">
        <v>3489</v>
      </c>
      <c r="G21" s="3525" t="s">
        <v>3490</v>
      </c>
      <c r="H21" s="3509">
        <v>15984</v>
      </c>
      <c r="I21" s="3509">
        <v>63936</v>
      </c>
      <c r="J21" s="3522">
        <v>1.85</v>
      </c>
      <c r="K21" s="3522">
        <v>0.79</v>
      </c>
      <c r="L21" s="3510">
        <v>48</v>
      </c>
      <c r="M21" s="3523">
        <v>7603.2</v>
      </c>
    </row>
    <row r="22" spans="1:14" s="3512" customFormat="1">
      <c r="A22" s="3504">
        <v>21</v>
      </c>
      <c r="B22" s="3518" t="s">
        <v>3546</v>
      </c>
      <c r="C22" s="3519" t="s">
        <v>3547</v>
      </c>
      <c r="D22" s="3518" t="s">
        <v>3548</v>
      </c>
      <c r="E22" s="3520" t="s">
        <v>3549</v>
      </c>
      <c r="F22" s="3525" t="s">
        <v>3489</v>
      </c>
      <c r="G22" s="3525" t="s">
        <v>3495</v>
      </c>
      <c r="H22" s="3509">
        <v>7300.8</v>
      </c>
      <c r="I22" s="3509">
        <v>29203.200000000001</v>
      </c>
      <c r="J22" s="3522">
        <v>1.69</v>
      </c>
      <c r="K22" s="3522">
        <v>0.72</v>
      </c>
      <c r="L22" s="3510"/>
      <c r="M22" s="3523">
        <v>10411.200000000001</v>
      </c>
    </row>
    <row r="23" spans="1:14" s="3512" customFormat="1">
      <c r="A23" s="3504">
        <v>22</v>
      </c>
      <c r="B23" s="3518" t="s">
        <v>3550</v>
      </c>
      <c r="C23" s="3519" t="s">
        <v>3551</v>
      </c>
      <c r="D23" s="3518" t="s">
        <v>3552</v>
      </c>
      <c r="E23" s="3520" t="s">
        <v>3541</v>
      </c>
      <c r="F23" s="3525" t="s">
        <v>3489</v>
      </c>
      <c r="G23" s="3525" t="s">
        <v>3495</v>
      </c>
      <c r="H23" s="3509">
        <v>7371</v>
      </c>
      <c r="I23" s="3509">
        <v>58968</v>
      </c>
      <c r="J23" s="3522">
        <v>1.82</v>
      </c>
      <c r="K23" s="3522">
        <v>0.78</v>
      </c>
      <c r="L23" s="3510">
        <v>45</v>
      </c>
      <c r="M23" s="3523">
        <v>10530</v>
      </c>
    </row>
    <row r="24" spans="1:14" s="3512" customFormat="1">
      <c r="A24" s="3504">
        <v>23</v>
      </c>
      <c r="B24" s="3518" t="s">
        <v>3553</v>
      </c>
      <c r="C24" s="3519" t="s">
        <v>3554</v>
      </c>
      <c r="D24" s="3518" t="s">
        <v>3555</v>
      </c>
      <c r="E24" s="3520" t="s">
        <v>3556</v>
      </c>
      <c r="F24" s="3525" t="s">
        <v>3489</v>
      </c>
      <c r="G24" s="3525" t="s">
        <v>3495</v>
      </c>
      <c r="H24" s="3509">
        <v>12337</v>
      </c>
      <c r="I24" s="3509">
        <v>49348</v>
      </c>
      <c r="J24" s="3522">
        <v>1.69</v>
      </c>
      <c r="K24" s="3522">
        <v>0.72</v>
      </c>
      <c r="L24" s="3510"/>
      <c r="M24" s="3523">
        <v>17593</v>
      </c>
    </row>
    <row r="25" spans="1:14" s="3512" customFormat="1">
      <c r="A25" s="3504">
        <v>24</v>
      </c>
      <c r="B25" s="3518" t="s">
        <v>3557</v>
      </c>
      <c r="C25" s="3519" t="s">
        <v>3558</v>
      </c>
      <c r="D25" s="3518" t="s">
        <v>3559</v>
      </c>
      <c r="E25" s="3520" t="s">
        <v>3560</v>
      </c>
      <c r="F25" s="3525" t="s">
        <v>3489</v>
      </c>
      <c r="G25" s="3525" t="s">
        <v>3495</v>
      </c>
      <c r="H25" s="3509">
        <v>260172</v>
      </c>
      <c r="I25" s="3509">
        <v>1040688</v>
      </c>
      <c r="J25" s="3522">
        <v>1.62</v>
      </c>
      <c r="K25" s="3522">
        <v>0.69</v>
      </c>
      <c r="L25" s="3510"/>
      <c r="M25" s="3523">
        <v>370986</v>
      </c>
    </row>
    <row r="26" spans="1:14" s="3512" customFormat="1">
      <c r="A26" s="3504">
        <v>25</v>
      </c>
      <c r="B26" s="3518" t="s">
        <v>3561</v>
      </c>
      <c r="C26" s="3519" t="s">
        <v>3562</v>
      </c>
      <c r="D26" s="3518" t="s">
        <v>3555</v>
      </c>
      <c r="E26" s="3520" t="s">
        <v>3563</v>
      </c>
      <c r="F26" s="3525" t="s">
        <v>3489</v>
      </c>
      <c r="G26" s="3525" t="s">
        <v>3495</v>
      </c>
      <c r="H26" s="3509">
        <v>75576.899999999994</v>
      </c>
      <c r="I26" s="3509">
        <v>604615.19999999995</v>
      </c>
      <c r="J26" s="3522">
        <v>1.68</v>
      </c>
      <c r="K26" s="3522">
        <v>0.72</v>
      </c>
      <c r="L26" s="3510">
        <v>493</v>
      </c>
      <c r="M26" s="3523">
        <v>107967</v>
      </c>
    </row>
    <row r="27" spans="1:14" s="3512" customFormat="1">
      <c r="A27" s="3504">
        <v>26</v>
      </c>
      <c r="B27" s="3518" t="s">
        <v>3564</v>
      </c>
      <c r="C27" s="3519" t="s">
        <v>3565</v>
      </c>
      <c r="D27" s="3518" t="s">
        <v>3566</v>
      </c>
      <c r="E27" s="3520" t="s">
        <v>3567</v>
      </c>
      <c r="F27" s="3521" t="s">
        <v>3489</v>
      </c>
      <c r="G27" s="3521" t="s">
        <v>3495</v>
      </c>
      <c r="H27" s="3509">
        <v>1405.25</v>
      </c>
      <c r="I27" s="3509">
        <v>11242</v>
      </c>
      <c r="J27" s="3522">
        <v>1.54</v>
      </c>
      <c r="K27" s="3522">
        <v>0.66</v>
      </c>
      <c r="L27" s="3510">
        <v>10</v>
      </c>
      <c r="M27" s="3523">
        <v>2007.5</v>
      </c>
    </row>
    <row r="28" spans="1:14" s="3512" customFormat="1">
      <c r="A28" s="3504">
        <v>27</v>
      </c>
      <c r="B28" s="3518" t="s">
        <v>3568</v>
      </c>
      <c r="C28" s="3519" t="s">
        <v>3543</v>
      </c>
      <c r="D28" s="3518" t="s">
        <v>3569</v>
      </c>
      <c r="E28" s="3520" t="s">
        <v>3570</v>
      </c>
      <c r="F28" s="3521" t="s">
        <v>3489</v>
      </c>
      <c r="G28" s="3521" t="s">
        <v>3495</v>
      </c>
      <c r="H28" s="3509">
        <v>59834.45</v>
      </c>
      <c r="I28" s="3509">
        <v>239337.8</v>
      </c>
      <c r="J28" s="3522">
        <v>1.69</v>
      </c>
      <c r="K28" s="3522">
        <v>0.72</v>
      </c>
      <c r="L28" s="3510"/>
      <c r="M28" s="3523">
        <v>85326.05</v>
      </c>
    </row>
    <row r="29" spans="1:14" s="3512" customFormat="1">
      <c r="A29" s="3504">
        <v>28</v>
      </c>
      <c r="B29" s="3518" t="s">
        <v>3571</v>
      </c>
      <c r="C29" s="3519" t="s">
        <v>3572</v>
      </c>
      <c r="D29" s="3518" t="s">
        <v>3573</v>
      </c>
      <c r="E29" s="3520" t="s">
        <v>3574</v>
      </c>
      <c r="F29" s="3521" t="s">
        <v>3489</v>
      </c>
      <c r="G29" s="3521" t="s">
        <v>3495</v>
      </c>
      <c r="H29" s="3509">
        <v>75582.38</v>
      </c>
      <c r="I29" s="3509">
        <v>604659.04</v>
      </c>
      <c r="J29" s="3522">
        <v>1.65</v>
      </c>
      <c r="K29" s="3522">
        <v>0.7</v>
      </c>
      <c r="L29" s="3510">
        <v>502</v>
      </c>
      <c r="M29" s="3523">
        <v>107647.63</v>
      </c>
    </row>
    <row r="30" spans="1:14" s="3512" customFormat="1">
      <c r="A30" s="3504">
        <v>29</v>
      </c>
      <c r="B30" s="3518" t="s">
        <v>3575</v>
      </c>
      <c r="C30" s="3519" t="s">
        <v>3576</v>
      </c>
      <c r="D30" s="3518" t="s">
        <v>3577</v>
      </c>
      <c r="E30" s="3520" t="s">
        <v>3578</v>
      </c>
      <c r="F30" s="3521" t="s">
        <v>3489</v>
      </c>
      <c r="G30" s="3521" t="s">
        <v>3495</v>
      </c>
      <c r="H30" s="3509">
        <v>58600.75</v>
      </c>
      <c r="I30" s="3509">
        <v>234403</v>
      </c>
      <c r="J30" s="3522">
        <v>1.69</v>
      </c>
      <c r="K30" s="3522">
        <v>0.72</v>
      </c>
      <c r="L30" s="3510"/>
      <c r="M30" s="3523">
        <v>83566.75</v>
      </c>
    </row>
    <row r="31" spans="1:14" s="3512" customFormat="1">
      <c r="A31" s="3504">
        <v>30</v>
      </c>
      <c r="B31" s="3518" t="s">
        <v>3579</v>
      </c>
      <c r="C31" s="3519" t="s">
        <v>3580</v>
      </c>
      <c r="D31" s="3518" t="s">
        <v>3581</v>
      </c>
      <c r="E31" s="3520" t="s">
        <v>3582</v>
      </c>
      <c r="F31" s="3521" t="s">
        <v>3489</v>
      </c>
      <c r="G31" s="3521" t="s">
        <v>3495</v>
      </c>
      <c r="H31" s="3509">
        <v>10347.75</v>
      </c>
      <c r="I31" s="3509">
        <v>82782</v>
      </c>
      <c r="J31" s="3522">
        <v>1.89</v>
      </c>
      <c r="K31" s="3522">
        <v>0.81</v>
      </c>
      <c r="L31" s="3526">
        <v>60</v>
      </c>
      <c r="M31" s="3523">
        <v>14782.5</v>
      </c>
    </row>
    <row r="32" spans="1:14" s="3512" customFormat="1">
      <c r="A32" s="3504">
        <v>31</v>
      </c>
      <c r="B32" s="3518" t="s">
        <v>3583</v>
      </c>
      <c r="C32" s="3519" t="s">
        <v>3584</v>
      </c>
      <c r="D32" s="3518" t="s">
        <v>3585</v>
      </c>
      <c r="E32" s="3520" t="s">
        <v>3586</v>
      </c>
      <c r="F32" s="3521" t="s">
        <v>3489</v>
      </c>
      <c r="G32" s="3521" t="s">
        <v>3495</v>
      </c>
      <c r="H32" s="3509">
        <v>37230</v>
      </c>
      <c r="I32" s="3509">
        <v>186150</v>
      </c>
      <c r="J32" s="3522">
        <v>1.5</v>
      </c>
      <c r="K32" s="3522">
        <v>0.5</v>
      </c>
      <c r="L32" s="3510">
        <v>272</v>
      </c>
      <c r="M32" s="3523">
        <v>49640</v>
      </c>
    </row>
    <row r="33" spans="1:14" s="3512" customFormat="1">
      <c r="A33" s="3504">
        <v>32</v>
      </c>
      <c r="B33" s="3518" t="s">
        <v>3587</v>
      </c>
      <c r="C33" s="3519" t="s">
        <v>3588</v>
      </c>
      <c r="D33" s="3518" t="s">
        <v>3585</v>
      </c>
      <c r="E33" s="3520" t="s">
        <v>3589</v>
      </c>
      <c r="F33" s="3521" t="s">
        <v>3489</v>
      </c>
      <c r="G33" s="3521" t="s">
        <v>3495</v>
      </c>
      <c r="H33" s="3509">
        <v>41328.949999999997</v>
      </c>
      <c r="I33" s="3509">
        <v>165315.79999999999</v>
      </c>
      <c r="J33" s="3522">
        <v>1.69</v>
      </c>
      <c r="K33" s="3522">
        <v>0.72</v>
      </c>
      <c r="L33" s="3510"/>
      <c r="M33" s="3523">
        <v>58936.55</v>
      </c>
    </row>
    <row r="34" spans="1:14" s="3512" customFormat="1">
      <c r="A34" s="3504">
        <v>33</v>
      </c>
      <c r="B34" s="3518" t="s">
        <v>3590</v>
      </c>
      <c r="C34" s="3519" t="s">
        <v>3591</v>
      </c>
      <c r="D34" s="3518" t="s">
        <v>3592</v>
      </c>
      <c r="E34" s="3520" t="s">
        <v>3593</v>
      </c>
      <c r="F34" s="3521" t="s">
        <v>3489</v>
      </c>
      <c r="G34" s="3521" t="s">
        <v>3495</v>
      </c>
      <c r="H34" s="3509">
        <v>4469.43</v>
      </c>
      <c r="I34" s="3509">
        <v>17877.72</v>
      </c>
      <c r="J34" s="3522">
        <v>1.58</v>
      </c>
      <c r="K34" s="3522">
        <v>0.63</v>
      </c>
      <c r="L34" s="3510"/>
      <c r="M34" s="3523">
        <v>6251.54</v>
      </c>
    </row>
    <row r="35" spans="1:14" s="3512" customFormat="1">
      <c r="A35" s="3504">
        <v>34</v>
      </c>
      <c r="B35" s="3518" t="s">
        <v>3524</v>
      </c>
      <c r="C35" s="3519" t="s">
        <v>3594</v>
      </c>
      <c r="D35" s="3518" t="s">
        <v>3595</v>
      </c>
      <c r="E35" s="3520" t="s">
        <v>3596</v>
      </c>
      <c r="F35" s="3521" t="s">
        <v>3489</v>
      </c>
      <c r="G35" s="3521" t="s">
        <v>3495</v>
      </c>
      <c r="H35" s="3509">
        <v>96012.7</v>
      </c>
      <c r="I35" s="3509">
        <v>384050.8</v>
      </c>
      <c r="J35" s="3522">
        <v>1.69</v>
      </c>
      <c r="K35" s="3522">
        <v>0.72</v>
      </c>
      <c r="L35" s="3880"/>
      <c r="M35" s="3523">
        <v>136917.53</v>
      </c>
    </row>
    <row r="36" spans="1:14">
      <c r="A36" s="3486">
        <v>35</v>
      </c>
      <c r="B36" s="3497" t="s">
        <v>3524</v>
      </c>
      <c r="C36" s="3498" t="s">
        <v>3594</v>
      </c>
      <c r="D36" s="3497" t="s">
        <v>3595</v>
      </c>
      <c r="E36" s="3499" t="s">
        <v>3597</v>
      </c>
      <c r="F36" s="3500" t="s">
        <v>3489</v>
      </c>
      <c r="G36" s="3500" t="s">
        <v>3495</v>
      </c>
      <c r="H36" s="3496">
        <v>100557.68</v>
      </c>
      <c r="I36" s="3496">
        <v>402230.72</v>
      </c>
      <c r="J36" s="3515">
        <v>1.77</v>
      </c>
      <c r="K36" s="3515">
        <v>0.76</v>
      </c>
      <c r="L36" s="3880"/>
      <c r="M36" s="3491">
        <v>143735</v>
      </c>
      <c r="N36" s="3493">
        <f t="shared" ref="N36:N38" si="1">ROUND(J36/J35,2)</f>
        <v>1.05</v>
      </c>
    </row>
    <row r="37" spans="1:14">
      <c r="A37" s="3486">
        <v>36</v>
      </c>
      <c r="B37" s="3497" t="s">
        <v>3524</v>
      </c>
      <c r="C37" s="3498" t="s">
        <v>3594</v>
      </c>
      <c r="D37" s="3497" t="s">
        <v>3595</v>
      </c>
      <c r="E37" s="3499" t="s">
        <v>3598</v>
      </c>
      <c r="F37" s="3500" t="s">
        <v>3489</v>
      </c>
      <c r="G37" s="3500" t="s">
        <v>3495</v>
      </c>
      <c r="H37" s="3496">
        <v>105670.79</v>
      </c>
      <c r="I37" s="3496">
        <v>422683.16</v>
      </c>
      <c r="J37" s="3515">
        <v>1.86</v>
      </c>
      <c r="K37" s="3515">
        <v>0.8</v>
      </c>
      <c r="L37" s="3880"/>
      <c r="M37" s="3491">
        <v>151120.59</v>
      </c>
      <c r="N37" s="3493">
        <f t="shared" si="1"/>
        <v>1.05</v>
      </c>
    </row>
    <row r="38" spans="1:14">
      <c r="A38" s="3486">
        <v>37</v>
      </c>
      <c r="B38" s="3497" t="s">
        <v>3524</v>
      </c>
      <c r="C38" s="3498" t="s">
        <v>3594</v>
      </c>
      <c r="D38" s="3497" t="s">
        <v>3595</v>
      </c>
      <c r="E38" s="3499" t="s">
        <v>3599</v>
      </c>
      <c r="F38" s="3500" t="s">
        <v>3489</v>
      </c>
      <c r="G38" s="3500" t="s">
        <v>3495</v>
      </c>
      <c r="H38" s="3496">
        <v>110783.89</v>
      </c>
      <c r="I38" s="3496">
        <v>443135.56</v>
      </c>
      <c r="J38" s="3515">
        <v>1.95</v>
      </c>
      <c r="K38" s="3515">
        <v>0.84</v>
      </c>
      <c r="L38" s="3880"/>
      <c r="M38" s="3491">
        <v>158506.18</v>
      </c>
      <c r="N38" s="3493">
        <f t="shared" si="1"/>
        <v>1.05</v>
      </c>
    </row>
    <row r="39" spans="1:14" s="3512" customFormat="1">
      <c r="A39" s="3504">
        <v>38</v>
      </c>
      <c r="B39" s="3518" t="s">
        <v>3550</v>
      </c>
      <c r="C39" s="3519" t="s">
        <v>3600</v>
      </c>
      <c r="D39" s="3518" t="s">
        <v>3601</v>
      </c>
      <c r="E39" s="3520" t="s">
        <v>3602</v>
      </c>
      <c r="F39" s="3521" t="s">
        <v>3489</v>
      </c>
      <c r="G39" s="3521" t="s">
        <v>3495</v>
      </c>
      <c r="H39" s="3509">
        <v>7371</v>
      </c>
      <c r="I39" s="3509">
        <v>29484</v>
      </c>
      <c r="J39" s="3522">
        <v>1.82</v>
      </c>
      <c r="K39" s="3522">
        <v>0.78</v>
      </c>
      <c r="L39" s="3510">
        <v>45</v>
      </c>
      <c r="M39" s="3523">
        <v>10530</v>
      </c>
    </row>
    <row r="40" spans="1:14" s="3512" customFormat="1">
      <c r="A40" s="3504">
        <v>39</v>
      </c>
      <c r="B40" s="3527" t="s">
        <v>3603</v>
      </c>
      <c r="C40" s="3519" t="s">
        <v>3604</v>
      </c>
      <c r="D40" s="3518" t="s">
        <v>3605</v>
      </c>
      <c r="E40" s="3520" t="s">
        <v>3606</v>
      </c>
      <c r="F40" s="3505" t="s">
        <v>3489</v>
      </c>
      <c r="G40" s="3518" t="s">
        <v>3516</v>
      </c>
      <c r="H40" s="3509">
        <v>15120</v>
      </c>
      <c r="I40" s="3509">
        <v>30240</v>
      </c>
      <c r="J40" s="3522">
        <v>4.2</v>
      </c>
      <c r="K40" s="3522">
        <v>1.8</v>
      </c>
      <c r="L40" s="3510">
        <v>10</v>
      </c>
      <c r="M40" s="3523">
        <v>1800</v>
      </c>
    </row>
    <row r="41" spans="1:14" s="3512" customFormat="1">
      <c r="A41" s="3504">
        <v>40</v>
      </c>
      <c r="B41" s="3518" t="s">
        <v>3607</v>
      </c>
      <c r="C41" s="3519" t="s">
        <v>3608</v>
      </c>
      <c r="D41" s="3518" t="s">
        <v>3605</v>
      </c>
      <c r="E41" s="3520" t="s">
        <v>3606</v>
      </c>
      <c r="F41" s="3505" t="s">
        <v>3489</v>
      </c>
      <c r="G41" s="3518" t="s">
        <v>3516</v>
      </c>
      <c r="H41" s="3509">
        <v>15120</v>
      </c>
      <c r="I41" s="3509">
        <v>30240</v>
      </c>
      <c r="J41" s="3522">
        <v>4.2</v>
      </c>
      <c r="K41" s="3522">
        <v>1.8</v>
      </c>
      <c r="L41" s="3510">
        <v>10</v>
      </c>
      <c r="M41" s="3523">
        <v>1800</v>
      </c>
    </row>
    <row r="42" spans="1:14" s="3512" customFormat="1">
      <c r="A42" s="3504">
        <v>41</v>
      </c>
      <c r="B42" s="3505" t="s">
        <v>3609</v>
      </c>
      <c r="C42" s="3519" t="s">
        <v>3610</v>
      </c>
      <c r="D42" s="3518" t="s">
        <v>3611</v>
      </c>
      <c r="E42" s="3520" t="s">
        <v>3612</v>
      </c>
      <c r="F42" s="3521" t="s">
        <v>3489</v>
      </c>
      <c r="G42" s="3521" t="s">
        <v>3495</v>
      </c>
      <c r="H42" s="3509">
        <v>9622.7999999999993</v>
      </c>
      <c r="I42" s="3509">
        <v>38491.199999999997</v>
      </c>
      <c r="J42" s="3522">
        <v>1.98</v>
      </c>
      <c r="K42" s="3522">
        <v>0.85</v>
      </c>
      <c r="L42" s="3528"/>
      <c r="M42" s="3523">
        <v>13753.8</v>
      </c>
    </row>
    <row r="43" spans="1:14" s="3512" customFormat="1">
      <c r="A43" s="3504">
        <v>42</v>
      </c>
      <c r="B43" s="3518" t="s">
        <v>3524</v>
      </c>
      <c r="C43" s="3519" t="s">
        <v>3613</v>
      </c>
      <c r="D43" s="3518" t="s">
        <v>3614</v>
      </c>
      <c r="E43" s="3520" t="s">
        <v>3615</v>
      </c>
      <c r="F43" s="3521" t="s">
        <v>3489</v>
      </c>
      <c r="G43" s="3521" t="s">
        <v>3495</v>
      </c>
      <c r="H43" s="3509">
        <v>39009.379999999997</v>
      </c>
      <c r="I43" s="3509">
        <v>312075.03999999998</v>
      </c>
      <c r="J43" s="3522">
        <v>1.5</v>
      </c>
      <c r="K43" s="3522">
        <v>0.6</v>
      </c>
      <c r="L43" s="3881">
        <v>285</v>
      </c>
      <c r="M43" s="3523">
        <v>54613.13</v>
      </c>
    </row>
    <row r="44" spans="1:14">
      <c r="A44" s="3486">
        <v>43</v>
      </c>
      <c r="B44" s="3497" t="s">
        <v>3524</v>
      </c>
      <c r="C44" s="3498" t="s">
        <v>3613</v>
      </c>
      <c r="D44" s="3497" t="s">
        <v>3614</v>
      </c>
      <c r="E44" s="3499" t="s">
        <v>3616</v>
      </c>
      <c r="F44" s="3500" t="s">
        <v>3489</v>
      </c>
      <c r="G44" s="3500" t="s">
        <v>3495</v>
      </c>
      <c r="H44" s="3496">
        <v>41089.879999999997</v>
      </c>
      <c r="I44" s="3496">
        <v>164359.51999999999</v>
      </c>
      <c r="J44" s="3515">
        <v>1.58</v>
      </c>
      <c r="K44" s="3515">
        <v>0.63</v>
      </c>
      <c r="L44" s="3882"/>
      <c r="M44" s="3491">
        <v>57473.81</v>
      </c>
      <c r="N44" s="3493">
        <f t="shared" ref="N44:N53" si="2">ROUND(J44/J43,2)</f>
        <v>1.05</v>
      </c>
    </row>
    <row r="45" spans="1:14">
      <c r="A45" s="3486">
        <v>44</v>
      </c>
      <c r="B45" s="3497" t="s">
        <v>3524</v>
      </c>
      <c r="C45" s="3498" t="s">
        <v>3613</v>
      </c>
      <c r="D45" s="3497" t="s">
        <v>3614</v>
      </c>
      <c r="E45" s="3499" t="s">
        <v>3617</v>
      </c>
      <c r="F45" s="3500" t="s">
        <v>3489</v>
      </c>
      <c r="G45" s="3500" t="s">
        <v>3495</v>
      </c>
      <c r="H45" s="3496">
        <v>43170.38</v>
      </c>
      <c r="I45" s="3496">
        <v>172681.52</v>
      </c>
      <c r="J45" s="3515">
        <v>1.66</v>
      </c>
      <c r="K45" s="3515">
        <v>0.66</v>
      </c>
      <c r="L45" s="3882"/>
      <c r="M45" s="3491">
        <v>60334.5</v>
      </c>
      <c r="N45" s="3493">
        <f t="shared" si="2"/>
        <v>1.05</v>
      </c>
    </row>
    <row r="46" spans="1:14">
      <c r="A46" s="3486">
        <v>45</v>
      </c>
      <c r="B46" s="3497" t="s">
        <v>3524</v>
      </c>
      <c r="C46" s="3498" t="s">
        <v>3613</v>
      </c>
      <c r="D46" s="3497" t="s">
        <v>3614</v>
      </c>
      <c r="E46" s="3499" t="s">
        <v>3618</v>
      </c>
      <c r="F46" s="3500" t="s">
        <v>3489</v>
      </c>
      <c r="G46" s="3500" t="s">
        <v>3495</v>
      </c>
      <c r="H46" s="3496">
        <v>45250.879999999997</v>
      </c>
      <c r="I46" s="3496">
        <v>181003.51999999999</v>
      </c>
      <c r="J46" s="3515">
        <v>1.74</v>
      </c>
      <c r="K46" s="3515">
        <v>0.69</v>
      </c>
      <c r="L46" s="3883"/>
      <c r="M46" s="3491">
        <v>63195.19</v>
      </c>
      <c r="N46" s="3493">
        <f t="shared" si="2"/>
        <v>1.05</v>
      </c>
    </row>
    <row r="47" spans="1:14" s="3512" customFormat="1">
      <c r="A47" s="3504">
        <v>46</v>
      </c>
      <c r="B47" s="3518" t="s">
        <v>3619</v>
      </c>
      <c r="C47" s="3519" t="s">
        <v>3620</v>
      </c>
      <c r="D47" s="3518" t="s">
        <v>3614</v>
      </c>
      <c r="E47" s="3520" t="s">
        <v>3615</v>
      </c>
      <c r="F47" s="3518" t="s">
        <v>3489</v>
      </c>
      <c r="G47" s="3518" t="s">
        <v>3495</v>
      </c>
      <c r="H47" s="3509">
        <v>43800</v>
      </c>
      <c r="I47" s="3509">
        <v>350400</v>
      </c>
      <c r="J47" s="3522">
        <v>1.6</v>
      </c>
      <c r="K47" s="3522">
        <v>0.5</v>
      </c>
      <c r="L47" s="3881">
        <v>300</v>
      </c>
      <c r="M47" s="3523">
        <v>57487.5</v>
      </c>
    </row>
    <row r="48" spans="1:14">
      <c r="A48" s="3486">
        <v>47</v>
      </c>
      <c r="B48" s="3497" t="s">
        <v>3619</v>
      </c>
      <c r="C48" s="3498" t="s">
        <v>3620</v>
      </c>
      <c r="D48" s="3497" t="s">
        <v>3614</v>
      </c>
      <c r="E48" s="3499" t="s">
        <v>3616</v>
      </c>
      <c r="F48" s="3500" t="s">
        <v>3489</v>
      </c>
      <c r="G48" s="3500" t="s">
        <v>3495</v>
      </c>
      <c r="H48" s="3496">
        <v>45990</v>
      </c>
      <c r="I48" s="3496">
        <v>183960</v>
      </c>
      <c r="J48" s="3515">
        <v>1.68</v>
      </c>
      <c r="K48" s="3515">
        <v>0.53</v>
      </c>
      <c r="L48" s="3882"/>
      <c r="M48" s="3491">
        <v>60498.75</v>
      </c>
      <c r="N48" s="3493">
        <f t="shared" si="2"/>
        <v>1.05</v>
      </c>
    </row>
    <row r="49" spans="1:14">
      <c r="A49" s="3486">
        <v>48</v>
      </c>
      <c r="B49" s="3497" t="s">
        <v>3619</v>
      </c>
      <c r="C49" s="3498" t="s">
        <v>3620</v>
      </c>
      <c r="D49" s="3497" t="s">
        <v>3614</v>
      </c>
      <c r="E49" s="3499" t="s">
        <v>3617</v>
      </c>
      <c r="F49" s="3500" t="s">
        <v>3489</v>
      </c>
      <c r="G49" s="3500" t="s">
        <v>3495</v>
      </c>
      <c r="H49" s="3496">
        <v>48180</v>
      </c>
      <c r="I49" s="3496">
        <v>192720</v>
      </c>
      <c r="J49" s="3515">
        <v>1.76</v>
      </c>
      <c r="K49" s="3515">
        <v>0.56000000000000005</v>
      </c>
      <c r="L49" s="3882"/>
      <c r="M49" s="3491">
        <v>63510</v>
      </c>
      <c r="N49" s="3493">
        <f t="shared" si="2"/>
        <v>1.05</v>
      </c>
    </row>
    <row r="50" spans="1:14">
      <c r="A50" s="3486">
        <v>49</v>
      </c>
      <c r="B50" s="3497" t="s">
        <v>3619</v>
      </c>
      <c r="C50" s="3498" t="s">
        <v>3620</v>
      </c>
      <c r="D50" s="3497" t="s">
        <v>3614</v>
      </c>
      <c r="E50" s="3499" t="s">
        <v>3618</v>
      </c>
      <c r="F50" s="3500" t="s">
        <v>3489</v>
      </c>
      <c r="G50" s="3500" t="s">
        <v>3495</v>
      </c>
      <c r="H50" s="3496">
        <v>50643.75</v>
      </c>
      <c r="I50" s="3496">
        <v>202575</v>
      </c>
      <c r="J50" s="3515">
        <v>1.85</v>
      </c>
      <c r="K50" s="3515">
        <v>0.59</v>
      </c>
      <c r="L50" s="3883"/>
      <c r="M50" s="3491">
        <v>66795</v>
      </c>
      <c r="N50" s="3493">
        <f t="shared" si="2"/>
        <v>1.05</v>
      </c>
    </row>
    <row r="51" spans="1:14" s="3512" customFormat="1">
      <c r="A51" s="3504">
        <v>50</v>
      </c>
      <c r="B51" s="3505" t="s">
        <v>3621</v>
      </c>
      <c r="C51" s="3506" t="s">
        <v>3622</v>
      </c>
      <c r="D51" s="3518" t="s">
        <v>3623</v>
      </c>
      <c r="E51" s="3520" t="s">
        <v>3624</v>
      </c>
      <c r="F51" s="3521" t="s">
        <v>3489</v>
      </c>
      <c r="G51" s="3521" t="s">
        <v>3495</v>
      </c>
      <c r="H51" s="3509">
        <v>5953.5</v>
      </c>
      <c r="I51" s="3509">
        <v>47628</v>
      </c>
      <c r="J51" s="3522">
        <v>1.89</v>
      </c>
      <c r="K51" s="3522">
        <v>0.81</v>
      </c>
      <c r="L51" s="3510">
        <v>35</v>
      </c>
      <c r="M51" s="3523">
        <v>8505</v>
      </c>
    </row>
    <row r="52" spans="1:14" s="3530" customFormat="1">
      <c r="A52" s="3486">
        <v>51</v>
      </c>
      <c r="B52" s="3494" t="s">
        <v>3625</v>
      </c>
      <c r="C52" s="3495" t="s">
        <v>3626</v>
      </c>
      <c r="D52" s="3503" t="s">
        <v>3627</v>
      </c>
      <c r="E52" s="3499" t="s">
        <v>3628</v>
      </c>
      <c r="F52" s="3500" t="s">
        <v>3489</v>
      </c>
      <c r="G52" s="3497" t="s">
        <v>3490</v>
      </c>
      <c r="H52" s="3496">
        <v>17280</v>
      </c>
      <c r="I52" s="3496">
        <v>34560</v>
      </c>
      <c r="J52" s="3515">
        <v>1.92</v>
      </c>
      <c r="K52" s="3515">
        <v>0.81</v>
      </c>
      <c r="L52" s="3881">
        <v>50</v>
      </c>
      <c r="M52" s="3491">
        <v>8190</v>
      </c>
      <c r="N52" s="3493">
        <f t="shared" si="2"/>
        <v>1.02</v>
      </c>
    </row>
    <row r="53" spans="1:14" s="3530" customFormat="1">
      <c r="A53" s="3486">
        <v>52</v>
      </c>
      <c r="B53" s="3494" t="s">
        <v>3625</v>
      </c>
      <c r="C53" s="3495" t="s">
        <v>3626</v>
      </c>
      <c r="D53" s="3503" t="s">
        <v>3627</v>
      </c>
      <c r="E53" s="3499" t="s">
        <v>3629</v>
      </c>
      <c r="F53" s="3500" t="s">
        <v>3489</v>
      </c>
      <c r="G53" s="3497" t="s">
        <v>3490</v>
      </c>
      <c r="H53" s="3496">
        <v>17730</v>
      </c>
      <c r="I53" s="3496">
        <v>35460</v>
      </c>
      <c r="J53" s="3515">
        <v>1.97</v>
      </c>
      <c r="K53" s="3515">
        <v>0.83</v>
      </c>
      <c r="L53" s="3883"/>
      <c r="M53" s="3491">
        <v>8400</v>
      </c>
      <c r="N53" s="3493">
        <f t="shared" si="2"/>
        <v>1.03</v>
      </c>
    </row>
    <row r="54" spans="1:14" s="3512" customFormat="1">
      <c r="A54" s="3504">
        <v>53</v>
      </c>
      <c r="B54" s="3505" t="s">
        <v>3630</v>
      </c>
      <c r="C54" s="3506" t="s">
        <v>3631</v>
      </c>
      <c r="D54" s="3529" t="s">
        <v>3627</v>
      </c>
      <c r="E54" s="3520" t="s">
        <v>3628</v>
      </c>
      <c r="F54" s="3521" t="s">
        <v>3489</v>
      </c>
      <c r="G54" s="3518" t="s">
        <v>3490</v>
      </c>
      <c r="H54" s="3509">
        <v>15552</v>
      </c>
      <c r="I54" s="3509">
        <v>31104</v>
      </c>
      <c r="J54" s="3522">
        <v>1.92</v>
      </c>
      <c r="K54" s="3522">
        <v>0.81</v>
      </c>
      <c r="L54" s="3881">
        <v>45</v>
      </c>
      <c r="M54" s="3523">
        <v>7371</v>
      </c>
    </row>
    <row r="55" spans="1:14" s="3512" customFormat="1">
      <c r="A55" s="3504">
        <v>54</v>
      </c>
      <c r="B55" s="3505" t="s">
        <v>3630</v>
      </c>
      <c r="C55" s="3506" t="s">
        <v>3631</v>
      </c>
      <c r="D55" s="3529" t="s">
        <v>3627</v>
      </c>
      <c r="E55" s="3520" t="s">
        <v>3629</v>
      </c>
      <c r="F55" s="3521" t="s">
        <v>3489</v>
      </c>
      <c r="G55" s="3518" t="s">
        <v>3490</v>
      </c>
      <c r="H55" s="3509">
        <v>15957</v>
      </c>
      <c r="I55" s="3509">
        <v>31914</v>
      </c>
      <c r="J55" s="3522">
        <v>1.97</v>
      </c>
      <c r="K55" s="3522">
        <v>0.83</v>
      </c>
      <c r="L55" s="3883"/>
      <c r="M55" s="3523">
        <v>7560</v>
      </c>
    </row>
    <row r="56" spans="1:14" s="3512" customFormat="1">
      <c r="A56" s="3504">
        <v>55</v>
      </c>
      <c r="B56" s="3518" t="s">
        <v>3632</v>
      </c>
      <c r="C56" s="3519" t="s">
        <v>3633</v>
      </c>
      <c r="D56" s="3518" t="s">
        <v>3634</v>
      </c>
      <c r="E56" s="3520" t="s">
        <v>3635</v>
      </c>
      <c r="F56" s="3521" t="s">
        <v>3489</v>
      </c>
      <c r="G56" s="3521" t="s">
        <v>3495</v>
      </c>
      <c r="H56" s="3509">
        <v>7971.6</v>
      </c>
      <c r="I56" s="3509">
        <v>63772.800000000003</v>
      </c>
      <c r="J56" s="3522">
        <v>1.82</v>
      </c>
      <c r="K56" s="3522">
        <v>0.78</v>
      </c>
      <c r="L56" s="3510">
        <v>48</v>
      </c>
      <c r="M56" s="3523">
        <v>11388</v>
      </c>
    </row>
    <row r="57" spans="1:14" s="3512" customFormat="1">
      <c r="A57" s="3504">
        <v>56</v>
      </c>
      <c r="B57" s="3518" t="s">
        <v>3636</v>
      </c>
      <c r="C57" s="3519" t="s">
        <v>3637</v>
      </c>
      <c r="D57" s="3518" t="s">
        <v>3638</v>
      </c>
      <c r="E57" s="3520" t="s">
        <v>3639</v>
      </c>
      <c r="F57" s="3521" t="s">
        <v>3489</v>
      </c>
      <c r="G57" s="3521" t="s">
        <v>3495</v>
      </c>
      <c r="H57" s="3509">
        <v>6463.8</v>
      </c>
      <c r="I57" s="3509">
        <v>23618.400000000001</v>
      </c>
      <c r="J57" s="3522">
        <v>1.89</v>
      </c>
      <c r="K57" s="3522">
        <v>0.81</v>
      </c>
      <c r="L57" s="3510">
        <v>38</v>
      </c>
      <c r="M57" s="3523">
        <v>9234</v>
      </c>
    </row>
    <row r="58" spans="1:14" s="3512" customFormat="1">
      <c r="A58" s="3504">
        <v>57</v>
      </c>
      <c r="B58" s="3518" t="s">
        <v>3640</v>
      </c>
      <c r="C58" s="3519" t="s">
        <v>3641</v>
      </c>
      <c r="D58" s="3518" t="s">
        <v>3642</v>
      </c>
      <c r="E58" s="3520" t="s">
        <v>3643</v>
      </c>
      <c r="F58" s="3521" t="s">
        <v>3489</v>
      </c>
      <c r="G58" s="3521" t="s">
        <v>3495</v>
      </c>
      <c r="H58" s="3509">
        <v>16425</v>
      </c>
      <c r="I58" s="3509">
        <v>65700</v>
      </c>
      <c r="J58" s="3522">
        <v>1.5</v>
      </c>
      <c r="K58" s="3522">
        <v>0.6</v>
      </c>
      <c r="L58" s="3510">
        <v>120</v>
      </c>
      <c r="M58" s="3523">
        <v>22995</v>
      </c>
    </row>
    <row r="59" spans="1:14">
      <c r="A59" s="3486">
        <v>58</v>
      </c>
      <c r="B59" s="3497" t="s">
        <v>3640</v>
      </c>
      <c r="C59" s="3498" t="s">
        <v>3641</v>
      </c>
      <c r="D59" s="3497" t="s">
        <v>3642</v>
      </c>
      <c r="E59" s="3499" t="s">
        <v>3643</v>
      </c>
      <c r="F59" s="3500" t="s">
        <v>3489</v>
      </c>
      <c r="G59" s="3500" t="s">
        <v>3495</v>
      </c>
      <c r="H59" s="3496">
        <v>27375</v>
      </c>
      <c r="I59" s="3496">
        <v>109500</v>
      </c>
      <c r="J59" s="3515">
        <v>1.5</v>
      </c>
      <c r="K59" s="3515">
        <v>0.6</v>
      </c>
      <c r="L59" s="3492">
        <v>200</v>
      </c>
      <c r="M59" s="3491">
        <v>38325</v>
      </c>
      <c r="N59" s="3493">
        <f t="shared" ref="N59" si="3">ROUND(J59/J58,2)</f>
        <v>1</v>
      </c>
    </row>
    <row r="60" spans="1:14" s="3512" customFormat="1">
      <c r="A60" s="3504">
        <v>59</v>
      </c>
      <c r="B60" s="3518" t="s">
        <v>3636</v>
      </c>
      <c r="C60" s="3519" t="s">
        <v>3644</v>
      </c>
      <c r="D60" s="3518" t="s">
        <v>3645</v>
      </c>
      <c r="E60" s="3520" t="s">
        <v>3646</v>
      </c>
      <c r="F60" s="3521" t="s">
        <v>3489</v>
      </c>
      <c r="G60" s="3521" t="s">
        <v>3495</v>
      </c>
      <c r="H60" s="3509">
        <v>19874.25</v>
      </c>
      <c r="I60" s="3509">
        <v>158994</v>
      </c>
      <c r="J60" s="3522">
        <v>1.65</v>
      </c>
      <c r="K60" s="3522">
        <v>0.7</v>
      </c>
      <c r="L60" s="3510">
        <v>132</v>
      </c>
      <c r="M60" s="3523">
        <v>28305.75</v>
      </c>
    </row>
    <row r="61" spans="1:14" s="3512" customFormat="1">
      <c r="A61" s="3504">
        <v>60</v>
      </c>
      <c r="B61" s="3518" t="s">
        <v>3647</v>
      </c>
      <c r="C61" s="3519" t="s">
        <v>3648</v>
      </c>
      <c r="D61" s="3518" t="s">
        <v>3649</v>
      </c>
      <c r="E61" s="3520" t="s">
        <v>3650</v>
      </c>
      <c r="F61" s="3525" t="s">
        <v>3489</v>
      </c>
      <c r="G61" s="3525" t="s">
        <v>3495</v>
      </c>
      <c r="H61" s="3509">
        <v>7113.6</v>
      </c>
      <c r="I61" s="3509">
        <v>56908.800000000003</v>
      </c>
      <c r="J61" s="3522">
        <v>2.08</v>
      </c>
      <c r="K61" s="3522">
        <v>0.89</v>
      </c>
      <c r="L61" s="3510">
        <v>38</v>
      </c>
      <c r="M61" s="3523">
        <v>10157.4</v>
      </c>
    </row>
    <row r="62" spans="1:14" s="3512" customFormat="1">
      <c r="A62" s="3504">
        <v>61</v>
      </c>
      <c r="B62" s="3518" t="s">
        <v>3651</v>
      </c>
      <c r="C62" s="3519" t="s">
        <v>3652</v>
      </c>
      <c r="D62" s="3518" t="s">
        <v>3653</v>
      </c>
      <c r="E62" s="3520" t="s">
        <v>3654</v>
      </c>
      <c r="F62" s="3525" t="s">
        <v>3489</v>
      </c>
      <c r="G62" s="3525" t="s">
        <v>3495</v>
      </c>
      <c r="H62" s="3509">
        <v>6394.5</v>
      </c>
      <c r="I62" s="3509">
        <v>51156</v>
      </c>
      <c r="J62" s="3522">
        <v>2.0299999999999998</v>
      </c>
      <c r="K62" s="3522">
        <v>0.87</v>
      </c>
      <c r="L62" s="3510">
        <v>35</v>
      </c>
      <c r="M62" s="3523">
        <v>9135</v>
      </c>
    </row>
    <row r="63" spans="1:14" s="3512" customFormat="1">
      <c r="A63" s="3504">
        <v>62</v>
      </c>
      <c r="B63" s="3518" t="s">
        <v>3655</v>
      </c>
      <c r="C63" s="3519" t="s">
        <v>3656</v>
      </c>
      <c r="D63" s="3518" t="s">
        <v>3657</v>
      </c>
      <c r="E63" s="3520" t="s">
        <v>3658</v>
      </c>
      <c r="F63" s="3525" t="s">
        <v>3489</v>
      </c>
      <c r="G63" s="3525" t="s">
        <v>3495</v>
      </c>
      <c r="H63" s="3509">
        <v>201662.5</v>
      </c>
      <c r="I63" s="3509">
        <v>806650</v>
      </c>
      <c r="J63" s="3522">
        <v>1.7</v>
      </c>
      <c r="K63" s="3522">
        <v>0.72</v>
      </c>
      <c r="L63" s="3881">
        <v>1300</v>
      </c>
      <c r="M63" s="3523">
        <v>287072.5</v>
      </c>
    </row>
    <row r="64" spans="1:14">
      <c r="A64" s="3486">
        <v>63</v>
      </c>
      <c r="B64" s="3497" t="s">
        <v>3655</v>
      </c>
      <c r="C64" s="3498" t="s">
        <v>3656</v>
      </c>
      <c r="D64" s="3497" t="s">
        <v>3657</v>
      </c>
      <c r="E64" s="3499" t="s">
        <v>3659</v>
      </c>
      <c r="F64" s="3502" t="s">
        <v>3489</v>
      </c>
      <c r="G64" s="3502" t="s">
        <v>3495</v>
      </c>
      <c r="H64" s="3496">
        <v>212338.75</v>
      </c>
      <c r="I64" s="3496">
        <v>849355</v>
      </c>
      <c r="J64" s="3515">
        <v>1.79</v>
      </c>
      <c r="K64" s="3515">
        <v>0.76</v>
      </c>
      <c r="L64" s="3883"/>
      <c r="M64" s="3491">
        <v>302493.75</v>
      </c>
      <c r="N64" s="3493">
        <f t="shared" ref="N64" si="4">ROUND(J64/J63,2)</f>
        <v>1.05</v>
      </c>
    </row>
    <row r="65" spans="1:14" s="3512" customFormat="1">
      <c r="A65" s="3504">
        <v>64</v>
      </c>
      <c r="B65" s="3505" t="s">
        <v>3660</v>
      </c>
      <c r="C65" s="3506" t="s">
        <v>3661</v>
      </c>
      <c r="D65" s="3518" t="s">
        <v>3662</v>
      </c>
      <c r="E65" s="3520" t="s">
        <v>3663</v>
      </c>
      <c r="F65" s="3525" t="s">
        <v>3489</v>
      </c>
      <c r="G65" s="3525" t="s">
        <v>3495</v>
      </c>
      <c r="H65" s="3509">
        <v>5049</v>
      </c>
      <c r="I65" s="3509">
        <v>40392</v>
      </c>
      <c r="J65" s="3522">
        <v>2.5499999999999998</v>
      </c>
      <c r="K65" s="3522">
        <v>1.0900000000000001</v>
      </c>
      <c r="L65" s="3510">
        <v>22</v>
      </c>
      <c r="M65" s="3523">
        <v>7207.2</v>
      </c>
    </row>
    <row r="66" spans="1:14" s="3512" customFormat="1">
      <c r="A66" s="3504">
        <v>65</v>
      </c>
      <c r="B66" s="3518" t="s">
        <v>3664</v>
      </c>
      <c r="C66" s="3519" t="s">
        <v>3665</v>
      </c>
      <c r="D66" s="3518" t="s">
        <v>3666</v>
      </c>
      <c r="E66" s="3520" t="s">
        <v>3667</v>
      </c>
      <c r="F66" s="3525" t="s">
        <v>3489</v>
      </c>
      <c r="G66" s="3525" t="s">
        <v>3495</v>
      </c>
      <c r="H66" s="3509">
        <v>243090</v>
      </c>
      <c r="I66" s="3509">
        <v>1296480</v>
      </c>
      <c r="J66" s="3522">
        <v>1.6</v>
      </c>
      <c r="K66" s="3531"/>
      <c r="L66" s="3510">
        <v>1665</v>
      </c>
      <c r="M66" s="3523"/>
    </row>
    <row r="67" spans="1:14" s="3512" customFormat="1">
      <c r="A67" s="3504">
        <v>66</v>
      </c>
      <c r="B67" s="3518" t="s">
        <v>3668</v>
      </c>
      <c r="C67" s="3519" t="s">
        <v>3669</v>
      </c>
      <c r="D67" s="3518" t="s">
        <v>3670</v>
      </c>
      <c r="E67" s="3520" t="s">
        <v>3527</v>
      </c>
      <c r="F67" s="3525" t="s">
        <v>3489</v>
      </c>
      <c r="G67" s="3525" t="s">
        <v>3495</v>
      </c>
      <c r="H67" s="3509">
        <v>5049</v>
      </c>
      <c r="I67" s="3509">
        <v>20196</v>
      </c>
      <c r="J67" s="3522">
        <v>2.5499999999999998</v>
      </c>
      <c r="K67" s="3522">
        <v>1.0900000000000001</v>
      </c>
      <c r="L67" s="3510">
        <v>22</v>
      </c>
      <c r="M67" s="3523">
        <v>7207.2</v>
      </c>
    </row>
    <row r="68" spans="1:14" s="3512" customFormat="1">
      <c r="A68" s="3504">
        <v>67</v>
      </c>
      <c r="B68" s="3518" t="s">
        <v>3671</v>
      </c>
      <c r="C68" s="3519" t="s">
        <v>3672</v>
      </c>
      <c r="D68" s="3518" t="s">
        <v>3673</v>
      </c>
      <c r="E68" s="3520" t="s">
        <v>3674</v>
      </c>
      <c r="F68" s="3525" t="s">
        <v>3489</v>
      </c>
      <c r="G68" s="3525" t="s">
        <v>3495</v>
      </c>
      <c r="H68" s="3509">
        <v>16929</v>
      </c>
      <c r="I68" s="3509">
        <v>135432</v>
      </c>
      <c r="J68" s="3522">
        <v>1.65</v>
      </c>
      <c r="K68" s="3522">
        <v>0.7</v>
      </c>
      <c r="L68" s="3510">
        <v>114</v>
      </c>
      <c r="M68" s="3523">
        <v>24111</v>
      </c>
    </row>
    <row r="69" spans="1:14" s="3512" customFormat="1">
      <c r="A69" s="3504">
        <v>68</v>
      </c>
      <c r="B69" s="3519" t="s">
        <v>3524</v>
      </c>
      <c r="C69" s="3518" t="s">
        <v>3675</v>
      </c>
      <c r="D69" s="3518" t="s">
        <v>3676</v>
      </c>
      <c r="E69" s="3532" t="s">
        <v>3677</v>
      </c>
      <c r="F69" s="3525" t="s">
        <v>3489</v>
      </c>
      <c r="G69" s="3525" t="s">
        <v>3495</v>
      </c>
      <c r="H69" s="3509">
        <v>14844.55</v>
      </c>
      <c r="I69" s="3509">
        <v>59378.2</v>
      </c>
      <c r="J69" s="3522">
        <v>1.96</v>
      </c>
      <c r="K69" s="3522">
        <v>0.84</v>
      </c>
      <c r="L69" s="3884">
        <v>83</v>
      </c>
      <c r="M69" s="3533">
        <v>21206.5</v>
      </c>
    </row>
    <row r="70" spans="1:14">
      <c r="A70" s="3486">
        <v>69</v>
      </c>
      <c r="B70" s="3498" t="s">
        <v>3524</v>
      </c>
      <c r="C70" s="3497" t="s">
        <v>3675</v>
      </c>
      <c r="D70" s="3497" t="s">
        <v>3676</v>
      </c>
      <c r="E70" s="3499" t="s">
        <v>3678</v>
      </c>
      <c r="F70" s="3502" t="s">
        <v>3489</v>
      </c>
      <c r="G70" s="3502" t="s">
        <v>3495</v>
      </c>
      <c r="H70" s="3496">
        <v>15601.93</v>
      </c>
      <c r="I70" s="3496">
        <v>62407.72</v>
      </c>
      <c r="J70" s="3515">
        <v>2.06</v>
      </c>
      <c r="K70" s="3515">
        <v>0.88</v>
      </c>
      <c r="L70" s="3885"/>
      <c r="M70" s="3491">
        <v>22266.83</v>
      </c>
      <c r="N70" s="3493">
        <f t="shared" ref="N70" si="5">ROUND(J70/J69,2)</f>
        <v>1.05</v>
      </c>
    </row>
    <row r="71" spans="1:14" s="3512" customFormat="1">
      <c r="A71" s="3504">
        <v>70</v>
      </c>
      <c r="B71" s="3534" t="s">
        <v>3679</v>
      </c>
      <c r="C71" s="3519" t="s">
        <v>3680</v>
      </c>
      <c r="D71" s="3518" t="s">
        <v>3649</v>
      </c>
      <c r="E71" s="3520" t="s">
        <v>3681</v>
      </c>
      <c r="F71" s="3525" t="s">
        <v>3489</v>
      </c>
      <c r="G71" s="3525" t="s">
        <v>3495</v>
      </c>
      <c r="H71" s="3509">
        <v>6975.15</v>
      </c>
      <c r="I71" s="3509">
        <v>55801.2</v>
      </c>
      <c r="J71" s="3522">
        <v>1.82</v>
      </c>
      <c r="K71" s="3522">
        <v>0.78</v>
      </c>
      <c r="L71" s="3510">
        <v>42</v>
      </c>
      <c r="M71" s="3523">
        <v>9964.5</v>
      </c>
    </row>
    <row r="72" spans="1:14" s="3512" customFormat="1">
      <c r="A72" s="3504">
        <v>71</v>
      </c>
      <c r="B72" s="3518" t="s">
        <v>3682</v>
      </c>
      <c r="C72" s="3519" t="s">
        <v>3683</v>
      </c>
      <c r="D72" s="3518" t="s">
        <v>3662</v>
      </c>
      <c r="E72" s="3518" t="s">
        <v>3684</v>
      </c>
      <c r="F72" s="3525" t="s">
        <v>3489</v>
      </c>
      <c r="G72" s="3525" t="s">
        <v>3495</v>
      </c>
      <c r="H72" s="3509">
        <v>15278.9</v>
      </c>
      <c r="I72" s="3509">
        <v>61115.6</v>
      </c>
      <c r="J72" s="3522">
        <v>1.82</v>
      </c>
      <c r="K72" s="3522">
        <v>0.78</v>
      </c>
      <c r="L72" s="3880">
        <v>92</v>
      </c>
      <c r="M72" s="3523">
        <v>21827</v>
      </c>
    </row>
    <row r="73" spans="1:14">
      <c r="A73" s="3486">
        <v>72</v>
      </c>
      <c r="B73" s="3497" t="s">
        <v>3682</v>
      </c>
      <c r="C73" s="3498" t="s">
        <v>3683</v>
      </c>
      <c r="D73" s="3497" t="s">
        <v>3662</v>
      </c>
      <c r="E73" s="3497" t="s">
        <v>3685</v>
      </c>
      <c r="F73" s="3502" t="s">
        <v>3489</v>
      </c>
      <c r="G73" s="3502" t="s">
        <v>3495</v>
      </c>
      <c r="H73" s="3496">
        <v>16034.45</v>
      </c>
      <c r="I73" s="3496">
        <v>64137.8</v>
      </c>
      <c r="J73" s="3515">
        <v>1.91</v>
      </c>
      <c r="K73" s="3515">
        <v>0.82</v>
      </c>
      <c r="L73" s="3880"/>
      <c r="M73" s="3491">
        <v>22918.35</v>
      </c>
      <c r="N73" s="3493">
        <f t="shared" ref="N73" si="6">ROUND(J73/J72,2)</f>
        <v>1.05</v>
      </c>
    </row>
    <row r="74" spans="1:14" s="3512" customFormat="1">
      <c r="A74" s="3504">
        <v>73</v>
      </c>
      <c r="B74" s="3535" t="s">
        <v>3686</v>
      </c>
      <c r="C74" s="3506" t="s">
        <v>3687</v>
      </c>
      <c r="D74" s="3518" t="s">
        <v>3688</v>
      </c>
      <c r="E74" s="3518" t="s">
        <v>3689</v>
      </c>
      <c r="F74" s="3525" t="s">
        <v>3489</v>
      </c>
      <c r="G74" s="3525" t="s">
        <v>3495</v>
      </c>
      <c r="H74" s="3509">
        <v>6259.75</v>
      </c>
      <c r="I74" s="3509">
        <v>25039</v>
      </c>
      <c r="J74" s="3522">
        <v>1.96</v>
      </c>
      <c r="K74" s="3522">
        <v>0.84</v>
      </c>
      <c r="L74" s="3510">
        <v>35</v>
      </c>
      <c r="M74" s="3523">
        <v>8942.5</v>
      </c>
    </row>
    <row r="75" spans="1:14" s="3512" customFormat="1">
      <c r="A75" s="3504">
        <v>74</v>
      </c>
      <c r="B75" s="3518" t="s">
        <v>3690</v>
      </c>
      <c r="C75" s="3519" t="s">
        <v>3691</v>
      </c>
      <c r="D75" s="3518" t="s">
        <v>3692</v>
      </c>
      <c r="E75" s="3518" t="s">
        <v>3693</v>
      </c>
      <c r="F75" s="3525" t="s">
        <v>3489</v>
      </c>
      <c r="G75" s="3525" t="s">
        <v>3495</v>
      </c>
      <c r="H75" s="3509">
        <v>7760.81</v>
      </c>
      <c r="I75" s="3509">
        <v>31043.24</v>
      </c>
      <c r="J75" s="3522">
        <v>1.89</v>
      </c>
      <c r="K75" s="3522">
        <v>0.81</v>
      </c>
      <c r="L75" s="3510">
        <v>45</v>
      </c>
      <c r="M75" s="3523">
        <v>11086.88</v>
      </c>
    </row>
    <row r="76" spans="1:14" s="3512" customFormat="1">
      <c r="A76" s="3504">
        <v>75</v>
      </c>
      <c r="B76" s="3518" t="s">
        <v>3694</v>
      </c>
      <c r="C76" s="3519" t="s">
        <v>3695</v>
      </c>
      <c r="D76" s="3518" t="s">
        <v>3696</v>
      </c>
      <c r="E76" s="3518" t="s">
        <v>3697</v>
      </c>
      <c r="F76" s="3525" t="s">
        <v>3489</v>
      </c>
      <c r="G76" s="3525" t="s">
        <v>3495</v>
      </c>
      <c r="H76" s="3509">
        <v>3832.5</v>
      </c>
      <c r="I76" s="3509">
        <v>15330</v>
      </c>
      <c r="J76" s="3522">
        <v>1.75</v>
      </c>
      <c r="K76" s="3522">
        <v>0.75</v>
      </c>
      <c r="L76" s="3510">
        <v>24</v>
      </c>
      <c r="M76" s="3523">
        <v>5475</v>
      </c>
    </row>
    <row r="77" spans="1:14" s="3512" customFormat="1">
      <c r="A77" s="3504">
        <v>76</v>
      </c>
      <c r="B77" s="3518" t="s">
        <v>3698</v>
      </c>
      <c r="C77" s="3519" t="s">
        <v>3699</v>
      </c>
      <c r="D77" s="3518" t="s">
        <v>3700</v>
      </c>
      <c r="E77" s="3518" t="s">
        <v>3701</v>
      </c>
      <c r="F77" s="3525" t="s">
        <v>3489</v>
      </c>
      <c r="G77" s="3525" t="s">
        <v>3495</v>
      </c>
      <c r="H77" s="3509">
        <v>6300</v>
      </c>
      <c r="I77" s="3509">
        <v>50400</v>
      </c>
      <c r="J77" s="3522">
        <v>2</v>
      </c>
      <c r="K77" s="3522">
        <v>0.86</v>
      </c>
      <c r="L77" s="3510">
        <v>35</v>
      </c>
      <c r="M77" s="3523">
        <v>9009</v>
      </c>
    </row>
    <row r="78" spans="1:14" s="3512" customFormat="1">
      <c r="A78" s="3504">
        <v>77</v>
      </c>
      <c r="B78" s="3518" t="s">
        <v>3702</v>
      </c>
      <c r="C78" s="3519" t="s">
        <v>3703</v>
      </c>
      <c r="D78" s="3518" t="s">
        <v>3704</v>
      </c>
      <c r="E78" s="3518" t="s">
        <v>3705</v>
      </c>
      <c r="F78" s="3518" t="s">
        <v>3706</v>
      </c>
      <c r="G78" s="3518" t="s">
        <v>3707</v>
      </c>
      <c r="H78" s="3509">
        <v>4914</v>
      </c>
      <c r="I78" s="3509">
        <v>4914</v>
      </c>
      <c r="J78" s="3522">
        <v>1.82</v>
      </c>
      <c r="K78" s="3522">
        <v>0.78</v>
      </c>
      <c r="L78" s="3510">
        <v>45</v>
      </c>
      <c r="M78" s="3523"/>
    </row>
    <row r="79" spans="1:14" s="3512" customFormat="1">
      <c r="A79" s="3504">
        <v>78</v>
      </c>
      <c r="B79" s="3518" t="s">
        <v>3708</v>
      </c>
      <c r="C79" s="3519" t="s">
        <v>3709</v>
      </c>
      <c r="D79" s="3518" t="s">
        <v>3710</v>
      </c>
      <c r="E79" s="3518" t="s">
        <v>3711</v>
      </c>
      <c r="F79" s="3518" t="s">
        <v>3706</v>
      </c>
      <c r="G79" s="3518" t="s">
        <v>3516</v>
      </c>
      <c r="H79" s="3509">
        <v>42336</v>
      </c>
      <c r="I79" s="3509">
        <v>42336</v>
      </c>
      <c r="J79" s="3522">
        <v>1.96</v>
      </c>
      <c r="K79" s="3522">
        <v>0.84</v>
      </c>
      <c r="L79" s="3510">
        <v>60</v>
      </c>
      <c r="M79" s="3523">
        <v>5040</v>
      </c>
    </row>
    <row r="80" spans="1:14" s="3512" customFormat="1">
      <c r="A80" s="3504">
        <v>79</v>
      </c>
      <c r="B80" s="3518" t="s">
        <v>3590</v>
      </c>
      <c r="C80" s="3519" t="s">
        <v>3712</v>
      </c>
      <c r="D80" s="3518" t="s">
        <v>3713</v>
      </c>
      <c r="E80" s="3518" t="s">
        <v>3714</v>
      </c>
      <c r="F80" s="3525" t="s">
        <v>3489</v>
      </c>
      <c r="G80" s="3525" t="s">
        <v>3495</v>
      </c>
      <c r="H80" s="3509">
        <v>30230.76</v>
      </c>
      <c r="I80" s="3509">
        <v>120923.04</v>
      </c>
      <c r="J80" s="3522">
        <v>1.68</v>
      </c>
      <c r="K80" s="3522">
        <v>0.72</v>
      </c>
      <c r="L80" s="3881">
        <v>197.2</v>
      </c>
      <c r="M80" s="3523">
        <v>43186.8</v>
      </c>
    </row>
    <row r="81" spans="1:14">
      <c r="A81" s="3486">
        <v>80</v>
      </c>
      <c r="B81" s="3497" t="s">
        <v>3590</v>
      </c>
      <c r="C81" s="3498" t="s">
        <v>3712</v>
      </c>
      <c r="D81" s="3497" t="s">
        <v>3713</v>
      </c>
      <c r="E81" s="3497" t="s">
        <v>3715</v>
      </c>
      <c r="F81" s="3502" t="s">
        <v>3489</v>
      </c>
      <c r="G81" s="3502" t="s">
        <v>3495</v>
      </c>
      <c r="H81" s="3496">
        <v>31670.32</v>
      </c>
      <c r="I81" s="3496">
        <v>126681.28</v>
      </c>
      <c r="J81" s="3515">
        <v>1.76</v>
      </c>
      <c r="K81" s="3515">
        <v>0.76</v>
      </c>
      <c r="L81" s="3882"/>
      <c r="M81" s="3491">
        <v>45346.14</v>
      </c>
      <c r="N81" s="3493">
        <f t="shared" ref="N81:N82" si="7">ROUND(J81/J80,2)</f>
        <v>1.05</v>
      </c>
    </row>
    <row r="82" spans="1:14">
      <c r="A82" s="3486">
        <v>81</v>
      </c>
      <c r="B82" s="3497" t="s">
        <v>3590</v>
      </c>
      <c r="C82" s="3498" t="s">
        <v>3712</v>
      </c>
      <c r="D82" s="3497" t="s">
        <v>3713</v>
      </c>
      <c r="E82" s="3497" t="s">
        <v>3716</v>
      </c>
      <c r="F82" s="3502" t="s">
        <v>3489</v>
      </c>
      <c r="G82" s="3502" t="s">
        <v>3495</v>
      </c>
      <c r="H82" s="3496">
        <v>33289.83</v>
      </c>
      <c r="I82" s="3496">
        <v>133159.32</v>
      </c>
      <c r="J82" s="3515">
        <v>1.85</v>
      </c>
      <c r="K82" s="3515">
        <v>0.8</v>
      </c>
      <c r="L82" s="3883"/>
      <c r="M82" s="3491">
        <v>47685.43</v>
      </c>
      <c r="N82" s="3493">
        <f t="shared" si="7"/>
        <v>1.05</v>
      </c>
    </row>
    <row r="83" spans="1:14" s="3512" customFormat="1">
      <c r="A83" s="3504">
        <v>82</v>
      </c>
      <c r="B83" s="3518" t="s">
        <v>3717</v>
      </c>
      <c r="C83" s="3519" t="s">
        <v>3718</v>
      </c>
      <c r="D83" s="3518" t="s">
        <v>3692</v>
      </c>
      <c r="E83" s="3518" t="s">
        <v>3693</v>
      </c>
      <c r="F83" s="3525" t="s">
        <v>3489</v>
      </c>
      <c r="G83" s="3525" t="s">
        <v>3495</v>
      </c>
      <c r="H83" s="3509">
        <v>13286</v>
      </c>
      <c r="I83" s="3509">
        <v>53144</v>
      </c>
      <c r="J83" s="3522">
        <v>1.82</v>
      </c>
      <c r="K83" s="3522">
        <v>0.78</v>
      </c>
      <c r="L83" s="3510">
        <v>80</v>
      </c>
      <c r="M83" s="3523">
        <v>18980</v>
      </c>
    </row>
    <row r="84" spans="1:14" s="3512" customFormat="1">
      <c r="A84" s="3504">
        <v>83</v>
      </c>
      <c r="B84" s="3518" t="s">
        <v>3719</v>
      </c>
      <c r="C84" s="3519" t="s">
        <v>3720</v>
      </c>
      <c r="D84" s="3518" t="s">
        <v>3721</v>
      </c>
      <c r="E84" s="3518" t="s">
        <v>3722</v>
      </c>
      <c r="F84" s="3525" t="s">
        <v>3489</v>
      </c>
      <c r="G84" s="3525" t="s">
        <v>3495</v>
      </c>
      <c r="H84" s="3509">
        <v>8100</v>
      </c>
      <c r="I84" s="3509">
        <v>32400</v>
      </c>
      <c r="J84" s="3522">
        <v>2</v>
      </c>
      <c r="K84" s="3522">
        <v>0.89</v>
      </c>
      <c r="L84" s="3881">
        <v>45</v>
      </c>
      <c r="M84" s="3523">
        <v>11704.5</v>
      </c>
    </row>
    <row r="85" spans="1:14">
      <c r="A85" s="3486">
        <v>84</v>
      </c>
      <c r="B85" s="3497" t="s">
        <v>3719</v>
      </c>
      <c r="C85" s="3498" t="s">
        <v>3720</v>
      </c>
      <c r="D85" s="3497" t="s">
        <v>3721</v>
      </c>
      <c r="E85" s="3497" t="s">
        <v>3723</v>
      </c>
      <c r="F85" s="3502" t="s">
        <v>3489</v>
      </c>
      <c r="G85" s="3502" t="s">
        <v>3495</v>
      </c>
      <c r="H85" s="3496">
        <v>8505</v>
      </c>
      <c r="I85" s="3496">
        <v>34020</v>
      </c>
      <c r="J85" s="3515">
        <v>2.1</v>
      </c>
      <c r="K85" s="3515">
        <v>0.93</v>
      </c>
      <c r="L85" s="3883"/>
      <c r="M85" s="3491">
        <v>12271.5</v>
      </c>
      <c r="N85" s="3493">
        <f t="shared" ref="N85" si="8">ROUND(J85/J84,2)</f>
        <v>1.05</v>
      </c>
    </row>
    <row r="86" spans="1:14" s="3512" customFormat="1">
      <c r="A86" s="3504">
        <v>85</v>
      </c>
      <c r="B86" s="3518" t="s">
        <v>3724</v>
      </c>
      <c r="C86" s="3519" t="s">
        <v>3725</v>
      </c>
      <c r="D86" s="3518" t="s">
        <v>3726</v>
      </c>
      <c r="E86" s="3518" t="s">
        <v>3727</v>
      </c>
      <c r="F86" s="3518" t="s">
        <v>3706</v>
      </c>
      <c r="G86" s="3518" t="s">
        <v>3707</v>
      </c>
      <c r="H86" s="3509">
        <v>4914</v>
      </c>
      <c r="I86" s="3509">
        <v>4914</v>
      </c>
      <c r="J86" s="3522">
        <v>1.82</v>
      </c>
      <c r="K86" s="3522">
        <v>0.78</v>
      </c>
      <c r="L86" s="3510">
        <v>45</v>
      </c>
      <c r="M86" s="3523"/>
    </row>
    <row r="87" spans="1:14" s="3512" customFormat="1">
      <c r="A87" s="3504">
        <v>86</v>
      </c>
      <c r="B87" s="3518" t="s">
        <v>3671</v>
      </c>
      <c r="C87" s="3519" t="s">
        <v>3728</v>
      </c>
      <c r="D87" s="3518" t="s">
        <v>3729</v>
      </c>
      <c r="E87" s="3518" t="s">
        <v>3730</v>
      </c>
      <c r="F87" s="3525" t="s">
        <v>3489</v>
      </c>
      <c r="G87" s="3525" t="s">
        <v>3495</v>
      </c>
      <c r="H87" s="3509">
        <v>7654.5</v>
      </c>
      <c r="I87" s="3509">
        <v>61236</v>
      </c>
      <c r="J87" s="3522">
        <v>1.89</v>
      </c>
      <c r="K87" s="3522">
        <v>0.81</v>
      </c>
      <c r="L87" s="3510">
        <v>45</v>
      </c>
      <c r="M87" s="3523">
        <v>10935</v>
      </c>
    </row>
    <row r="88" spans="1:14" s="3512" customFormat="1">
      <c r="A88" s="3504">
        <v>87</v>
      </c>
      <c r="B88" s="3518" t="s">
        <v>3731</v>
      </c>
      <c r="C88" s="3519" t="s">
        <v>3732</v>
      </c>
      <c r="D88" s="3518" t="s">
        <v>3733</v>
      </c>
      <c r="E88" s="3518" t="s">
        <v>3734</v>
      </c>
      <c r="F88" s="3525" t="s">
        <v>3489</v>
      </c>
      <c r="G88" s="3525" t="s">
        <v>3495</v>
      </c>
      <c r="H88" s="3509">
        <v>8278.2000000000007</v>
      </c>
      <c r="I88" s="3509">
        <v>33112.800000000003</v>
      </c>
      <c r="J88" s="3522">
        <v>1.89</v>
      </c>
      <c r="K88" s="3522">
        <v>0.81</v>
      </c>
      <c r="L88" s="3881">
        <v>48</v>
      </c>
      <c r="M88" s="3523">
        <v>11826</v>
      </c>
    </row>
    <row r="89" spans="1:14">
      <c r="A89" s="3486">
        <v>88</v>
      </c>
      <c r="B89" s="3497" t="s">
        <v>3731</v>
      </c>
      <c r="C89" s="3498" t="s">
        <v>3732</v>
      </c>
      <c r="D89" s="3497" t="s">
        <v>3733</v>
      </c>
      <c r="E89" s="3497" t="s">
        <v>3735</v>
      </c>
      <c r="F89" s="3502" t="s">
        <v>3489</v>
      </c>
      <c r="G89" s="3502" t="s">
        <v>3495</v>
      </c>
      <c r="H89" s="3496">
        <v>8672.4</v>
      </c>
      <c r="I89" s="3496">
        <v>34689.599999999999</v>
      </c>
      <c r="J89" s="3515">
        <v>1.98</v>
      </c>
      <c r="K89" s="3515">
        <v>0.85</v>
      </c>
      <c r="L89" s="3882"/>
      <c r="M89" s="3491">
        <v>12395.4</v>
      </c>
      <c r="N89" s="3493">
        <f t="shared" ref="N89" si="9">ROUND(J89/J88,2)</f>
        <v>1.05</v>
      </c>
    </row>
    <row r="90" spans="1:14" s="3512" customFormat="1">
      <c r="A90" s="3504">
        <v>89</v>
      </c>
      <c r="B90" s="3518" t="s">
        <v>3671</v>
      </c>
      <c r="C90" s="3519" t="s">
        <v>3736</v>
      </c>
      <c r="D90" s="3518" t="s">
        <v>3737</v>
      </c>
      <c r="E90" s="3518" t="s">
        <v>3738</v>
      </c>
      <c r="F90" s="3525" t="s">
        <v>3489</v>
      </c>
      <c r="G90" s="3525" t="s">
        <v>3495</v>
      </c>
      <c r="H90" s="3509">
        <v>7484.4</v>
      </c>
      <c r="I90" s="3509">
        <v>59875.199999999997</v>
      </c>
      <c r="J90" s="3522">
        <v>1.89</v>
      </c>
      <c r="K90" s="3522">
        <v>0.81</v>
      </c>
      <c r="L90" s="3536">
        <v>44</v>
      </c>
      <c r="M90" s="3537">
        <v>10692</v>
      </c>
    </row>
    <row r="91" spans="1:14" s="3512" customFormat="1">
      <c r="A91" s="3504">
        <v>90</v>
      </c>
      <c r="B91" s="3518" t="s">
        <v>3739</v>
      </c>
      <c r="C91" s="3519" t="s">
        <v>3740</v>
      </c>
      <c r="D91" s="3518" t="s">
        <v>3741</v>
      </c>
      <c r="E91" s="3518" t="s">
        <v>3742</v>
      </c>
      <c r="F91" s="3525" t="s">
        <v>3489</v>
      </c>
      <c r="G91" s="3525" t="s">
        <v>3495</v>
      </c>
      <c r="H91" s="3509">
        <v>26955.25</v>
      </c>
      <c r="I91" s="3509">
        <v>107821</v>
      </c>
      <c r="J91" s="3522">
        <v>1.75</v>
      </c>
      <c r="K91" s="3522">
        <v>0.75</v>
      </c>
      <c r="L91" s="3510">
        <v>168.8</v>
      </c>
      <c r="M91" s="3523">
        <v>38507.5</v>
      </c>
    </row>
    <row r="92" spans="1:14" s="3512" customFormat="1">
      <c r="A92" s="3504">
        <v>91</v>
      </c>
      <c r="B92" s="3518" t="s">
        <v>3743</v>
      </c>
      <c r="C92" s="3519" t="s">
        <v>3744</v>
      </c>
      <c r="D92" s="3518" t="s">
        <v>3745</v>
      </c>
      <c r="E92" s="3518" t="s">
        <v>3746</v>
      </c>
      <c r="F92" s="3525" t="s">
        <v>3489</v>
      </c>
      <c r="G92" s="3525" t="s">
        <v>3495</v>
      </c>
      <c r="H92" s="3509">
        <v>11210.06</v>
      </c>
      <c r="I92" s="3509">
        <v>89680.48</v>
      </c>
      <c r="J92" s="3522">
        <v>1.89</v>
      </c>
      <c r="K92" s="3522">
        <v>0.81</v>
      </c>
      <c r="L92" s="3510">
        <v>65</v>
      </c>
      <c r="M92" s="3523">
        <v>16014.38</v>
      </c>
    </row>
    <row r="93" spans="1:14" s="3512" customFormat="1">
      <c r="A93" s="3504">
        <v>92</v>
      </c>
      <c r="B93" s="3518" t="s">
        <v>3747</v>
      </c>
      <c r="C93" s="3519" t="s">
        <v>3748</v>
      </c>
      <c r="D93" s="3518" t="s">
        <v>3749</v>
      </c>
      <c r="E93" s="3518" t="s">
        <v>3750</v>
      </c>
      <c r="F93" s="3525" t="s">
        <v>3489</v>
      </c>
      <c r="G93" s="3525" t="s">
        <v>3495</v>
      </c>
      <c r="H93" s="3509">
        <v>5049</v>
      </c>
      <c r="I93" s="3509">
        <v>20196</v>
      </c>
      <c r="J93" s="3522">
        <v>2.5499999999999998</v>
      </c>
      <c r="K93" s="3522">
        <v>1.0900000000000001</v>
      </c>
      <c r="L93" s="3510">
        <v>22</v>
      </c>
      <c r="M93" s="3523">
        <v>7207.2</v>
      </c>
    </row>
    <row r="94" spans="1:14" s="3512" customFormat="1">
      <c r="A94" s="3504">
        <v>93</v>
      </c>
      <c r="B94" s="3518" t="s">
        <v>3751</v>
      </c>
      <c r="C94" s="3519" t="s">
        <v>3752</v>
      </c>
      <c r="D94" s="3518" t="s">
        <v>3753</v>
      </c>
      <c r="E94" s="3518" t="s">
        <v>3754</v>
      </c>
      <c r="F94" s="3525" t="s">
        <v>3489</v>
      </c>
      <c r="G94" s="3525" t="s">
        <v>3495</v>
      </c>
      <c r="H94" s="3509">
        <v>44712.5</v>
      </c>
      <c r="I94" s="3509">
        <v>178850</v>
      </c>
      <c r="J94" s="3522">
        <v>1.75</v>
      </c>
      <c r="K94" s="3522">
        <v>0.75</v>
      </c>
      <c r="L94" s="3881">
        <v>280</v>
      </c>
      <c r="M94" s="3523">
        <v>63875</v>
      </c>
    </row>
    <row r="95" spans="1:14">
      <c r="A95" s="3486">
        <v>94</v>
      </c>
      <c r="B95" s="3497" t="s">
        <v>3751</v>
      </c>
      <c r="C95" s="3498" t="s">
        <v>3752</v>
      </c>
      <c r="D95" s="3497" t="s">
        <v>3753</v>
      </c>
      <c r="E95" s="3497" t="s">
        <v>3755</v>
      </c>
      <c r="F95" s="3502" t="s">
        <v>3489</v>
      </c>
      <c r="G95" s="3502" t="s">
        <v>3495</v>
      </c>
      <c r="H95" s="3496">
        <v>47012</v>
      </c>
      <c r="I95" s="3496">
        <v>188048</v>
      </c>
      <c r="J95" s="3515">
        <v>1.84</v>
      </c>
      <c r="K95" s="3515">
        <v>0.79</v>
      </c>
      <c r="L95" s="3883"/>
      <c r="M95" s="3491">
        <v>67196.5</v>
      </c>
      <c r="N95" s="3493">
        <f t="shared" ref="N95" si="10">ROUND(J95/J94,2)</f>
        <v>1.05</v>
      </c>
    </row>
    <row r="96" spans="1:14" s="3512" customFormat="1">
      <c r="A96" s="3504">
        <v>95</v>
      </c>
      <c r="B96" s="3518" t="s">
        <v>3756</v>
      </c>
      <c r="C96" s="3519" t="s">
        <v>3757</v>
      </c>
      <c r="D96" s="3518" t="s">
        <v>3758</v>
      </c>
      <c r="E96" s="3518" t="s">
        <v>3759</v>
      </c>
      <c r="F96" s="3525" t="s">
        <v>3489</v>
      </c>
      <c r="G96" s="3525" t="s">
        <v>3495</v>
      </c>
      <c r="H96" s="3509">
        <v>14951.54</v>
      </c>
      <c r="I96" s="3509">
        <v>59806.16</v>
      </c>
      <c r="J96" s="3522">
        <v>1.75</v>
      </c>
      <c r="K96" s="3522">
        <v>0.75</v>
      </c>
      <c r="L96" s="3510">
        <v>93.63</v>
      </c>
      <c r="M96" s="3523">
        <v>21359.34</v>
      </c>
    </row>
    <row r="97" spans="1:14" s="3512" customFormat="1">
      <c r="A97" s="3504">
        <v>96</v>
      </c>
      <c r="B97" s="3518" t="s">
        <v>3760</v>
      </c>
      <c r="C97" s="3519" t="s">
        <v>3761</v>
      </c>
      <c r="D97" s="3518" t="s">
        <v>3762</v>
      </c>
      <c r="E97" s="3518" t="s">
        <v>3763</v>
      </c>
      <c r="F97" s="3525" t="s">
        <v>3489</v>
      </c>
      <c r="G97" s="3525" t="s">
        <v>3495</v>
      </c>
      <c r="H97" s="3509">
        <v>7654.5</v>
      </c>
      <c r="I97" s="3509">
        <v>61236</v>
      </c>
      <c r="J97" s="3522">
        <v>1.89</v>
      </c>
      <c r="K97" s="3522">
        <v>0.81</v>
      </c>
      <c r="L97" s="3510">
        <v>45</v>
      </c>
      <c r="M97" s="3523">
        <v>10935</v>
      </c>
      <c r="N97" s="3538"/>
    </row>
    <row r="98" spans="1:14" s="3512" customFormat="1">
      <c r="A98" s="3504">
        <v>97</v>
      </c>
      <c r="B98" s="3518" t="s">
        <v>3764</v>
      </c>
      <c r="C98" s="3519" t="s">
        <v>3765</v>
      </c>
      <c r="D98" s="3518" t="s">
        <v>3766</v>
      </c>
      <c r="E98" s="3518" t="s">
        <v>3767</v>
      </c>
      <c r="F98" s="3525" t="s">
        <v>3489</v>
      </c>
      <c r="G98" s="3525" t="s">
        <v>3490</v>
      </c>
      <c r="H98" s="3509">
        <v>19731.599999999999</v>
      </c>
      <c r="I98" s="3509">
        <v>78926.399999999994</v>
      </c>
      <c r="J98" s="3522">
        <v>1.89</v>
      </c>
      <c r="K98" s="3522">
        <v>0.81</v>
      </c>
      <c r="L98" s="3510">
        <v>58</v>
      </c>
      <c r="M98" s="3523">
        <v>9396</v>
      </c>
      <c r="N98" s="3538"/>
    </row>
    <row r="99" spans="1:14" s="3512" customFormat="1">
      <c r="A99" s="3504">
        <v>98</v>
      </c>
      <c r="B99" s="3518" t="s">
        <v>3768</v>
      </c>
      <c r="C99" s="3519" t="s">
        <v>3769</v>
      </c>
      <c r="D99" s="3518" t="s">
        <v>3770</v>
      </c>
      <c r="E99" s="3518" t="s">
        <v>3771</v>
      </c>
      <c r="F99" s="3521" t="s">
        <v>3489</v>
      </c>
      <c r="G99" s="3521" t="s">
        <v>3495</v>
      </c>
      <c r="H99" s="3509">
        <v>8584.7999999999993</v>
      </c>
      <c r="I99" s="3509">
        <v>68678.399999999994</v>
      </c>
      <c r="J99" s="3522">
        <v>1.96</v>
      </c>
      <c r="K99" s="3522">
        <v>0.84</v>
      </c>
      <c r="L99" s="3510">
        <v>48</v>
      </c>
      <c r="M99" s="3523">
        <v>12264</v>
      </c>
      <c r="N99" s="3538"/>
    </row>
    <row r="100" spans="1:14" s="3512" customFormat="1">
      <c r="A100" s="3504">
        <v>99</v>
      </c>
      <c r="B100" s="3518" t="s">
        <v>3772</v>
      </c>
      <c r="C100" s="3519" t="s">
        <v>3773</v>
      </c>
      <c r="D100" s="3518" t="s">
        <v>3774</v>
      </c>
      <c r="E100" s="3539" t="s">
        <v>3775</v>
      </c>
      <c r="F100" s="3521" t="s">
        <v>3489</v>
      </c>
      <c r="G100" s="3521" t="s">
        <v>3490</v>
      </c>
      <c r="H100" s="3509">
        <v>16671.38</v>
      </c>
      <c r="I100" s="3509">
        <v>66685.52</v>
      </c>
      <c r="J100" s="3522">
        <v>2.0299999999999998</v>
      </c>
      <c r="K100" s="3522">
        <v>0.87</v>
      </c>
      <c r="L100" s="3510">
        <v>45</v>
      </c>
      <c r="M100" s="3523">
        <v>7938.75</v>
      </c>
      <c r="N100" s="3538"/>
    </row>
    <row r="101" spans="1:14" s="3512" customFormat="1">
      <c r="A101" s="3504">
        <v>100</v>
      </c>
      <c r="B101" s="3518" t="s">
        <v>3776</v>
      </c>
      <c r="C101" s="3519" t="s">
        <v>3777</v>
      </c>
      <c r="D101" s="3518" t="s">
        <v>3770</v>
      </c>
      <c r="E101" s="3539" t="s">
        <v>3778</v>
      </c>
      <c r="F101" s="3521" t="s">
        <v>3489</v>
      </c>
      <c r="G101" s="3521" t="s">
        <v>3495</v>
      </c>
      <c r="H101" s="3509">
        <v>24368.31</v>
      </c>
      <c r="I101" s="3509">
        <v>97473.24</v>
      </c>
      <c r="J101" s="3522">
        <v>1.75</v>
      </c>
      <c r="K101" s="3522">
        <v>0.75</v>
      </c>
      <c r="L101" s="3881">
        <v>152.6</v>
      </c>
      <c r="M101" s="3523">
        <v>34811.879999999997</v>
      </c>
      <c r="N101" s="3538"/>
    </row>
    <row r="102" spans="1:14">
      <c r="A102" s="3486">
        <v>101</v>
      </c>
      <c r="B102" s="3497" t="s">
        <v>3776</v>
      </c>
      <c r="C102" s="3498" t="s">
        <v>3777</v>
      </c>
      <c r="D102" s="3497" t="s">
        <v>3770</v>
      </c>
      <c r="E102" s="3497" t="s">
        <v>3779</v>
      </c>
      <c r="F102" s="3500" t="s">
        <v>3489</v>
      </c>
      <c r="G102" s="3500" t="s">
        <v>3495</v>
      </c>
      <c r="H102" s="3496">
        <v>25621.54</v>
      </c>
      <c r="I102" s="3496">
        <v>102486.16</v>
      </c>
      <c r="J102" s="3515">
        <v>1.84</v>
      </c>
      <c r="K102" s="3515">
        <v>0.79</v>
      </c>
      <c r="L102" s="3883"/>
      <c r="M102" s="3491">
        <v>36622.089999999997</v>
      </c>
      <c r="N102" s="3493">
        <f t="shared" ref="N102" si="11">ROUND(J102/J101,2)</f>
        <v>1.05</v>
      </c>
    </row>
    <row r="103" spans="1:14" s="3512" customFormat="1">
      <c r="A103" s="3504">
        <v>102</v>
      </c>
      <c r="B103" s="3518" t="s">
        <v>3780</v>
      </c>
      <c r="C103" s="3519" t="s">
        <v>3781</v>
      </c>
      <c r="D103" s="3518" t="s">
        <v>3782</v>
      </c>
      <c r="E103" s="3518" t="s">
        <v>3783</v>
      </c>
      <c r="F103" s="3521" t="s">
        <v>3489</v>
      </c>
      <c r="G103" s="3521" t="s">
        <v>3495</v>
      </c>
      <c r="H103" s="3509">
        <v>31215.71</v>
      </c>
      <c r="I103" s="3509">
        <v>124862.84</v>
      </c>
      <c r="J103" s="3522">
        <v>1.89</v>
      </c>
      <c r="K103" s="3522">
        <v>0.81</v>
      </c>
      <c r="L103" s="3510">
        <v>181</v>
      </c>
      <c r="M103" s="3523">
        <v>44593.88</v>
      </c>
      <c r="N103" s="3540" t="s">
        <v>3784</v>
      </c>
    </row>
    <row r="104" spans="1:14" s="3512" customFormat="1">
      <c r="A104" s="3504">
        <v>103</v>
      </c>
      <c r="B104" s="3518" t="s">
        <v>3524</v>
      </c>
      <c r="C104" s="3519" t="s">
        <v>3785</v>
      </c>
      <c r="D104" s="3518" t="s">
        <v>3786</v>
      </c>
      <c r="E104" s="3518" t="s">
        <v>3787</v>
      </c>
      <c r="F104" s="3521" t="s">
        <v>3489</v>
      </c>
      <c r="G104" s="3521" t="s">
        <v>3495</v>
      </c>
      <c r="H104" s="3509">
        <v>52696.88</v>
      </c>
      <c r="I104" s="3509">
        <v>210787.52</v>
      </c>
      <c r="J104" s="3522">
        <v>1.75</v>
      </c>
      <c r="K104" s="3522">
        <v>0.75</v>
      </c>
      <c r="L104" s="3881">
        <v>330</v>
      </c>
      <c r="M104" s="3523">
        <v>75281.25</v>
      </c>
      <c r="N104" s="3538"/>
    </row>
    <row r="105" spans="1:14">
      <c r="A105" s="3486">
        <v>104</v>
      </c>
      <c r="B105" s="3497" t="s">
        <v>3524</v>
      </c>
      <c r="C105" s="3498" t="s">
        <v>3785</v>
      </c>
      <c r="D105" s="3497" t="s">
        <v>3788</v>
      </c>
      <c r="E105" s="3497" t="s">
        <v>3789</v>
      </c>
      <c r="F105" s="3500" t="s">
        <v>3489</v>
      </c>
      <c r="G105" s="3500" t="s">
        <v>3495</v>
      </c>
      <c r="H105" s="3496">
        <v>55407</v>
      </c>
      <c r="I105" s="3496">
        <v>221628</v>
      </c>
      <c r="J105" s="3515">
        <v>1.84</v>
      </c>
      <c r="K105" s="3515">
        <v>0.79</v>
      </c>
      <c r="L105" s="3882"/>
      <c r="M105" s="3491">
        <v>79195.88</v>
      </c>
      <c r="N105" s="3493">
        <f t="shared" ref="N105:N107" si="12">ROUND(J105/J104,2)</f>
        <v>1.05</v>
      </c>
    </row>
    <row r="106" spans="1:14">
      <c r="A106" s="3486">
        <v>105</v>
      </c>
      <c r="B106" s="3497" t="s">
        <v>3524</v>
      </c>
      <c r="C106" s="3498" t="s">
        <v>3785</v>
      </c>
      <c r="D106" s="3497" t="s">
        <v>3790</v>
      </c>
      <c r="E106" s="3497" t="s">
        <v>3791</v>
      </c>
      <c r="F106" s="3500" t="s">
        <v>3489</v>
      </c>
      <c r="G106" s="3500" t="s">
        <v>3495</v>
      </c>
      <c r="H106" s="3496">
        <v>58117.13</v>
      </c>
      <c r="I106" s="3496">
        <v>232468.52</v>
      </c>
      <c r="J106" s="3515">
        <v>1.93</v>
      </c>
      <c r="K106" s="3515">
        <v>0.83</v>
      </c>
      <c r="L106" s="3882"/>
      <c r="M106" s="3491">
        <v>83110.5</v>
      </c>
      <c r="N106" s="3493">
        <f t="shared" si="12"/>
        <v>1.05</v>
      </c>
    </row>
    <row r="107" spans="1:14">
      <c r="A107" s="3486">
        <v>106</v>
      </c>
      <c r="B107" s="3497" t="s">
        <v>3524</v>
      </c>
      <c r="C107" s="3498" t="s">
        <v>3785</v>
      </c>
      <c r="D107" s="3497" t="s">
        <v>3786</v>
      </c>
      <c r="E107" s="3497" t="s">
        <v>3792</v>
      </c>
      <c r="F107" s="3500" t="s">
        <v>3489</v>
      </c>
      <c r="G107" s="3500" t="s">
        <v>3495</v>
      </c>
      <c r="H107" s="3496">
        <v>61128.38</v>
      </c>
      <c r="I107" s="3496">
        <v>244513.52</v>
      </c>
      <c r="J107" s="3515">
        <v>2.0299999999999998</v>
      </c>
      <c r="K107" s="3515">
        <v>0.87</v>
      </c>
      <c r="L107" s="3883"/>
      <c r="M107" s="3491">
        <v>87326.25</v>
      </c>
      <c r="N107" s="3493">
        <f t="shared" si="12"/>
        <v>1.05</v>
      </c>
    </row>
    <row r="108" spans="1:14" s="3512" customFormat="1">
      <c r="A108" s="3504">
        <v>107</v>
      </c>
      <c r="B108" s="3518" t="s">
        <v>3793</v>
      </c>
      <c r="C108" s="3519" t="s">
        <v>3794</v>
      </c>
      <c r="D108" s="3518" t="s">
        <v>3795</v>
      </c>
      <c r="E108" s="3518" t="s">
        <v>3796</v>
      </c>
      <c r="F108" s="3521" t="s">
        <v>3489</v>
      </c>
      <c r="G108" s="3521" t="s">
        <v>3495</v>
      </c>
      <c r="H108" s="3509">
        <v>23131.88</v>
      </c>
      <c r="I108" s="3509">
        <v>61685.01</v>
      </c>
      <c r="J108" s="3522">
        <v>1.5</v>
      </c>
      <c r="K108" s="3522">
        <v>0.5</v>
      </c>
      <c r="L108" s="3510">
        <v>169</v>
      </c>
      <c r="M108" s="3523">
        <v>30842.5</v>
      </c>
      <c r="N108" s="3538"/>
    </row>
    <row r="109" spans="1:14" s="3512" customFormat="1">
      <c r="A109" s="3504">
        <v>108</v>
      </c>
      <c r="B109" s="3518" t="s">
        <v>3797</v>
      </c>
      <c r="C109" s="3519" t="s">
        <v>3798</v>
      </c>
      <c r="D109" s="3518" t="s">
        <v>3799</v>
      </c>
      <c r="E109" s="3518" t="s">
        <v>3800</v>
      </c>
      <c r="F109" s="3521" t="s">
        <v>3489</v>
      </c>
      <c r="G109" s="3518" t="s">
        <v>3490</v>
      </c>
      <c r="H109" s="3509">
        <v>72753.63</v>
      </c>
      <c r="I109" s="3509">
        <v>133547.76</v>
      </c>
      <c r="J109" s="3522">
        <v>1.75</v>
      </c>
      <c r="K109" s="3522">
        <v>0.75</v>
      </c>
      <c r="L109" s="3881">
        <v>227.8</v>
      </c>
      <c r="M109" s="3523">
        <v>34644.58</v>
      </c>
      <c r="N109" s="3538"/>
    </row>
    <row r="110" spans="1:14">
      <c r="A110" s="3486">
        <v>109</v>
      </c>
      <c r="B110" s="3497" t="s">
        <v>3797</v>
      </c>
      <c r="C110" s="3498" t="s">
        <v>3798</v>
      </c>
      <c r="D110" s="3497" t="s">
        <v>3799</v>
      </c>
      <c r="E110" s="3497" t="s">
        <v>3801</v>
      </c>
      <c r="F110" s="3500" t="s">
        <v>3489</v>
      </c>
      <c r="G110" s="3497" t="s">
        <v>3490</v>
      </c>
      <c r="H110" s="3496">
        <v>76495.240000000005</v>
      </c>
      <c r="I110" s="3496">
        <v>152990.48000000001</v>
      </c>
      <c r="J110" s="3515">
        <v>1.84</v>
      </c>
      <c r="K110" s="3515">
        <v>0.79</v>
      </c>
      <c r="L110" s="3883"/>
      <c r="M110" s="3491">
        <v>36446.1</v>
      </c>
      <c r="N110" s="3493">
        <f t="shared" ref="N110" si="13">ROUND(J110/J109,2)</f>
        <v>1.05</v>
      </c>
    </row>
    <row r="111" spans="1:14" s="3512" customFormat="1">
      <c r="A111" s="3504">
        <v>110</v>
      </c>
      <c r="B111" s="3518" t="s">
        <v>3802</v>
      </c>
      <c r="C111" s="3519" t="s">
        <v>3803</v>
      </c>
      <c r="D111" s="3518" t="s">
        <v>3804</v>
      </c>
      <c r="E111" s="3518" t="s">
        <v>3805</v>
      </c>
      <c r="F111" s="3521" t="s">
        <v>3489</v>
      </c>
      <c r="G111" s="3521" t="s">
        <v>3495</v>
      </c>
      <c r="H111" s="3509">
        <v>11446.4</v>
      </c>
      <c r="I111" s="3509">
        <v>91571.199999999997</v>
      </c>
      <c r="J111" s="3522">
        <v>1.96</v>
      </c>
      <c r="K111" s="3522">
        <v>0.84</v>
      </c>
      <c r="L111" s="3510">
        <v>64</v>
      </c>
      <c r="M111" s="3523">
        <v>16352</v>
      </c>
      <c r="N111" s="3538"/>
    </row>
    <row r="112" spans="1:14" s="3512" customFormat="1">
      <c r="A112" s="3504">
        <v>111</v>
      </c>
      <c r="B112" s="3518" t="s">
        <v>3806</v>
      </c>
      <c r="C112" s="3519" t="s">
        <v>3807</v>
      </c>
      <c r="D112" s="3518" t="s">
        <v>3782</v>
      </c>
      <c r="E112" s="3518" t="s">
        <v>3808</v>
      </c>
      <c r="F112" s="3521" t="s">
        <v>3489</v>
      </c>
      <c r="G112" s="3521" t="s">
        <v>3495</v>
      </c>
      <c r="H112" s="3509">
        <v>1752</v>
      </c>
      <c r="I112" s="3509">
        <v>7008</v>
      </c>
      <c r="J112" s="3522">
        <v>3.84</v>
      </c>
      <c r="K112" s="3522">
        <v>1.64</v>
      </c>
      <c r="L112" s="3510">
        <v>5</v>
      </c>
      <c r="M112" s="3523">
        <v>2500.25</v>
      </c>
      <c r="N112" s="3538"/>
    </row>
    <row r="113" spans="1:14" s="3512" customFormat="1">
      <c r="A113" s="3504">
        <v>112</v>
      </c>
      <c r="B113" s="3518" t="s">
        <v>3809</v>
      </c>
      <c r="C113" s="3519" t="s">
        <v>3810</v>
      </c>
      <c r="D113" s="3518" t="s">
        <v>3804</v>
      </c>
      <c r="E113" s="3518" t="s">
        <v>3811</v>
      </c>
      <c r="F113" s="3521" t="s">
        <v>3489</v>
      </c>
      <c r="G113" s="3521" t="s">
        <v>3495</v>
      </c>
      <c r="H113" s="3509">
        <v>13183.8</v>
      </c>
      <c r="I113" s="3509">
        <v>26367.599999999999</v>
      </c>
      <c r="J113" s="3522">
        <v>1.68</v>
      </c>
      <c r="K113" s="3522">
        <v>0.72</v>
      </c>
      <c r="L113" s="3510">
        <v>86</v>
      </c>
      <c r="M113" s="3523">
        <v>18834</v>
      </c>
    </row>
    <row r="114" spans="1:14" s="3512" customFormat="1">
      <c r="A114" s="3504">
        <v>113</v>
      </c>
      <c r="B114" s="3518" t="s">
        <v>3812</v>
      </c>
      <c r="C114" s="3519" t="s">
        <v>3813</v>
      </c>
      <c r="D114" s="3518" t="s">
        <v>3814</v>
      </c>
      <c r="E114" s="3518" t="s">
        <v>3815</v>
      </c>
      <c r="F114" s="3521" t="s">
        <v>3489</v>
      </c>
      <c r="G114" s="3521" t="s">
        <v>3495</v>
      </c>
      <c r="H114" s="3509">
        <v>26265.91</v>
      </c>
      <c r="I114" s="3509">
        <v>105063.64</v>
      </c>
      <c r="J114" s="3522">
        <v>1.96</v>
      </c>
      <c r="K114" s="3522">
        <v>0.84</v>
      </c>
      <c r="L114" s="3881">
        <v>146.86000000000001</v>
      </c>
      <c r="M114" s="3523">
        <v>37522.730000000003</v>
      </c>
    </row>
    <row r="115" spans="1:14">
      <c r="A115" s="3486">
        <v>114</v>
      </c>
      <c r="B115" s="3497" t="s">
        <v>3812</v>
      </c>
      <c r="C115" s="3498" t="s">
        <v>3813</v>
      </c>
      <c r="D115" s="3497" t="s">
        <v>3814</v>
      </c>
      <c r="E115" s="3497" t="s">
        <v>3816</v>
      </c>
      <c r="F115" s="3500" t="s">
        <v>3489</v>
      </c>
      <c r="G115" s="3500" t="s">
        <v>3495</v>
      </c>
      <c r="H115" s="3496">
        <v>27606.01</v>
      </c>
      <c r="I115" s="3496">
        <v>110424.04</v>
      </c>
      <c r="J115" s="3515">
        <v>2.06</v>
      </c>
      <c r="K115" s="3515">
        <v>0.88</v>
      </c>
      <c r="L115" s="3882"/>
      <c r="M115" s="3491">
        <v>39398.870000000003</v>
      </c>
      <c r="N115" s="3493">
        <f t="shared" ref="N115:N116" si="14">ROUND(J115/J114,2)</f>
        <v>1.05</v>
      </c>
    </row>
    <row r="116" spans="1:14">
      <c r="A116" s="3486">
        <v>115</v>
      </c>
      <c r="B116" s="3497" t="s">
        <v>3812</v>
      </c>
      <c r="C116" s="3498" t="s">
        <v>3813</v>
      </c>
      <c r="D116" s="3497" t="s">
        <v>3814</v>
      </c>
      <c r="E116" s="3497" t="s">
        <v>3817</v>
      </c>
      <c r="F116" s="3500" t="s">
        <v>3489</v>
      </c>
      <c r="G116" s="3500" t="s">
        <v>3495</v>
      </c>
      <c r="H116" s="3496">
        <v>28946.11</v>
      </c>
      <c r="I116" s="3496">
        <v>115784.44</v>
      </c>
      <c r="J116" s="3515">
        <v>2.16</v>
      </c>
      <c r="K116" s="3515">
        <v>0.92</v>
      </c>
      <c r="L116" s="3883"/>
      <c r="M116" s="3491">
        <v>41275</v>
      </c>
      <c r="N116" s="3493">
        <f t="shared" si="14"/>
        <v>1.05</v>
      </c>
    </row>
    <row r="117" spans="1:14" s="3512" customFormat="1">
      <c r="A117" s="3504">
        <v>116</v>
      </c>
      <c r="B117" s="3518" t="s">
        <v>3498</v>
      </c>
      <c r="C117" s="3519" t="s">
        <v>3818</v>
      </c>
      <c r="D117" s="3518" t="s">
        <v>3804</v>
      </c>
      <c r="E117" s="3518" t="s">
        <v>3819</v>
      </c>
      <c r="F117" s="3521" t="s">
        <v>3489</v>
      </c>
      <c r="G117" s="3521" t="s">
        <v>3495</v>
      </c>
      <c r="H117" s="3509">
        <v>5365.5</v>
      </c>
      <c r="I117" s="3509">
        <v>21462</v>
      </c>
      <c r="J117" s="3522">
        <v>1.68</v>
      </c>
      <c r="K117" s="3522">
        <v>0.72</v>
      </c>
      <c r="L117" s="3881">
        <v>35</v>
      </c>
      <c r="M117" s="3523">
        <v>7665</v>
      </c>
    </row>
    <row r="118" spans="1:14">
      <c r="A118" s="3486">
        <v>117</v>
      </c>
      <c r="B118" s="3497" t="s">
        <v>3498</v>
      </c>
      <c r="C118" s="3498" t="s">
        <v>3818</v>
      </c>
      <c r="D118" s="3497" t="s">
        <v>3804</v>
      </c>
      <c r="E118" s="3497" t="s">
        <v>3820</v>
      </c>
      <c r="F118" s="3500" t="s">
        <v>3489</v>
      </c>
      <c r="G118" s="3500" t="s">
        <v>3495</v>
      </c>
      <c r="H118" s="3496">
        <v>5621</v>
      </c>
      <c r="I118" s="3496">
        <v>22484</v>
      </c>
      <c r="J118" s="3515">
        <v>1.76</v>
      </c>
      <c r="K118" s="3515">
        <v>0.76</v>
      </c>
      <c r="L118" s="3883"/>
      <c r="M118" s="3491">
        <v>8048.25</v>
      </c>
      <c r="N118" s="3493">
        <f t="shared" ref="N118" si="15">ROUND(J118/J117,2)</f>
        <v>1.05</v>
      </c>
    </row>
    <row r="119" spans="1:14" s="3512" customFormat="1">
      <c r="A119" s="3504">
        <v>118</v>
      </c>
      <c r="B119" s="3518" t="s">
        <v>3821</v>
      </c>
      <c r="C119" s="3519" t="s">
        <v>3822</v>
      </c>
      <c r="D119" s="3518" t="s">
        <v>3823</v>
      </c>
      <c r="E119" s="3518" t="s">
        <v>3824</v>
      </c>
      <c r="F119" s="3521" t="s">
        <v>3489</v>
      </c>
      <c r="G119" s="3521" t="s">
        <v>3495</v>
      </c>
      <c r="H119" s="3509">
        <v>22356.25</v>
      </c>
      <c r="I119" s="3509">
        <v>89425</v>
      </c>
      <c r="J119" s="3522">
        <v>1.75</v>
      </c>
      <c r="K119" s="3522">
        <v>0.75</v>
      </c>
      <c r="L119" s="3881">
        <v>140</v>
      </c>
      <c r="M119" s="3523">
        <v>31937.5</v>
      </c>
    </row>
    <row r="120" spans="1:14">
      <c r="A120" s="3486">
        <v>119</v>
      </c>
      <c r="B120" s="3497" t="s">
        <v>3821</v>
      </c>
      <c r="C120" s="3498" t="s">
        <v>3822</v>
      </c>
      <c r="D120" s="3497" t="s">
        <v>3823</v>
      </c>
      <c r="E120" s="3497" t="s">
        <v>3825</v>
      </c>
      <c r="F120" s="3500" t="s">
        <v>3489</v>
      </c>
      <c r="G120" s="3500" t="s">
        <v>3495</v>
      </c>
      <c r="H120" s="3496">
        <v>23506</v>
      </c>
      <c r="I120" s="3496">
        <v>94024</v>
      </c>
      <c r="J120" s="3515">
        <v>1.84</v>
      </c>
      <c r="K120" s="3515">
        <v>0.79</v>
      </c>
      <c r="L120" s="3883"/>
      <c r="M120" s="3491">
        <v>33598.25</v>
      </c>
      <c r="N120" s="3493">
        <f t="shared" ref="N120" si="16">ROUND(J120/J119,2)</f>
        <v>1.05</v>
      </c>
    </row>
    <row r="121" spans="1:14" s="3512" customFormat="1">
      <c r="A121" s="3504">
        <v>120</v>
      </c>
      <c r="B121" s="3518" t="s">
        <v>3826</v>
      </c>
      <c r="C121" s="3519" t="s">
        <v>3827</v>
      </c>
      <c r="D121" s="3518" t="s">
        <v>3828</v>
      </c>
      <c r="E121" s="3518" t="s">
        <v>3578</v>
      </c>
      <c r="F121" s="3521" t="s">
        <v>3489</v>
      </c>
      <c r="G121" s="3521" t="s">
        <v>3495</v>
      </c>
      <c r="H121" s="3509">
        <v>3781.8</v>
      </c>
      <c r="I121" s="3509">
        <v>15127.2</v>
      </c>
      <c r="J121" s="3522">
        <v>3.82</v>
      </c>
      <c r="K121" s="3522">
        <v>1.64</v>
      </c>
      <c r="L121" s="3510">
        <v>11</v>
      </c>
      <c r="M121" s="3523">
        <v>5405.4</v>
      </c>
    </row>
    <row r="122" spans="1:14" s="3512" customFormat="1">
      <c r="A122" s="3504">
        <v>121</v>
      </c>
      <c r="B122" s="3518" t="s">
        <v>3829</v>
      </c>
      <c r="C122" s="3519" t="s">
        <v>3830</v>
      </c>
      <c r="D122" s="3518" t="s">
        <v>3831</v>
      </c>
      <c r="E122" s="3518" t="s">
        <v>3832</v>
      </c>
      <c r="F122" s="3525" t="s">
        <v>3489</v>
      </c>
      <c r="G122" s="3525" t="s">
        <v>3495</v>
      </c>
      <c r="H122" s="3509">
        <v>83037.5</v>
      </c>
      <c r="I122" s="3509">
        <v>332150</v>
      </c>
      <c r="J122" s="3522">
        <v>1.75</v>
      </c>
      <c r="K122" s="3522">
        <v>0.75</v>
      </c>
      <c r="L122" s="3881">
        <v>520</v>
      </c>
      <c r="M122" s="3523">
        <v>118625</v>
      </c>
    </row>
    <row r="123" spans="1:14">
      <c r="A123" s="3486">
        <v>122</v>
      </c>
      <c r="B123" s="3497" t="s">
        <v>3829</v>
      </c>
      <c r="C123" s="3498" t="s">
        <v>3830</v>
      </c>
      <c r="D123" s="3497" t="s">
        <v>3831</v>
      </c>
      <c r="E123" s="3497" t="s">
        <v>3833</v>
      </c>
      <c r="F123" s="3502" t="s">
        <v>3489</v>
      </c>
      <c r="G123" s="3502" t="s">
        <v>3495</v>
      </c>
      <c r="H123" s="3496">
        <v>87308</v>
      </c>
      <c r="I123" s="3496">
        <v>349232</v>
      </c>
      <c r="J123" s="3515">
        <v>1.84</v>
      </c>
      <c r="K123" s="3515">
        <v>0.79</v>
      </c>
      <c r="L123" s="3882"/>
      <c r="M123" s="3491">
        <v>124793.5</v>
      </c>
      <c r="N123" s="3493">
        <f t="shared" ref="N123:N124" si="17">ROUND(J123/J122,2)</f>
        <v>1.05</v>
      </c>
    </row>
    <row r="124" spans="1:14">
      <c r="A124" s="3486">
        <v>123</v>
      </c>
      <c r="B124" s="3497" t="s">
        <v>3829</v>
      </c>
      <c r="C124" s="3498" t="s">
        <v>3830</v>
      </c>
      <c r="D124" s="3497" t="s">
        <v>3831</v>
      </c>
      <c r="E124" s="3497" t="s">
        <v>3834</v>
      </c>
      <c r="F124" s="3502" t="s">
        <v>3489</v>
      </c>
      <c r="G124" s="3502" t="s">
        <v>3495</v>
      </c>
      <c r="H124" s="3496">
        <v>91578.5</v>
      </c>
      <c r="I124" s="3496">
        <v>366314</v>
      </c>
      <c r="J124" s="3515">
        <v>1.93</v>
      </c>
      <c r="K124" s="3515">
        <v>0.83</v>
      </c>
      <c r="L124" s="3883"/>
      <c r="M124" s="3491">
        <v>130962</v>
      </c>
      <c r="N124" s="3493">
        <f t="shared" si="17"/>
        <v>1.05</v>
      </c>
    </row>
    <row r="125" spans="1:14" s="3512" customFormat="1">
      <c r="A125" s="3504">
        <v>124</v>
      </c>
      <c r="B125" s="3518" t="s">
        <v>3835</v>
      </c>
      <c r="C125" s="3519" t="s">
        <v>3836</v>
      </c>
      <c r="D125" s="3518" t="s">
        <v>3837</v>
      </c>
      <c r="E125" s="3518" t="s">
        <v>3838</v>
      </c>
      <c r="F125" s="3525" t="s">
        <v>3489</v>
      </c>
      <c r="G125" s="3525" t="s">
        <v>3495</v>
      </c>
      <c r="H125" s="3509">
        <v>5119.13</v>
      </c>
      <c r="I125" s="3509">
        <v>20476.52</v>
      </c>
      <c r="J125" s="3522">
        <v>2.5499999999999998</v>
      </c>
      <c r="K125" s="3522">
        <v>1.0900000000000001</v>
      </c>
      <c r="L125" s="3510">
        <v>22</v>
      </c>
      <c r="M125" s="3523">
        <v>7307.3</v>
      </c>
    </row>
    <row r="126" spans="1:14" s="3512" customFormat="1">
      <c r="A126" s="3504">
        <v>125</v>
      </c>
      <c r="B126" s="3518" t="s">
        <v>3839</v>
      </c>
      <c r="C126" s="3519" t="s">
        <v>3840</v>
      </c>
      <c r="D126" s="3518" t="s">
        <v>3841</v>
      </c>
      <c r="E126" s="3518" t="s">
        <v>3522</v>
      </c>
      <c r="F126" s="3525" t="s">
        <v>3489</v>
      </c>
      <c r="G126" s="3525" t="s">
        <v>3495</v>
      </c>
      <c r="H126" s="3509">
        <v>37366.879999999997</v>
      </c>
      <c r="I126" s="3509">
        <v>149467.51999999999</v>
      </c>
      <c r="J126" s="3522">
        <v>1.75</v>
      </c>
      <c r="K126" s="3522">
        <v>0.75</v>
      </c>
      <c r="L126" s="3881">
        <v>234</v>
      </c>
      <c r="M126" s="3523">
        <v>53381.25</v>
      </c>
    </row>
    <row r="127" spans="1:14">
      <c r="A127" s="3486">
        <v>126</v>
      </c>
      <c r="B127" s="3497" t="s">
        <v>3839</v>
      </c>
      <c r="C127" s="3498" t="s">
        <v>3840</v>
      </c>
      <c r="D127" s="3497" t="s">
        <v>3841</v>
      </c>
      <c r="E127" s="3497" t="s">
        <v>3842</v>
      </c>
      <c r="F127" s="3502" t="s">
        <v>3489</v>
      </c>
      <c r="G127" s="3502" t="s">
        <v>3495</v>
      </c>
      <c r="H127" s="3496">
        <v>39288.6</v>
      </c>
      <c r="I127" s="3496">
        <v>157154.4</v>
      </c>
      <c r="J127" s="3515">
        <v>1.84</v>
      </c>
      <c r="K127" s="3515">
        <v>0.79</v>
      </c>
      <c r="L127" s="3883"/>
      <c r="M127" s="3491">
        <v>56157.08</v>
      </c>
      <c r="N127" s="3493">
        <f t="shared" ref="N127" si="18">ROUND(J127/J126,2)</f>
        <v>1.05</v>
      </c>
    </row>
    <row r="128" spans="1:14" s="3512" customFormat="1">
      <c r="A128" s="3504">
        <v>127</v>
      </c>
      <c r="B128" s="3518" t="s">
        <v>3843</v>
      </c>
      <c r="C128" s="3519" t="s">
        <v>3844</v>
      </c>
      <c r="D128" s="3518" t="s">
        <v>3845</v>
      </c>
      <c r="E128" s="3518" t="s">
        <v>3846</v>
      </c>
      <c r="F128" s="3521" t="s">
        <v>3489</v>
      </c>
      <c r="G128" s="3521" t="s">
        <v>3495</v>
      </c>
      <c r="H128" s="3509">
        <v>17054.63</v>
      </c>
      <c r="I128" s="3509">
        <v>68218.52</v>
      </c>
      <c r="J128" s="3522">
        <v>2.1</v>
      </c>
      <c r="K128" s="3522">
        <v>0.9</v>
      </c>
      <c r="L128" s="3881">
        <v>89</v>
      </c>
      <c r="M128" s="3523">
        <v>24363.75</v>
      </c>
    </row>
    <row r="129" spans="1:14">
      <c r="A129" s="3486">
        <v>128</v>
      </c>
      <c r="B129" s="3497" t="s">
        <v>3843</v>
      </c>
      <c r="C129" s="3498" t="s">
        <v>3844</v>
      </c>
      <c r="D129" s="3497" t="s">
        <v>3845</v>
      </c>
      <c r="E129" s="3497" t="s">
        <v>3847</v>
      </c>
      <c r="F129" s="3500" t="s">
        <v>3489</v>
      </c>
      <c r="G129" s="3500" t="s">
        <v>3495</v>
      </c>
      <c r="H129" s="3496">
        <v>17947.96</v>
      </c>
      <c r="I129" s="3496">
        <v>71791.839999999997</v>
      </c>
      <c r="J129" s="3515">
        <v>2.21</v>
      </c>
      <c r="K129" s="3515">
        <v>0.95</v>
      </c>
      <c r="L129" s="3883"/>
      <c r="M129" s="3491">
        <v>25663.15</v>
      </c>
      <c r="N129" s="3493">
        <f t="shared" ref="N129" si="19">ROUND(J129/J128,2)</f>
        <v>1.05</v>
      </c>
    </row>
    <row r="130" spans="1:14">
      <c r="A130" s="3486"/>
      <c r="B130" s="3497"/>
      <c r="C130" s="3498"/>
      <c r="D130" s="3497"/>
      <c r="E130" s="3497"/>
      <c r="F130" s="3497"/>
      <c r="G130" s="3497"/>
      <c r="H130" s="3496"/>
      <c r="I130" s="3496"/>
      <c r="J130" s="3516"/>
      <c r="K130" s="3516"/>
      <c r="L130" s="3492"/>
      <c r="M130" s="3491"/>
    </row>
    <row r="131" spans="1:14">
      <c r="A131" s="3486"/>
      <c r="B131" s="3497"/>
      <c r="C131" s="3498"/>
      <c r="D131" s="3497"/>
      <c r="E131" s="3497"/>
      <c r="F131" s="3497"/>
      <c r="G131" s="3497"/>
      <c r="H131" s="3496"/>
      <c r="I131" s="3496" t="s">
        <v>3882</v>
      </c>
      <c r="J131" s="3516">
        <v>1.93</v>
      </c>
      <c r="K131" s="3516"/>
      <c r="L131" s="3492"/>
      <c r="M131" s="3491"/>
    </row>
    <row r="132" spans="1:14">
      <c r="A132" s="3486"/>
      <c r="B132" s="3497"/>
      <c r="C132" s="3498"/>
      <c r="D132" s="3497"/>
      <c r="E132" s="3497"/>
      <c r="F132" s="3497"/>
      <c r="G132" s="3497"/>
      <c r="H132" s="3496"/>
      <c r="I132" s="3496"/>
      <c r="J132" s="3516"/>
      <c r="K132" s="3516"/>
      <c r="L132" s="3492"/>
      <c r="M132" s="3491"/>
    </row>
    <row r="133" spans="1:14">
      <c r="A133" s="3486"/>
      <c r="B133" s="3497"/>
      <c r="C133" s="3498"/>
      <c r="D133" s="3497"/>
      <c r="E133" s="3497"/>
      <c r="F133" s="3497"/>
      <c r="G133" s="3497"/>
      <c r="H133" s="3496"/>
      <c r="I133" s="3496"/>
      <c r="J133" s="3516"/>
      <c r="K133" s="3516"/>
      <c r="L133" s="3492"/>
      <c r="M133" s="3491"/>
    </row>
    <row r="134" spans="1:14">
      <c r="A134" s="3486"/>
      <c r="B134" s="3497"/>
      <c r="C134" s="3498"/>
      <c r="D134" s="3497"/>
      <c r="E134" s="3497"/>
      <c r="F134" s="3497"/>
      <c r="G134" s="3497"/>
      <c r="H134" s="3496"/>
      <c r="I134" s="3496"/>
      <c r="J134" s="3516"/>
      <c r="K134" s="3516"/>
      <c r="L134" s="3492"/>
      <c r="M134" s="3491"/>
    </row>
    <row r="135" spans="1:14">
      <c r="A135" s="3486"/>
      <c r="B135" s="3497"/>
      <c r="C135" s="3498"/>
      <c r="D135" s="3497"/>
      <c r="E135" s="3497"/>
      <c r="F135" s="3497"/>
      <c r="G135" s="3497"/>
      <c r="H135" s="3496"/>
      <c r="I135" s="3496"/>
      <c r="J135" s="3516"/>
      <c r="K135" s="3516"/>
      <c r="L135" s="3492"/>
      <c r="M135" s="3491"/>
    </row>
    <row r="136" spans="1:14">
      <c r="A136" s="3486"/>
      <c r="B136" s="3497"/>
      <c r="C136" s="3498"/>
      <c r="D136" s="3497"/>
      <c r="E136" s="3497"/>
      <c r="F136" s="3497"/>
      <c r="G136" s="3497"/>
      <c r="H136" s="3496"/>
      <c r="I136" s="3496"/>
      <c r="J136" s="3516"/>
      <c r="K136" s="3516"/>
      <c r="L136" s="3492"/>
      <c r="M136" s="3491"/>
    </row>
    <row r="137" spans="1:14">
      <c r="A137" s="3486"/>
      <c r="B137" s="3497"/>
      <c r="C137" s="3498"/>
      <c r="D137" s="3497"/>
      <c r="E137" s="3497"/>
      <c r="F137" s="3497"/>
      <c r="G137" s="3497"/>
      <c r="H137" s="3496"/>
      <c r="I137" s="3496"/>
      <c r="J137" s="3516"/>
      <c r="K137" s="3516"/>
      <c r="L137" s="3492"/>
      <c r="M137" s="3491"/>
    </row>
    <row r="138" spans="1:14">
      <c r="A138" s="3486"/>
      <c r="B138" s="3497"/>
      <c r="C138" s="3498"/>
      <c r="D138" s="3497"/>
      <c r="E138" s="3497"/>
      <c r="F138" s="3497"/>
      <c r="G138" s="3497"/>
      <c r="H138" s="3496"/>
      <c r="I138" s="3496"/>
      <c r="J138" s="3516"/>
      <c r="K138" s="3516"/>
      <c r="L138" s="3492"/>
      <c r="M138" s="3491"/>
    </row>
    <row r="139" spans="1:14">
      <c r="A139" s="3486"/>
      <c r="B139" s="3497"/>
      <c r="C139" s="3498"/>
      <c r="D139" s="3497"/>
      <c r="E139" s="3497"/>
      <c r="F139" s="3497"/>
      <c r="G139" s="3497"/>
      <c r="H139" s="3496"/>
      <c r="I139" s="3496"/>
      <c r="J139" s="3516"/>
      <c r="K139" s="3516"/>
      <c r="L139" s="3492"/>
      <c r="M139" s="3491"/>
    </row>
    <row r="140" spans="1:14">
      <c r="A140" s="3486"/>
      <c r="B140" s="3497"/>
      <c r="C140" s="3498"/>
      <c r="D140" s="3497"/>
      <c r="E140" s="3497"/>
      <c r="F140" s="3497"/>
      <c r="G140" s="3497"/>
      <c r="H140" s="3496"/>
      <c r="I140" s="3496"/>
      <c r="J140" s="3516"/>
      <c r="K140" s="3516"/>
      <c r="L140" s="3492"/>
      <c r="M140" s="3491"/>
    </row>
    <row r="141" spans="1:14">
      <c r="A141" s="3486"/>
      <c r="B141" s="3497"/>
      <c r="C141" s="3498"/>
      <c r="D141" s="3497"/>
      <c r="E141" s="3497"/>
      <c r="F141" s="3497"/>
      <c r="G141" s="3497"/>
      <c r="H141" s="3496"/>
      <c r="I141" s="3496"/>
      <c r="J141" s="3516"/>
      <c r="K141" s="3516"/>
      <c r="L141" s="3492"/>
      <c r="M141" s="3491"/>
    </row>
    <row r="142" spans="1:14">
      <c r="A142" s="3486"/>
      <c r="B142" s="3497"/>
      <c r="C142" s="3498"/>
      <c r="D142" s="3497"/>
      <c r="E142" s="3497"/>
      <c r="F142" s="3497"/>
      <c r="G142" s="3497"/>
      <c r="H142" s="3496"/>
      <c r="I142" s="3496"/>
      <c r="J142" s="3516"/>
      <c r="K142" s="3516"/>
      <c r="L142" s="3492"/>
      <c r="M142" s="3491"/>
    </row>
    <row r="143" spans="1:14">
      <c r="A143" s="3486"/>
      <c r="B143" s="3497"/>
      <c r="C143" s="3498"/>
      <c r="D143" s="3497"/>
      <c r="E143" s="3497"/>
      <c r="F143" s="3497"/>
      <c r="G143" s="3497"/>
      <c r="H143" s="3496"/>
      <c r="I143" s="3496"/>
      <c r="J143" s="3516"/>
      <c r="K143" s="3516"/>
      <c r="L143" s="3492"/>
      <c r="M143" s="3491"/>
    </row>
    <row r="144" spans="1:14">
      <c r="A144" s="3486"/>
      <c r="B144" s="3497"/>
      <c r="C144" s="3498"/>
      <c r="D144" s="3497"/>
      <c r="E144" s="3497"/>
      <c r="F144" s="3497"/>
      <c r="G144" s="3497"/>
      <c r="H144" s="3496"/>
      <c r="I144" s="3496"/>
      <c r="J144" s="3516"/>
      <c r="K144" s="3516"/>
      <c r="L144" s="3492"/>
      <c r="M144" s="3491"/>
    </row>
    <row r="145" spans="1:13">
      <c r="A145" s="3486"/>
      <c r="B145" s="3497"/>
      <c r="C145" s="3498"/>
      <c r="D145" s="3497"/>
      <c r="E145" s="3497"/>
      <c r="F145" s="3497"/>
      <c r="G145" s="3497"/>
      <c r="H145" s="3496"/>
      <c r="I145" s="3496"/>
      <c r="J145" s="3516"/>
      <c r="K145" s="3516"/>
      <c r="L145" s="3492"/>
      <c r="M145" s="3491"/>
    </row>
    <row r="146" spans="1:13">
      <c r="A146" s="3486"/>
      <c r="B146" s="3497"/>
      <c r="C146" s="3498"/>
      <c r="D146" s="3497"/>
      <c r="E146" s="3497"/>
      <c r="F146" s="3497"/>
      <c r="G146" s="3497"/>
      <c r="H146" s="3496"/>
      <c r="I146" s="3496"/>
      <c r="J146" s="3516"/>
      <c r="K146" s="3516"/>
      <c r="L146" s="3492"/>
      <c r="M146" s="3491"/>
    </row>
    <row r="147" spans="1:13">
      <c r="A147" s="3486"/>
      <c r="B147" s="3497"/>
      <c r="C147" s="3498"/>
      <c r="D147" s="3497"/>
      <c r="E147" s="3497"/>
      <c r="F147" s="3497"/>
      <c r="G147" s="3497"/>
      <c r="H147" s="3496"/>
      <c r="I147" s="3496"/>
      <c r="J147" s="3516"/>
      <c r="K147" s="3516"/>
      <c r="L147" s="3492"/>
      <c r="M147" s="3491"/>
    </row>
    <row r="148" spans="1:13">
      <c r="A148" s="3486"/>
      <c r="B148" s="3497"/>
      <c r="C148" s="3498"/>
      <c r="D148" s="3497"/>
      <c r="E148" s="3497"/>
      <c r="F148" s="3497"/>
      <c r="G148" s="3497"/>
      <c r="H148" s="3496"/>
      <c r="I148" s="3496"/>
      <c r="J148" s="3516"/>
      <c r="K148" s="3516"/>
      <c r="L148" s="3492"/>
      <c r="M148" s="3491"/>
    </row>
    <row r="149" spans="1:13">
      <c r="A149" s="3486"/>
      <c r="B149" s="3497"/>
      <c r="C149" s="3498"/>
      <c r="D149" s="3497"/>
      <c r="E149" s="3497"/>
      <c r="F149" s="3497"/>
      <c r="G149" s="3497"/>
      <c r="H149" s="3496"/>
      <c r="I149" s="3496"/>
      <c r="J149" s="3516"/>
      <c r="K149" s="3516"/>
      <c r="L149" s="3492"/>
      <c r="M149" s="3491"/>
    </row>
    <row r="150" spans="1:13">
      <c r="A150" s="3486"/>
      <c r="B150" s="3497"/>
      <c r="C150" s="3498"/>
      <c r="D150" s="3497"/>
      <c r="E150" s="3497"/>
      <c r="F150" s="3497"/>
      <c r="G150" s="3497"/>
      <c r="H150" s="3496"/>
      <c r="I150" s="3496"/>
      <c r="J150" s="3516"/>
      <c r="K150" s="3516"/>
      <c r="L150" s="3492"/>
      <c r="M150" s="3491"/>
    </row>
    <row r="151" spans="1:13">
      <c r="A151" s="3486"/>
      <c r="B151" s="3497"/>
      <c r="C151" s="3498"/>
      <c r="D151" s="3497"/>
      <c r="E151" s="3497"/>
      <c r="F151" s="3497"/>
      <c r="G151" s="3497"/>
      <c r="H151" s="3496"/>
      <c r="I151" s="3496"/>
      <c r="J151" s="3516"/>
      <c r="K151" s="3516"/>
      <c r="L151" s="3492"/>
      <c r="M151" s="3491"/>
    </row>
    <row r="152" spans="1:13">
      <c r="A152" s="3486"/>
      <c r="B152" s="3497"/>
      <c r="C152" s="3498"/>
      <c r="D152" s="3497"/>
      <c r="E152" s="3497"/>
      <c r="F152" s="3497"/>
      <c r="G152" s="3497"/>
      <c r="H152" s="3496"/>
      <c r="I152" s="3496"/>
      <c r="J152" s="3516"/>
      <c r="K152" s="3516"/>
      <c r="L152" s="3492"/>
      <c r="M152" s="3491"/>
    </row>
    <row r="153" spans="1:13">
      <c r="A153" s="3486"/>
      <c r="B153" s="3497"/>
      <c r="C153" s="3498"/>
      <c r="D153" s="3497"/>
      <c r="E153" s="3497"/>
      <c r="F153" s="3497"/>
      <c r="G153" s="3497"/>
      <c r="H153" s="3496"/>
      <c r="I153" s="3496"/>
      <c r="J153" s="3516"/>
      <c r="K153" s="3516"/>
      <c r="L153" s="3492"/>
      <c r="M153" s="3491"/>
    </row>
    <row r="154" spans="1:13">
      <c r="A154" s="3486"/>
      <c r="B154" s="3497"/>
      <c r="C154" s="3498"/>
      <c r="D154" s="3497"/>
      <c r="E154" s="3497"/>
      <c r="F154" s="3497"/>
      <c r="G154" s="3497"/>
      <c r="H154" s="3496"/>
      <c r="I154" s="3496"/>
      <c r="J154" s="3516"/>
      <c r="K154" s="3516"/>
      <c r="L154" s="3492"/>
      <c r="M154" s="3491"/>
    </row>
    <row r="155" spans="1:13">
      <c r="A155" s="3486"/>
      <c r="B155" s="3497"/>
      <c r="C155" s="3498"/>
      <c r="D155" s="3497"/>
      <c r="E155" s="3497"/>
      <c r="F155" s="3497"/>
      <c r="G155" s="3497"/>
      <c r="H155" s="3496"/>
      <c r="I155" s="3496"/>
      <c r="J155" s="3516"/>
      <c r="K155" s="3516"/>
      <c r="L155" s="3492"/>
      <c r="M155" s="3491"/>
    </row>
    <row r="156" spans="1:13">
      <c r="A156" s="3486"/>
      <c r="B156" s="3497"/>
      <c r="C156" s="3498"/>
      <c r="D156" s="3497"/>
      <c r="E156" s="3497"/>
      <c r="F156" s="3497"/>
      <c r="G156" s="3497"/>
      <c r="H156" s="3496"/>
      <c r="I156" s="3496"/>
      <c r="J156" s="3516"/>
      <c r="K156" s="3516"/>
      <c r="L156" s="3492"/>
      <c r="M156" s="3491"/>
    </row>
    <row r="157" spans="1:13">
      <c r="A157" s="3486"/>
      <c r="B157" s="3497"/>
      <c r="C157" s="3498"/>
      <c r="D157" s="3497"/>
      <c r="E157" s="3497"/>
      <c r="F157" s="3497"/>
      <c r="G157" s="3497"/>
      <c r="H157" s="3496"/>
      <c r="I157" s="3496"/>
      <c r="J157" s="3516"/>
      <c r="K157" s="3516"/>
      <c r="L157" s="3492"/>
      <c r="M157" s="3491"/>
    </row>
    <row r="158" spans="1:13">
      <c r="A158" s="3486"/>
      <c r="B158" s="3497"/>
      <c r="C158" s="3498"/>
      <c r="D158" s="3497"/>
      <c r="E158" s="3497"/>
      <c r="F158" s="3497"/>
      <c r="G158" s="3497"/>
      <c r="H158" s="3496"/>
      <c r="I158" s="3496"/>
      <c r="J158" s="3516"/>
      <c r="K158" s="3516"/>
      <c r="L158" s="3492"/>
      <c r="M158" s="3491"/>
    </row>
    <row r="159" spans="1:13">
      <c r="A159" s="3486"/>
      <c r="B159" s="3497"/>
      <c r="C159" s="3498"/>
      <c r="D159" s="3497"/>
      <c r="E159" s="3497"/>
      <c r="F159" s="3497"/>
      <c r="G159" s="3497"/>
      <c r="H159" s="3496"/>
      <c r="I159" s="3496"/>
      <c r="J159" s="3516"/>
      <c r="K159" s="3516"/>
      <c r="L159" s="3492"/>
      <c r="M159" s="3491"/>
    </row>
    <row r="160" spans="1:13">
      <c r="A160" s="3486"/>
      <c r="B160" s="3497"/>
      <c r="C160" s="3498"/>
      <c r="D160" s="3497"/>
      <c r="E160" s="3497"/>
      <c r="F160" s="3497"/>
      <c r="G160" s="3497"/>
      <c r="H160" s="3496"/>
      <c r="I160" s="3496"/>
      <c r="J160" s="3516"/>
      <c r="K160" s="3516"/>
      <c r="L160" s="3492"/>
      <c r="M160" s="3491"/>
    </row>
    <row r="161" spans="1:13">
      <c r="A161" s="3486"/>
      <c r="B161" s="3497"/>
      <c r="C161" s="3498"/>
      <c r="D161" s="3497"/>
      <c r="E161" s="3497"/>
      <c r="F161" s="3497"/>
      <c r="G161" s="3497"/>
      <c r="H161" s="3496"/>
      <c r="I161" s="3496"/>
      <c r="J161" s="3516"/>
      <c r="K161" s="3516"/>
      <c r="L161" s="3492"/>
      <c r="M161" s="3491"/>
    </row>
    <row r="162" spans="1:13">
      <c r="A162" s="3486"/>
      <c r="B162" s="3497"/>
      <c r="C162" s="3498"/>
      <c r="D162" s="3497"/>
      <c r="E162" s="3497"/>
      <c r="F162" s="3497"/>
      <c r="G162" s="3497"/>
      <c r="H162" s="3496"/>
      <c r="I162" s="3496"/>
      <c r="J162" s="3516"/>
      <c r="K162" s="3516"/>
      <c r="L162" s="3492"/>
      <c r="M162" s="3491"/>
    </row>
    <row r="163" spans="1:13">
      <c r="A163" s="3486"/>
      <c r="B163" s="3497"/>
      <c r="C163" s="3498"/>
      <c r="D163" s="3497"/>
      <c r="E163" s="3497"/>
      <c r="F163" s="3497"/>
      <c r="G163" s="3497"/>
      <c r="H163" s="3496"/>
      <c r="I163" s="3496"/>
      <c r="J163" s="3516"/>
      <c r="K163" s="3516"/>
      <c r="L163" s="3492"/>
      <c r="M163" s="3491"/>
    </row>
    <row r="164" spans="1:13">
      <c r="A164" s="3486"/>
      <c r="B164" s="3497"/>
      <c r="C164" s="3498"/>
      <c r="D164" s="3497"/>
      <c r="E164" s="3497"/>
      <c r="F164" s="3497"/>
      <c r="G164" s="3497"/>
      <c r="H164" s="3496"/>
      <c r="I164" s="3496"/>
      <c r="J164" s="3516"/>
      <c r="K164" s="3516"/>
      <c r="L164" s="3492"/>
      <c r="M164" s="3491"/>
    </row>
    <row r="165" spans="1:13">
      <c r="A165" s="3486"/>
      <c r="B165" s="3497"/>
      <c r="C165" s="3498"/>
      <c r="D165" s="3497"/>
      <c r="E165" s="3497"/>
      <c r="F165" s="3497"/>
      <c r="G165" s="3497"/>
      <c r="H165" s="3496"/>
      <c r="I165" s="3496"/>
      <c r="J165" s="3516"/>
      <c r="K165" s="3516"/>
      <c r="L165" s="3492"/>
      <c r="M165" s="3491"/>
    </row>
    <row r="166" spans="1:13">
      <c r="A166" s="3486"/>
      <c r="B166" s="3497"/>
      <c r="C166" s="3498"/>
      <c r="D166" s="3497"/>
      <c r="E166" s="3497"/>
      <c r="F166" s="3497"/>
      <c r="G166" s="3497"/>
      <c r="H166" s="3496"/>
      <c r="I166" s="3496"/>
      <c r="J166" s="3516"/>
      <c r="K166" s="3516"/>
      <c r="L166" s="3492"/>
      <c r="M166" s="3491"/>
    </row>
    <row r="167" spans="1:13">
      <c r="A167" s="3486"/>
      <c r="B167" s="3497"/>
      <c r="C167" s="3498"/>
      <c r="D167" s="3497"/>
      <c r="E167" s="3497"/>
      <c r="F167" s="3497"/>
      <c r="G167" s="3497"/>
      <c r="H167" s="3496"/>
      <c r="I167" s="3496"/>
      <c r="J167" s="3516"/>
      <c r="K167" s="3516"/>
      <c r="L167" s="3492"/>
      <c r="M167" s="3491"/>
    </row>
    <row r="168" spans="1:13">
      <c r="A168" s="3486"/>
      <c r="B168" s="3497"/>
      <c r="C168" s="3498"/>
      <c r="D168" s="3497"/>
      <c r="E168" s="3497"/>
      <c r="F168" s="3497"/>
      <c r="G168" s="3497"/>
      <c r="H168" s="3496"/>
      <c r="I168" s="3496"/>
      <c r="J168" s="3516"/>
      <c r="K168" s="3516"/>
      <c r="L168" s="3492"/>
      <c r="M168" s="3491"/>
    </row>
    <row r="169" spans="1:13">
      <c r="A169" s="3486"/>
      <c r="B169" s="3497"/>
      <c r="C169" s="3498"/>
      <c r="D169" s="3497"/>
      <c r="E169" s="3497"/>
      <c r="F169" s="3497"/>
      <c r="G169" s="3497"/>
      <c r="H169" s="3496"/>
      <c r="I169" s="3496"/>
      <c r="J169" s="3516"/>
      <c r="K169" s="3516"/>
      <c r="L169" s="3492"/>
      <c r="M169" s="3491"/>
    </row>
    <row r="170" spans="1:13">
      <c r="A170" s="3486"/>
      <c r="B170" s="3497"/>
      <c r="C170" s="3498"/>
      <c r="D170" s="3497"/>
      <c r="E170" s="3497"/>
      <c r="F170" s="3497"/>
      <c r="G170" s="3497"/>
      <c r="H170" s="3496"/>
      <c r="I170" s="3496"/>
      <c r="J170" s="3516"/>
      <c r="K170" s="3516"/>
      <c r="L170" s="3492"/>
      <c r="M170" s="3491"/>
    </row>
    <row r="171" spans="1:13">
      <c r="A171" s="3486"/>
      <c r="B171" s="3497"/>
      <c r="C171" s="3498"/>
      <c r="D171" s="3497"/>
      <c r="E171" s="3497"/>
      <c r="F171" s="3497"/>
      <c r="G171" s="3497"/>
      <c r="H171" s="3496"/>
      <c r="I171" s="3496"/>
      <c r="J171" s="3516"/>
      <c r="K171" s="3516"/>
      <c r="L171" s="3492"/>
      <c r="M171" s="3491"/>
    </row>
    <row r="172" spans="1:13">
      <c r="A172" s="3486"/>
      <c r="B172" s="3497"/>
      <c r="C172" s="3498"/>
      <c r="D172" s="3497"/>
      <c r="E172" s="3497"/>
      <c r="F172" s="3497"/>
      <c r="G172" s="3497"/>
      <c r="H172" s="3496"/>
      <c r="I172" s="3496"/>
      <c r="J172" s="3516"/>
      <c r="K172" s="3516"/>
      <c r="L172" s="3492"/>
      <c r="M172" s="3491"/>
    </row>
    <row r="173" spans="1:13">
      <c r="A173" s="3486"/>
      <c r="B173" s="3497"/>
      <c r="C173" s="3498"/>
      <c r="D173" s="3497"/>
      <c r="E173" s="3497"/>
      <c r="F173" s="3497"/>
      <c r="G173" s="3497"/>
      <c r="H173" s="3496"/>
      <c r="I173" s="3496"/>
      <c r="J173" s="3516"/>
      <c r="K173" s="3516"/>
      <c r="L173" s="3492"/>
      <c r="M173" s="3491"/>
    </row>
    <row r="174" spans="1:13">
      <c r="A174" s="3486"/>
      <c r="B174" s="3497"/>
      <c r="C174" s="3498"/>
      <c r="D174" s="3497"/>
      <c r="E174" s="3497"/>
      <c r="F174" s="3497"/>
      <c r="G174" s="3497"/>
      <c r="H174" s="3496"/>
      <c r="I174" s="3496"/>
      <c r="J174" s="3516"/>
      <c r="K174" s="3516"/>
      <c r="L174" s="3492"/>
      <c r="M174" s="3491"/>
    </row>
    <row r="175" spans="1:13">
      <c r="A175" s="3486"/>
      <c r="B175" s="3497"/>
      <c r="C175" s="3498"/>
      <c r="D175" s="3497"/>
      <c r="E175" s="3497"/>
      <c r="F175" s="3497"/>
      <c r="G175" s="3497"/>
      <c r="H175" s="3496"/>
      <c r="I175" s="3496"/>
      <c r="J175" s="3516"/>
      <c r="K175" s="3516"/>
      <c r="L175" s="3492"/>
      <c r="M175" s="3491"/>
    </row>
    <row r="176" spans="1:13">
      <c r="A176" s="3486"/>
      <c r="B176" s="3497"/>
      <c r="C176" s="3498"/>
      <c r="D176" s="3497"/>
      <c r="E176" s="3497"/>
      <c r="F176" s="3497"/>
      <c r="G176" s="3497"/>
      <c r="H176" s="3496"/>
      <c r="I176" s="3496"/>
      <c r="J176" s="3516"/>
      <c r="K176" s="3516"/>
      <c r="L176" s="3492"/>
      <c r="M176" s="3491"/>
    </row>
    <row r="177" spans="1:13">
      <c r="A177" s="3486"/>
      <c r="B177" s="3497"/>
      <c r="C177" s="3498"/>
      <c r="D177" s="3497"/>
      <c r="E177" s="3497"/>
      <c r="F177" s="3497"/>
      <c r="G177" s="3497"/>
      <c r="H177" s="3496"/>
      <c r="I177" s="3496"/>
      <c r="J177" s="3516"/>
      <c r="K177" s="3516"/>
      <c r="L177" s="3492"/>
      <c r="M177" s="3491"/>
    </row>
    <row r="178" spans="1:13">
      <c r="A178" s="3486"/>
      <c r="B178" s="3497"/>
      <c r="C178" s="3498"/>
      <c r="D178" s="3497"/>
      <c r="E178" s="3497"/>
      <c r="F178" s="3497"/>
      <c r="G178" s="3497"/>
      <c r="H178" s="3496"/>
      <c r="I178" s="3496"/>
      <c r="J178" s="3516"/>
      <c r="K178" s="3516"/>
      <c r="L178" s="3492"/>
      <c r="M178" s="3491"/>
    </row>
    <row r="179" spans="1:13">
      <c r="A179" s="3486"/>
      <c r="B179" s="3497"/>
      <c r="C179" s="3498"/>
      <c r="D179" s="3497"/>
      <c r="E179" s="3497"/>
      <c r="F179" s="3497"/>
      <c r="G179" s="3497"/>
      <c r="H179" s="3496"/>
      <c r="I179" s="3496"/>
      <c r="J179" s="3516"/>
      <c r="K179" s="3516"/>
      <c r="L179" s="3492"/>
      <c r="M179" s="3491"/>
    </row>
    <row r="180" spans="1:13">
      <c r="A180" s="3486"/>
      <c r="B180" s="3497"/>
      <c r="C180" s="3498"/>
      <c r="D180" s="3497"/>
      <c r="E180" s="3497"/>
      <c r="F180" s="3497"/>
      <c r="G180" s="3497"/>
      <c r="H180" s="3496"/>
      <c r="I180" s="3496"/>
      <c r="J180" s="3516"/>
      <c r="K180" s="3516"/>
      <c r="L180" s="3492"/>
      <c r="M180" s="3491"/>
    </row>
    <row r="181" spans="1:13">
      <c r="A181" s="3486"/>
      <c r="B181" s="3497"/>
      <c r="C181" s="3498"/>
      <c r="D181" s="3497"/>
      <c r="E181" s="3497"/>
      <c r="F181" s="3497"/>
      <c r="G181" s="3497"/>
      <c r="H181" s="3496"/>
      <c r="I181" s="3496"/>
      <c r="J181" s="3516"/>
      <c r="K181" s="3516"/>
      <c r="L181" s="3492"/>
      <c r="M181" s="3491"/>
    </row>
    <row r="182" spans="1:13">
      <c r="A182" s="3486"/>
      <c r="B182" s="3497"/>
      <c r="C182" s="3498"/>
      <c r="D182" s="3497"/>
      <c r="E182" s="3497"/>
      <c r="F182" s="3497"/>
      <c r="G182" s="3497"/>
      <c r="H182" s="3496"/>
      <c r="I182" s="3496"/>
      <c r="J182" s="3516"/>
      <c r="K182" s="3516"/>
      <c r="L182" s="3492"/>
      <c r="M182" s="3491"/>
    </row>
    <row r="183" spans="1:13">
      <c r="A183" s="3486"/>
      <c r="B183" s="3497"/>
      <c r="C183" s="3498"/>
      <c r="D183" s="3497"/>
      <c r="E183" s="3497"/>
      <c r="F183" s="3497"/>
      <c r="G183" s="3497"/>
      <c r="H183" s="3496"/>
      <c r="I183" s="3496"/>
      <c r="J183" s="3516"/>
      <c r="K183" s="3516"/>
      <c r="L183" s="3492"/>
      <c r="M183" s="3491"/>
    </row>
    <row r="184" spans="1:13">
      <c r="A184" s="3486"/>
      <c r="B184" s="3497"/>
      <c r="C184" s="3498"/>
      <c r="D184" s="3497"/>
      <c r="E184" s="3497"/>
      <c r="F184" s="3497"/>
      <c r="G184" s="3497"/>
      <c r="H184" s="3496"/>
      <c r="I184" s="3496"/>
      <c r="J184" s="3516"/>
      <c r="K184" s="3516"/>
      <c r="L184" s="3492"/>
      <c r="M184" s="3491"/>
    </row>
    <row r="185" spans="1:13">
      <c r="A185" s="3486"/>
      <c r="B185" s="3497"/>
      <c r="C185" s="3498"/>
      <c r="D185" s="3497"/>
      <c r="E185" s="3497"/>
      <c r="F185" s="3497"/>
      <c r="G185" s="3497"/>
      <c r="H185" s="3496"/>
      <c r="I185" s="3496"/>
      <c r="J185" s="3516"/>
      <c r="K185" s="3516"/>
      <c r="L185" s="3492"/>
      <c r="M185" s="3491"/>
    </row>
    <row r="186" spans="1:13">
      <c r="A186" s="3486"/>
      <c r="B186" s="3497"/>
      <c r="C186" s="3498"/>
      <c r="D186" s="3497"/>
      <c r="E186" s="3497"/>
      <c r="F186" s="3497"/>
      <c r="G186" s="3497"/>
      <c r="H186" s="3496"/>
      <c r="I186" s="3496"/>
      <c r="J186" s="3516"/>
      <c r="K186" s="3516"/>
      <c r="L186" s="3492"/>
      <c r="M186" s="3491"/>
    </row>
    <row r="187" spans="1:13">
      <c r="A187" s="3486"/>
      <c r="B187" s="3497"/>
      <c r="C187" s="3498"/>
      <c r="D187" s="3497"/>
      <c r="E187" s="3497"/>
      <c r="F187" s="3497"/>
      <c r="G187" s="3497"/>
      <c r="H187" s="3496"/>
      <c r="I187" s="3496"/>
      <c r="J187" s="3516"/>
      <c r="K187" s="3516"/>
      <c r="L187" s="3492"/>
      <c r="M187" s="3491"/>
    </row>
    <row r="188" spans="1:13">
      <c r="A188" s="3486"/>
      <c r="B188" s="3497"/>
      <c r="C188" s="3498"/>
      <c r="D188" s="3497"/>
      <c r="E188" s="3497"/>
      <c r="F188" s="3497"/>
      <c r="G188" s="3497"/>
      <c r="H188" s="3496"/>
      <c r="I188" s="3496"/>
      <c r="J188" s="3516"/>
      <c r="K188" s="3516"/>
      <c r="L188" s="3492"/>
      <c r="M188" s="3491"/>
    </row>
    <row r="189" spans="1:13">
      <c r="A189" s="3486"/>
      <c r="B189" s="3497"/>
      <c r="C189" s="3498"/>
      <c r="D189" s="3497"/>
      <c r="E189" s="3497"/>
      <c r="F189" s="3497"/>
      <c r="G189" s="3497"/>
      <c r="H189" s="3496"/>
      <c r="I189" s="3496"/>
      <c r="J189" s="3516"/>
      <c r="K189" s="3516"/>
      <c r="L189" s="3492"/>
      <c r="M189" s="3491"/>
    </row>
    <row r="190" spans="1:13">
      <c r="A190" s="3486"/>
      <c r="B190" s="3497"/>
      <c r="C190" s="3498"/>
      <c r="D190" s="3497"/>
      <c r="E190" s="3497"/>
      <c r="F190" s="3497"/>
      <c r="G190" s="3497"/>
      <c r="H190" s="3496"/>
      <c r="I190" s="3496"/>
      <c r="J190" s="3516"/>
      <c r="K190" s="3516"/>
      <c r="L190" s="3492"/>
      <c r="M190" s="3491"/>
    </row>
    <row r="191" spans="1:13">
      <c r="A191" s="3486"/>
      <c r="B191" s="3497"/>
      <c r="C191" s="3498"/>
      <c r="D191" s="3497"/>
      <c r="E191" s="3497"/>
      <c r="F191" s="3497"/>
      <c r="G191" s="3497"/>
      <c r="H191" s="3496"/>
      <c r="I191" s="3496"/>
      <c r="J191" s="3516"/>
      <c r="K191" s="3516"/>
      <c r="L191" s="3492"/>
      <c r="M191" s="3491"/>
    </row>
    <row r="192" spans="1:13">
      <c r="A192" s="3486"/>
      <c r="B192" s="3497"/>
      <c r="C192" s="3498"/>
      <c r="D192" s="3497"/>
      <c r="E192" s="3497"/>
      <c r="F192" s="3497"/>
      <c r="G192" s="3497"/>
      <c r="H192" s="3496"/>
      <c r="I192" s="3496"/>
      <c r="J192" s="3516"/>
      <c r="K192" s="3516"/>
      <c r="L192" s="3492"/>
      <c r="M192" s="3491"/>
    </row>
    <row r="193" spans="1:13">
      <c r="A193" s="3486"/>
      <c r="B193" s="3497"/>
      <c r="C193" s="3498"/>
      <c r="D193" s="3497"/>
      <c r="E193" s="3497"/>
      <c r="F193" s="3497"/>
      <c r="G193" s="3497"/>
      <c r="H193" s="3496"/>
      <c r="I193" s="3496"/>
      <c r="J193" s="3516"/>
      <c r="K193" s="3516"/>
      <c r="L193" s="3492"/>
      <c r="M193" s="3491"/>
    </row>
    <row r="194" spans="1:13">
      <c r="A194" s="3486"/>
      <c r="B194" s="3497"/>
      <c r="C194" s="3498"/>
      <c r="D194" s="3497"/>
      <c r="E194" s="3497"/>
      <c r="F194" s="3497"/>
      <c r="G194" s="3497"/>
      <c r="H194" s="3496"/>
      <c r="I194" s="3496"/>
      <c r="J194" s="3516"/>
      <c r="K194" s="3516"/>
      <c r="L194" s="3492"/>
      <c r="M194" s="3491"/>
    </row>
    <row r="195" spans="1:13">
      <c r="A195" s="3486"/>
      <c r="B195" s="3497"/>
      <c r="C195" s="3498"/>
      <c r="D195" s="3497"/>
      <c r="E195" s="3497"/>
      <c r="F195" s="3497"/>
      <c r="G195" s="3497"/>
      <c r="H195" s="3496"/>
      <c r="I195" s="3496"/>
      <c r="J195" s="3516"/>
      <c r="K195" s="3516"/>
      <c r="L195" s="3492"/>
      <c r="M195" s="3491"/>
    </row>
    <row r="196" spans="1:13">
      <c r="A196" s="3486"/>
      <c r="B196" s="3497"/>
      <c r="C196" s="3498"/>
      <c r="D196" s="3497"/>
      <c r="E196" s="3497"/>
      <c r="F196" s="3497"/>
      <c r="G196" s="3497"/>
      <c r="H196" s="3496"/>
      <c r="I196" s="3496"/>
      <c r="J196" s="3516"/>
      <c r="K196" s="3516"/>
      <c r="L196" s="3492"/>
      <c r="M196" s="3491"/>
    </row>
    <row r="197" spans="1:13">
      <c r="A197" s="3486"/>
      <c r="B197" s="3497"/>
      <c r="C197" s="3498"/>
      <c r="D197" s="3497"/>
      <c r="E197" s="3497"/>
      <c r="F197" s="3497"/>
      <c r="G197" s="3497"/>
      <c r="H197" s="3496"/>
      <c r="I197" s="3496"/>
      <c r="J197" s="3516"/>
      <c r="K197" s="3516"/>
      <c r="L197" s="3492"/>
      <c r="M197" s="3491"/>
    </row>
    <row r="198" spans="1:13">
      <c r="A198" s="3486"/>
      <c r="B198" s="3497"/>
      <c r="C198" s="3498"/>
      <c r="D198" s="3497"/>
      <c r="E198" s="3497"/>
      <c r="F198" s="3497"/>
      <c r="G198" s="3497"/>
      <c r="H198" s="3496"/>
      <c r="I198" s="3496"/>
      <c r="J198" s="3516"/>
      <c r="K198" s="3516"/>
      <c r="L198" s="3492"/>
      <c r="M198" s="3491"/>
    </row>
    <row r="199" spans="1:13">
      <c r="A199" s="3486"/>
      <c r="B199" s="3497"/>
      <c r="C199" s="3498"/>
      <c r="D199" s="3497"/>
      <c r="E199" s="3497"/>
      <c r="F199" s="3497"/>
      <c r="G199" s="3497"/>
      <c r="H199" s="3496"/>
      <c r="I199" s="3496"/>
      <c r="J199" s="3516"/>
      <c r="K199" s="3516"/>
      <c r="L199" s="3492"/>
      <c r="M199" s="3491"/>
    </row>
    <row r="200" spans="1:13">
      <c r="A200" s="3486"/>
      <c r="B200" s="3497"/>
      <c r="C200" s="3498"/>
      <c r="D200" s="3497"/>
      <c r="E200" s="3497"/>
      <c r="F200" s="3497"/>
      <c r="G200" s="3497"/>
      <c r="H200" s="3496"/>
      <c r="I200" s="3496"/>
      <c r="J200" s="3516"/>
      <c r="K200" s="3516"/>
      <c r="L200" s="3492"/>
      <c r="M200" s="3491"/>
    </row>
    <row r="201" spans="1:13">
      <c r="A201" s="3486"/>
      <c r="B201" s="3497"/>
      <c r="C201" s="3498"/>
      <c r="D201" s="3497"/>
      <c r="E201" s="3497"/>
      <c r="F201" s="3497"/>
      <c r="G201" s="3497"/>
      <c r="H201" s="3496"/>
      <c r="I201" s="3496"/>
      <c r="J201" s="3516"/>
      <c r="K201" s="3516"/>
      <c r="L201" s="3492"/>
      <c r="M201" s="3491"/>
    </row>
    <row r="202" spans="1:13">
      <c r="A202" s="3486"/>
      <c r="B202" s="3497"/>
      <c r="C202" s="3498"/>
      <c r="D202" s="3497"/>
      <c r="E202" s="3497"/>
      <c r="F202" s="3497"/>
      <c r="G202" s="3497"/>
      <c r="H202" s="3496"/>
      <c r="I202" s="3496"/>
      <c r="J202" s="3516"/>
      <c r="K202" s="3516"/>
      <c r="L202" s="3492"/>
      <c r="M202" s="3491"/>
    </row>
    <row r="203" spans="1:13">
      <c r="A203" s="3486"/>
      <c r="B203" s="3497"/>
      <c r="C203" s="3498"/>
      <c r="D203" s="3497"/>
      <c r="E203" s="3497"/>
      <c r="F203" s="3497"/>
      <c r="G203" s="3497"/>
      <c r="H203" s="3496"/>
      <c r="I203" s="3496"/>
      <c r="J203" s="3516"/>
      <c r="K203" s="3516"/>
      <c r="L203" s="3492"/>
      <c r="M203" s="3491"/>
    </row>
    <row r="204" spans="1:13">
      <c r="A204" s="3486"/>
      <c r="B204" s="3497"/>
      <c r="C204" s="3498"/>
      <c r="D204" s="3497"/>
      <c r="E204" s="3497"/>
      <c r="F204" s="3497"/>
      <c r="G204" s="3497"/>
      <c r="H204" s="3496"/>
      <c r="I204" s="3496"/>
      <c r="J204" s="3516"/>
      <c r="K204" s="3516"/>
      <c r="L204" s="3492"/>
      <c r="M204" s="3491"/>
    </row>
    <row r="205" spans="1:13">
      <c r="A205" s="3486"/>
      <c r="B205" s="3497"/>
      <c r="C205" s="3498"/>
      <c r="D205" s="3497"/>
      <c r="E205" s="3497"/>
      <c r="F205" s="3497"/>
      <c r="G205" s="3497"/>
      <c r="H205" s="3496"/>
      <c r="I205" s="3496"/>
      <c r="J205" s="3516"/>
      <c r="K205" s="3516"/>
      <c r="L205" s="3492"/>
      <c r="M205" s="3491"/>
    </row>
    <row r="206" spans="1:13">
      <c r="A206" s="3486"/>
      <c r="B206" s="3497"/>
      <c r="C206" s="3498"/>
      <c r="D206" s="3497"/>
      <c r="E206" s="3497"/>
      <c r="F206" s="3497"/>
      <c r="G206" s="3497"/>
      <c r="H206" s="3496"/>
      <c r="I206" s="3496"/>
      <c r="J206" s="3516"/>
      <c r="K206" s="3516"/>
      <c r="L206" s="3492"/>
      <c r="M206" s="3491"/>
    </row>
    <row r="207" spans="1:13">
      <c r="A207" s="3486"/>
      <c r="B207" s="3497"/>
      <c r="C207" s="3498"/>
      <c r="D207" s="3497"/>
      <c r="E207" s="3497"/>
      <c r="F207" s="3497"/>
      <c r="G207" s="3497"/>
      <c r="H207" s="3496"/>
      <c r="I207" s="3496"/>
      <c r="J207" s="3516"/>
      <c r="K207" s="3516"/>
      <c r="L207" s="3492"/>
      <c r="M207" s="3491"/>
    </row>
    <row r="208" spans="1:13">
      <c r="A208" s="3486"/>
      <c r="B208" s="3497"/>
      <c r="C208" s="3498"/>
      <c r="D208" s="3497"/>
      <c r="E208" s="3497"/>
      <c r="F208" s="3497"/>
      <c r="G208" s="3497"/>
      <c r="H208" s="3496"/>
      <c r="I208" s="3496"/>
      <c r="J208" s="3516"/>
      <c r="K208" s="3516"/>
      <c r="L208" s="3492"/>
      <c r="M208" s="3491"/>
    </row>
  </sheetData>
  <autoFilter ref="A1:N129"/>
  <mergeCells count="25">
    <mergeCell ref="L128:L129"/>
    <mergeCell ref="L122:L124"/>
    <mergeCell ref="L109:L110"/>
    <mergeCell ref="L126:L127"/>
    <mergeCell ref="L119:L120"/>
    <mergeCell ref="L117:L118"/>
    <mergeCell ref="L114:L116"/>
    <mergeCell ref="L69:L70"/>
    <mergeCell ref="L104:L107"/>
    <mergeCell ref="L101:L102"/>
    <mergeCell ref="L88:L89"/>
    <mergeCell ref="L72:L73"/>
    <mergeCell ref="L84:L85"/>
    <mergeCell ref="L80:L82"/>
    <mergeCell ref="L94:L95"/>
    <mergeCell ref="L47:L50"/>
    <mergeCell ref="L43:L46"/>
    <mergeCell ref="L54:L55"/>
    <mergeCell ref="L63:L64"/>
    <mergeCell ref="L52:L53"/>
    <mergeCell ref="L6:L8"/>
    <mergeCell ref="L12:L13"/>
    <mergeCell ref="L14:L17"/>
    <mergeCell ref="L3:L5"/>
    <mergeCell ref="L35:L3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E1" workbookViewId="0">
      <selection activeCell="J36" sqref="J36"/>
    </sheetView>
  </sheetViews>
  <sheetFormatPr defaultRowHeight="13.5"/>
  <cols>
    <col min="1" max="1" width="11.125" customWidth="1"/>
    <col min="9" max="9" width="13.875" customWidth="1"/>
    <col min="11" max="11" width="13.625" bestFit="1" customWidth="1"/>
    <col min="12" max="12" width="12.5" bestFit="1" customWidth="1"/>
  </cols>
  <sheetData>
    <row r="1" spans="1:14">
      <c r="A1" s="3902" t="s">
        <v>3848</v>
      </c>
      <c r="B1" s="3903"/>
      <c r="C1" s="3903"/>
      <c r="D1" s="3903"/>
      <c r="E1" s="3903"/>
      <c r="F1" s="3903"/>
      <c r="G1" s="3903"/>
      <c r="H1" s="3903"/>
      <c r="I1" s="3904"/>
    </row>
    <row r="2" spans="1:14">
      <c r="A2" s="3905" t="s">
        <v>3849</v>
      </c>
      <c r="B2" s="3906"/>
      <c r="C2" s="3476" t="s">
        <v>3850</v>
      </c>
      <c r="D2" s="3476" t="s">
        <v>3851</v>
      </c>
      <c r="E2" s="3476" t="s">
        <v>3852</v>
      </c>
      <c r="F2" s="3476" t="s">
        <v>3853</v>
      </c>
      <c r="G2" s="3476" t="s">
        <v>3854</v>
      </c>
      <c r="H2" s="3476" t="s">
        <v>3855</v>
      </c>
      <c r="I2" s="3477" t="s">
        <v>3856</v>
      </c>
      <c r="K2" s="3478" t="s">
        <v>3857</v>
      </c>
      <c r="L2" s="3478" t="s">
        <v>3858</v>
      </c>
      <c r="M2" s="3462" t="s">
        <v>3881</v>
      </c>
    </row>
    <row r="3" spans="1:14">
      <c r="A3" s="3886" t="s">
        <v>3859</v>
      </c>
      <c r="B3" s="3476" t="s">
        <v>3449</v>
      </c>
      <c r="C3" s="3476"/>
      <c r="D3" s="3479" t="s">
        <v>3860</v>
      </c>
      <c r="E3" s="3476">
        <v>670</v>
      </c>
      <c r="F3" s="3480">
        <v>0.7</v>
      </c>
      <c r="G3" s="3481">
        <v>0.749</v>
      </c>
      <c r="H3" s="3887">
        <v>9672333.5600000005</v>
      </c>
      <c r="I3" s="3907">
        <v>0.54259999999999997</v>
      </c>
      <c r="K3" s="3462">
        <v>942.3</v>
      </c>
      <c r="L3" s="3462">
        <v>1167.54</v>
      </c>
      <c r="M3">
        <v>1203.33</v>
      </c>
      <c r="N3" s="3462" t="s">
        <v>3861</v>
      </c>
    </row>
    <row r="4" spans="1:14">
      <c r="A4" s="3886"/>
      <c r="B4" s="3476" t="s">
        <v>3450</v>
      </c>
      <c r="C4" s="3476"/>
      <c r="D4" s="3479" t="s">
        <v>3860</v>
      </c>
      <c r="E4" s="3476">
        <v>620</v>
      </c>
      <c r="F4" s="3480">
        <v>0.7</v>
      </c>
      <c r="G4" s="3481">
        <v>0.89100000000000001</v>
      </c>
      <c r="H4" s="3888"/>
      <c r="I4" s="3891"/>
    </row>
    <row r="5" spans="1:14">
      <c r="A5" s="3886"/>
      <c r="B5" s="3476" t="s">
        <v>3451</v>
      </c>
      <c r="C5" s="3476"/>
      <c r="D5" s="3479" t="s">
        <v>3860</v>
      </c>
      <c r="E5" s="3476">
        <v>670</v>
      </c>
      <c r="F5" s="3480">
        <v>0.7</v>
      </c>
      <c r="G5" s="3481">
        <v>0.81899999999999995</v>
      </c>
      <c r="H5" s="3888"/>
      <c r="I5" s="3891"/>
    </row>
    <row r="6" spans="1:14">
      <c r="A6" s="3886"/>
      <c r="B6" s="3476" t="s">
        <v>3452</v>
      </c>
      <c r="C6" s="3476"/>
      <c r="D6" s="3479" t="s">
        <v>3860</v>
      </c>
      <c r="E6" s="3476">
        <v>700</v>
      </c>
      <c r="F6" s="3480">
        <v>0.7</v>
      </c>
      <c r="G6" s="3481">
        <v>0.82199999999999995</v>
      </c>
      <c r="H6" s="3888"/>
      <c r="I6" s="3891"/>
    </row>
    <row r="7" spans="1:14">
      <c r="A7" s="3886"/>
      <c r="B7" s="3476" t="s">
        <v>3453</v>
      </c>
      <c r="C7" s="3476"/>
      <c r="D7" s="3479" t="s">
        <v>3862</v>
      </c>
      <c r="E7" s="3476">
        <v>1000</v>
      </c>
      <c r="F7" s="3480">
        <v>0.7</v>
      </c>
      <c r="G7" s="3480">
        <v>0.64</v>
      </c>
      <c r="H7" s="3888"/>
      <c r="I7" s="3891"/>
      <c r="K7" s="3482" t="s">
        <v>3863</v>
      </c>
    </row>
    <row r="8" spans="1:14">
      <c r="A8" s="3886"/>
      <c r="B8" s="3476" t="s">
        <v>3454</v>
      </c>
      <c r="C8" s="3476"/>
      <c r="D8" s="3479" t="s">
        <v>3860</v>
      </c>
      <c r="E8" s="3476">
        <v>700</v>
      </c>
      <c r="F8" s="3480">
        <v>0.7</v>
      </c>
      <c r="G8" s="3480">
        <v>0.62</v>
      </c>
      <c r="H8" s="3888"/>
      <c r="I8" s="3891"/>
    </row>
    <row r="9" spans="1:14">
      <c r="A9" s="3886"/>
      <c r="C9" s="3476"/>
      <c r="D9" s="3476"/>
      <c r="E9" s="3476"/>
      <c r="F9" s="3476"/>
      <c r="G9" s="3476"/>
      <c r="H9" s="3889"/>
      <c r="I9" s="3892"/>
    </row>
    <row r="10" spans="1:14">
      <c r="A10" s="3893" t="s">
        <v>3864</v>
      </c>
      <c r="B10" s="3476" t="s">
        <v>3865</v>
      </c>
      <c r="C10" s="3476" t="s">
        <v>3866</v>
      </c>
      <c r="D10" s="3476" t="s">
        <v>3866</v>
      </c>
      <c r="E10" s="3476" t="s">
        <v>3866</v>
      </c>
      <c r="F10" s="3476" t="s">
        <v>3866</v>
      </c>
      <c r="G10" s="3476" t="s">
        <v>3866</v>
      </c>
      <c r="H10" s="3887"/>
      <c r="I10" s="3899"/>
    </row>
    <row r="11" spans="1:14">
      <c r="A11" s="3894"/>
      <c r="B11" s="3476" t="s">
        <v>3867</v>
      </c>
      <c r="C11" s="3476" t="s">
        <v>3866</v>
      </c>
      <c r="D11" s="3476" t="s">
        <v>3866</v>
      </c>
      <c r="E11" s="3476" t="s">
        <v>3866</v>
      </c>
      <c r="F11" s="3476" t="s">
        <v>3866</v>
      </c>
      <c r="G11" s="3476" t="s">
        <v>3866</v>
      </c>
      <c r="H11" s="3888"/>
      <c r="I11" s="3900"/>
    </row>
    <row r="12" spans="1:14">
      <c r="A12" s="3894"/>
      <c r="B12" s="3476" t="s">
        <v>3868</v>
      </c>
      <c r="C12" s="3476" t="s">
        <v>3866</v>
      </c>
      <c r="D12" s="3476" t="s">
        <v>3866</v>
      </c>
      <c r="E12" s="3476" t="s">
        <v>3866</v>
      </c>
      <c r="F12" s="3476" t="s">
        <v>3866</v>
      </c>
      <c r="G12" s="3476" t="s">
        <v>3866</v>
      </c>
      <c r="H12" s="3888"/>
      <c r="I12" s="3900"/>
    </row>
    <row r="13" spans="1:14">
      <c r="A13" s="3898"/>
      <c r="B13" s="3476" t="s">
        <v>3869</v>
      </c>
      <c r="C13" s="3476"/>
      <c r="D13" s="3476"/>
      <c r="E13" s="3476"/>
      <c r="F13" s="3476"/>
      <c r="G13" s="3476"/>
      <c r="H13" s="3889"/>
      <c r="I13" s="3901"/>
    </row>
    <row r="14" spans="1:14">
      <c r="A14" s="3886" t="s">
        <v>3870</v>
      </c>
      <c r="B14" s="3476" t="s">
        <v>3871</v>
      </c>
      <c r="C14" s="3476" t="s">
        <v>3866</v>
      </c>
      <c r="D14" s="3476" t="s">
        <v>3866</v>
      </c>
      <c r="E14" s="3476" t="s">
        <v>3866</v>
      </c>
      <c r="F14" s="3476" t="s">
        <v>3866</v>
      </c>
      <c r="G14" s="3476" t="s">
        <v>3866</v>
      </c>
      <c r="H14" s="3887"/>
      <c r="I14" s="3890"/>
    </row>
    <row r="15" spans="1:14">
      <c r="A15" s="3886"/>
      <c r="B15" s="3476" t="s">
        <v>3872</v>
      </c>
      <c r="C15" s="3476" t="s">
        <v>3866</v>
      </c>
      <c r="D15" s="3476" t="s">
        <v>3866</v>
      </c>
      <c r="E15" s="3476" t="s">
        <v>3866</v>
      </c>
      <c r="F15" s="3476" t="s">
        <v>3866</v>
      </c>
      <c r="G15" s="3476" t="s">
        <v>3866</v>
      </c>
      <c r="H15" s="3888"/>
      <c r="I15" s="3891"/>
    </row>
    <row r="16" spans="1:14">
      <c r="A16" s="3886"/>
      <c r="B16" s="3476" t="s">
        <v>3873</v>
      </c>
      <c r="C16" s="3476" t="s">
        <v>3866</v>
      </c>
      <c r="D16" s="3476" t="s">
        <v>3866</v>
      </c>
      <c r="E16" s="3476" t="s">
        <v>3866</v>
      </c>
      <c r="F16" s="3476" t="s">
        <v>3866</v>
      </c>
      <c r="G16" s="3476" t="s">
        <v>3866</v>
      </c>
      <c r="H16" s="3888"/>
      <c r="I16" s="3891"/>
    </row>
    <row r="17" spans="1:9">
      <c r="A17" s="3886"/>
      <c r="B17" s="3476" t="s">
        <v>3869</v>
      </c>
      <c r="C17" s="3476"/>
      <c r="D17" s="3476"/>
      <c r="E17" s="3476"/>
      <c r="F17" s="3476"/>
      <c r="G17" s="3476"/>
      <c r="H17" s="3888"/>
      <c r="I17" s="3891"/>
    </row>
    <row r="18" spans="1:9">
      <c r="A18" s="3886"/>
      <c r="B18" s="3476"/>
      <c r="C18" s="3476"/>
      <c r="D18" s="3476"/>
      <c r="E18" s="3476"/>
      <c r="F18" s="3476"/>
      <c r="G18" s="3476"/>
      <c r="H18" s="3889"/>
      <c r="I18" s="3892"/>
    </row>
    <row r="19" spans="1:9">
      <c r="A19" s="3893" t="s">
        <v>3874</v>
      </c>
      <c r="B19" s="3476" t="s">
        <v>3875</v>
      </c>
      <c r="C19" s="3476" t="s">
        <v>3866</v>
      </c>
      <c r="D19" s="3476" t="s">
        <v>3866</v>
      </c>
      <c r="E19" s="3476" t="s">
        <v>3866</v>
      </c>
      <c r="F19" s="3476" t="s">
        <v>3866</v>
      </c>
      <c r="G19" s="3476" t="s">
        <v>3866</v>
      </c>
      <c r="H19" s="3887"/>
      <c r="I19" s="3890"/>
    </row>
    <row r="20" spans="1:9">
      <c r="A20" s="3894"/>
      <c r="B20" s="3476" t="s">
        <v>3876</v>
      </c>
      <c r="C20" s="3476" t="s">
        <v>3866</v>
      </c>
      <c r="D20" s="3476" t="s">
        <v>3866</v>
      </c>
      <c r="E20" s="3476" t="s">
        <v>3866</v>
      </c>
      <c r="F20" s="3476" t="s">
        <v>3866</v>
      </c>
      <c r="G20" s="3476" t="s">
        <v>3866</v>
      </c>
      <c r="H20" s="3888"/>
      <c r="I20" s="3891"/>
    </row>
    <row r="21" spans="1:9">
      <c r="A21" s="3894"/>
      <c r="B21" s="3476" t="s">
        <v>3877</v>
      </c>
      <c r="C21" s="3476" t="s">
        <v>3866</v>
      </c>
      <c r="D21" s="3476" t="s">
        <v>3866</v>
      </c>
      <c r="E21" s="3476" t="s">
        <v>3866</v>
      </c>
      <c r="F21" s="3476" t="s">
        <v>3866</v>
      </c>
      <c r="G21" s="3476" t="s">
        <v>3866</v>
      </c>
      <c r="H21" s="3888"/>
      <c r="I21" s="3891"/>
    </row>
    <row r="22" spans="1:9">
      <c r="A22" s="3894"/>
      <c r="B22" s="3476" t="s">
        <v>3878</v>
      </c>
      <c r="C22" s="3476" t="s">
        <v>3866</v>
      </c>
      <c r="D22" s="3476" t="s">
        <v>3866</v>
      </c>
      <c r="E22" s="3476" t="s">
        <v>3866</v>
      </c>
      <c r="F22" s="3476" t="s">
        <v>3866</v>
      </c>
      <c r="G22" s="3476" t="s">
        <v>3866</v>
      </c>
      <c r="H22" s="3888"/>
      <c r="I22" s="3891"/>
    </row>
    <row r="23" spans="1:9">
      <c r="A23" s="3894"/>
      <c r="B23" s="3476" t="s">
        <v>3879</v>
      </c>
      <c r="C23" s="3476" t="s">
        <v>3866</v>
      </c>
      <c r="D23" s="3476" t="s">
        <v>3866</v>
      </c>
      <c r="E23" s="3476" t="s">
        <v>3866</v>
      </c>
      <c r="F23" s="3476" t="s">
        <v>3866</v>
      </c>
      <c r="G23" s="3476" t="s">
        <v>3866</v>
      </c>
      <c r="H23" s="3888"/>
      <c r="I23" s="3891"/>
    </row>
    <row r="24" spans="1:9">
      <c r="A24" s="3894"/>
      <c r="B24" s="3483" t="s">
        <v>3880</v>
      </c>
      <c r="C24" s="3476" t="s">
        <v>3866</v>
      </c>
      <c r="D24" s="3476" t="s">
        <v>3866</v>
      </c>
      <c r="E24" s="3476" t="s">
        <v>3866</v>
      </c>
      <c r="F24" s="3476" t="s">
        <v>3866</v>
      </c>
      <c r="G24" s="3476" t="s">
        <v>3866</v>
      </c>
      <c r="H24" s="3888"/>
      <c r="I24" s="3891"/>
    </row>
    <row r="25" spans="1:9" ht="14.25" thickBot="1">
      <c r="A25" s="3895"/>
      <c r="B25" s="3484"/>
      <c r="C25" s="3485"/>
      <c r="D25" s="3485"/>
      <c r="E25" s="3485"/>
      <c r="F25" s="3485"/>
      <c r="G25" s="3485"/>
      <c r="H25" s="3896"/>
      <c r="I25" s="3897"/>
    </row>
  </sheetData>
  <mergeCells count="14">
    <mergeCell ref="A10:A13"/>
    <mergeCell ref="H10:H13"/>
    <mergeCell ref="I10:I13"/>
    <mergeCell ref="A1:I1"/>
    <mergeCell ref="A2:B2"/>
    <mergeCell ref="A3:A9"/>
    <mergeCell ref="H3:H9"/>
    <mergeCell ref="I3:I9"/>
    <mergeCell ref="A14:A18"/>
    <mergeCell ref="H14:H18"/>
    <mergeCell ref="I14:I18"/>
    <mergeCell ref="A19:A25"/>
    <mergeCell ref="H19:H25"/>
    <mergeCell ref="I19:I25"/>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52" t="str">
        <f>IF(项目基本情况!B9="房地产市场价值","估价结果一览表","结果表-2")</f>
        <v>结果表-2</v>
      </c>
      <c r="B1" s="3552"/>
      <c r="C1" s="3552"/>
      <c r="D1" s="3552"/>
      <c r="E1" s="3552"/>
      <c r="F1" s="3552"/>
      <c r="G1" s="3552"/>
      <c r="H1" s="3552"/>
      <c r="I1" s="3552"/>
    </row>
    <row r="2" spans="1:9" ht="30" customHeight="1" thickTop="1">
      <c r="A2" s="3553" t="s">
        <v>928</v>
      </c>
      <c r="B2" s="3553" t="s">
        <v>929</v>
      </c>
      <c r="C2" s="3553" t="s">
        <v>930</v>
      </c>
      <c r="D2" s="3553" t="str">
        <f>结果表!D116</f>
        <v>出让国有建设用地使用权价值</v>
      </c>
      <c r="E2" s="3553"/>
      <c r="F2" s="3553" t="str">
        <f>结果表!F116</f>
        <v>在建建筑物价值</v>
      </c>
      <c r="G2" s="3553"/>
      <c r="H2" s="3553" t="str">
        <f>IF(项目基本情况!B9="房地产市场价值","房地产市场价值","房地产价值")</f>
        <v>房地产价值</v>
      </c>
      <c r="I2" s="3553"/>
    </row>
    <row r="3" spans="1:9" ht="15">
      <c r="A3" s="3554"/>
      <c r="B3" s="3554"/>
      <c r="C3" s="3554"/>
      <c r="D3" s="853" t="s">
        <v>925</v>
      </c>
      <c r="E3" s="853" t="s">
        <v>931</v>
      </c>
      <c r="F3" s="853" t="s">
        <v>925</v>
      </c>
      <c r="G3" s="853" t="s">
        <v>926</v>
      </c>
      <c r="H3" s="853" t="s">
        <v>925</v>
      </c>
      <c r="I3" s="853" t="s">
        <v>926</v>
      </c>
    </row>
    <row r="4" spans="1:9" ht="15">
      <c r="A4" s="1504" t="str">
        <f>项目基本情况!S2</f>
        <v>北京市房地产</v>
      </c>
      <c r="B4" s="853">
        <f>项目基本情况!C17</f>
        <v>33133.130000000005</v>
      </c>
      <c r="C4" s="853">
        <f>项目基本情况!C18</f>
        <v>22578.39</v>
      </c>
      <c r="D4" s="853">
        <f ca="1">结果表!D118</f>
        <v>8540</v>
      </c>
      <c r="E4" s="853">
        <f ca="1">结果表!E118</f>
        <v>2578</v>
      </c>
      <c r="F4" s="853">
        <f ca="1">结果表!F118</f>
        <v>15116</v>
      </c>
      <c r="G4" s="853">
        <f ca="1">结果表!G118</f>
        <v>4562</v>
      </c>
      <c r="H4" s="853">
        <f ca="1">结果表!H118</f>
        <v>23656</v>
      </c>
      <c r="I4" s="853">
        <f ca="1">结果表!I118</f>
        <v>7140</v>
      </c>
    </row>
    <row r="5" spans="1:9" ht="30" customHeight="1">
      <c r="A5" s="3554" t="s">
        <v>927</v>
      </c>
      <c r="B5" s="3554"/>
      <c r="C5" s="3554"/>
      <c r="D5" s="3554" t="str">
        <f ca="1">结果表!D119</f>
        <v>捌仟伍佰肆拾万元整</v>
      </c>
      <c r="E5" s="3554"/>
      <c r="F5" s="3554" t="str">
        <f ca="1">结果表!F119</f>
        <v>壹亿伍仟壹佰壹拾陆万元整</v>
      </c>
      <c r="G5" s="3554"/>
      <c r="H5" s="3554" t="str">
        <f ca="1">结果表!H119</f>
        <v>贰亿叁仟陆佰伍拾陆万元整</v>
      </c>
      <c r="I5" s="3554"/>
    </row>
    <row r="6" spans="1:9" ht="15.75">
      <c r="A6" s="3555" t="str">
        <f>结果表!A120</f>
        <v>估价师知悉的法定优先受偿款</v>
      </c>
      <c r="B6" s="3555"/>
      <c r="C6" s="3555"/>
      <c r="D6" s="3555">
        <f>结果表!D120</f>
        <v>0</v>
      </c>
      <c r="E6" s="3555"/>
      <c r="F6" s="3555"/>
      <c r="G6" s="3555"/>
      <c r="H6" s="3555"/>
      <c r="I6" s="3555"/>
    </row>
    <row r="7" spans="1:9" ht="15">
      <c r="A7" s="3554" t="s">
        <v>927</v>
      </c>
      <c r="B7" s="3554"/>
      <c r="C7" s="3554"/>
      <c r="D7" s="3556" t="str">
        <f>结果表!D121</f>
        <v>零元整</v>
      </c>
      <c r="E7" s="3557"/>
      <c r="F7" s="3557"/>
      <c r="G7" s="3557"/>
      <c r="H7" s="3557"/>
      <c r="I7" s="3558"/>
    </row>
    <row r="8" spans="1:9" ht="15.75">
      <c r="A8" s="3555" t="str">
        <f>结果表!A122</f>
        <v>房地产抵押价值</v>
      </c>
      <c r="B8" s="3555"/>
      <c r="C8" s="3555"/>
      <c r="D8" s="3555">
        <f ca="1">结果表!D122</f>
        <v>23656</v>
      </c>
      <c r="E8" s="3555"/>
      <c r="F8" s="3555"/>
      <c r="G8" s="3555"/>
      <c r="H8" s="3555"/>
      <c r="I8" s="3555"/>
    </row>
    <row r="9" spans="1:9" ht="15">
      <c r="A9" s="3554" t="s">
        <v>927</v>
      </c>
      <c r="B9" s="3554"/>
      <c r="C9" s="3554"/>
      <c r="D9" s="3554" t="str">
        <f ca="1">结果表!D123</f>
        <v>贰亿叁仟陆佰伍拾陆万元整</v>
      </c>
      <c r="E9" s="3554"/>
      <c r="F9" s="3554"/>
      <c r="G9" s="3554"/>
      <c r="H9" s="3554"/>
      <c r="I9" s="3554"/>
    </row>
    <row r="10" spans="1:9" ht="15.75">
      <c r="A10" s="3555" t="str">
        <f>结果表!A124</f>
        <v/>
      </c>
      <c r="B10" s="3555"/>
      <c r="C10" s="3555"/>
      <c r="D10" s="3555" t="str">
        <f>结果表!D124</f>
        <v>——</v>
      </c>
      <c r="E10" s="3555"/>
      <c r="F10" s="3555"/>
      <c r="G10" s="3555"/>
      <c r="H10" s="3555"/>
      <c r="I10" s="3555"/>
    </row>
    <row r="11" spans="1:9" ht="15">
      <c r="A11" s="3554" t="s">
        <v>927</v>
      </c>
      <c r="B11" s="3554"/>
      <c r="C11" s="3554"/>
      <c r="D11" s="3554" t="e">
        <f>结果表!D125</f>
        <v>#VALUE!</v>
      </c>
      <c r="E11" s="3554"/>
      <c r="F11" s="3554"/>
      <c r="G11" s="3554"/>
      <c r="H11" s="3554"/>
      <c r="I11" s="3554"/>
    </row>
    <row r="12" spans="1:9" ht="15.75">
      <c r="A12" s="3555" t="str">
        <f>结果表!A126</f>
        <v/>
      </c>
      <c r="B12" s="3555"/>
      <c r="C12" s="3555"/>
      <c r="D12" s="3555" t="str">
        <f>结果表!D126</f>
        <v>——</v>
      </c>
      <c r="E12" s="3555"/>
      <c r="F12" s="3555"/>
      <c r="G12" s="3555"/>
      <c r="H12" s="3555"/>
      <c r="I12" s="3555"/>
    </row>
    <row r="13" spans="1:9" ht="15.75" thickBot="1">
      <c r="A13" s="3559" t="s">
        <v>927</v>
      </c>
      <c r="B13" s="3559"/>
      <c r="C13" s="3559"/>
      <c r="D13" s="3559" t="e">
        <f>结果表!D127</f>
        <v>#VALUE!</v>
      </c>
      <c r="E13" s="3559"/>
      <c r="F13" s="3559"/>
      <c r="G13" s="3559"/>
      <c r="H13" s="3559"/>
      <c r="I13" s="3559"/>
    </row>
    <row r="14" spans="1:9" ht="15" thickTop="1">
      <c r="A14" s="3560" t="s">
        <v>932</v>
      </c>
      <c r="B14" s="3560"/>
      <c r="C14" s="3560"/>
      <c r="D14" s="3560"/>
      <c r="E14" s="3560"/>
      <c r="F14" s="3560"/>
      <c r="G14" s="3560"/>
      <c r="H14" s="3560"/>
      <c r="I14" s="356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61" t="s">
        <v>949</v>
      </c>
      <c r="B1" s="3561"/>
      <c r="C1" s="3561"/>
      <c r="D1" s="3561"/>
    </row>
    <row r="2" spans="1:4" ht="18">
      <c r="A2" s="3562" t="s">
        <v>933</v>
      </c>
      <c r="B2" s="3562"/>
      <c r="C2" s="3562"/>
      <c r="D2" s="3562"/>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崔锴</v>
      </c>
      <c r="B5" s="1510">
        <f ca="1">项目基本情况!E4</f>
        <v>1120100036</v>
      </c>
      <c r="C5" s="1513"/>
      <c r="D5" s="1512" t="s">
        <v>938</v>
      </c>
    </row>
    <row r="6" spans="1:4" ht="18">
      <c r="A6" s="3562" t="s">
        <v>939</v>
      </c>
      <c r="B6" s="3562"/>
      <c r="C6" s="3562"/>
      <c r="D6" s="356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63"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5"/>
      <c r="C12" s="3565"/>
      <c r="D12" s="3565"/>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5"/>
      <c r="C13" s="3565"/>
      <c r="D13" s="3565"/>
    </row>
    <row r="14" spans="1:4" ht="15.75" customHeight="1">
      <c r="A14" s="3564" t="str">
        <f>IF(项目基本情况!B8="抵押","4.本次评估估价师所知悉的法定优先受偿款情况说明如下：","——")</f>
        <v>4.本次评估估价师所知悉的法定优先受偿款情况说明如下：</v>
      </c>
      <c r="B14" s="3565"/>
      <c r="C14" s="3565"/>
      <c r="D14" s="3565"/>
    </row>
    <row r="15" spans="1:4" ht="42" customHeight="1">
      <c r="A15" s="35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7" t="s">
        <v>943</v>
      </c>
      <c r="B16" s="3567"/>
      <c r="C16" s="3567"/>
      <c r="D16" s="3567"/>
    </row>
    <row r="17" spans="1:4" ht="144" customHeight="1">
      <c r="A17" s="3567" t="s">
        <v>944</v>
      </c>
      <c r="B17" s="3567"/>
      <c r="C17" s="3567"/>
      <c r="D17" s="3567"/>
    </row>
    <row r="18" spans="1:4" ht="15.75" customHeight="1">
      <c r="A18" s="3564" t="str">
        <f>IF(项目基本情况!B8="抵押",结果表!K120,"——")</f>
        <v>故，本次评估不存在估价师知悉的法定优先受偿款</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4"/>
      <c r="C20" s="3564"/>
      <c r="D20" s="3564"/>
    </row>
    <row r="21" spans="1:4" ht="57.75" customHeight="1">
      <c r="A21" s="35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8"/>
      <c r="C21" s="3568"/>
      <c r="D21" s="3568"/>
    </row>
    <row r="22" spans="1:4" ht="18.75" customHeight="1">
      <c r="A22" s="3569" t="s">
        <v>945</v>
      </c>
      <c r="B22" s="3569"/>
      <c r="C22" s="3569"/>
      <c r="D22" s="356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66">
        <v>42551</v>
      </c>
      <c r="D31" s="35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75" t="s">
        <v>956</v>
      </c>
      <c r="B15" s="3570" t="s">
        <v>109</v>
      </c>
      <c r="C15" s="3571"/>
    </row>
    <row r="16" spans="1:7" ht="13.5">
      <c r="A16" s="3576"/>
      <c r="B16" s="3570" t="s">
        <v>42</v>
      </c>
      <c r="C16" s="3571"/>
    </row>
    <row r="17" spans="1:3" ht="13.5">
      <c r="A17" s="3576"/>
      <c r="B17" s="3573" t="s">
        <v>957</v>
      </c>
      <c r="C17" s="1531" t="s">
        <v>956</v>
      </c>
    </row>
    <row r="18" spans="1:3" ht="13.5">
      <c r="A18" s="3576"/>
      <c r="B18" s="3573"/>
      <c r="C18" s="1531" t="s">
        <v>958</v>
      </c>
    </row>
    <row r="19" spans="1:3" ht="13.5">
      <c r="A19" s="3576"/>
      <c r="B19" s="3573"/>
      <c r="C19" s="1531" t="s">
        <v>959</v>
      </c>
    </row>
    <row r="20" spans="1:3" ht="13.5">
      <c r="A20" s="3577"/>
      <c r="B20" s="3572" t="s">
        <v>960</v>
      </c>
      <c r="C20" s="3571"/>
    </row>
    <row r="21" spans="1:3" ht="13.5">
      <c r="A21" s="1532" t="s">
        <v>961</v>
      </c>
      <c r="B21" s="1533"/>
      <c r="C21" s="1534"/>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1" t="s">
        <v>967</v>
      </c>
    </row>
    <row r="26" spans="1:3" ht="13.5">
      <c r="A26" s="3574"/>
      <c r="B26" s="3573"/>
      <c r="C26" s="1531" t="s">
        <v>968</v>
      </c>
    </row>
    <row r="27" spans="1:3" ht="13.5">
      <c r="A27" s="3574"/>
      <c r="B27" s="3573"/>
      <c r="C27" s="1531" t="s">
        <v>969</v>
      </c>
    </row>
    <row r="28" spans="1:3" ht="13.5">
      <c r="A28" s="3574"/>
      <c r="B28" s="3573"/>
      <c r="C28" s="1531" t="s">
        <v>970</v>
      </c>
    </row>
    <row r="29" spans="1:3" ht="13.5">
      <c r="A29" s="3574"/>
      <c r="B29" s="3573"/>
      <c r="C29" s="1531" t="s">
        <v>971</v>
      </c>
    </row>
    <row r="30" spans="1:3" ht="13.5">
      <c r="A30" s="3574"/>
      <c r="B30" s="3573"/>
      <c r="C30" s="1531" t="s">
        <v>972</v>
      </c>
    </row>
    <row r="31" spans="1:3" ht="13.5">
      <c r="A31" s="3574"/>
      <c r="B31" s="3573"/>
      <c r="C31" s="1531" t="s">
        <v>973</v>
      </c>
    </row>
    <row r="32" spans="1:3" ht="13.5">
      <c r="A32" s="3574"/>
      <c r="B32" s="3573"/>
      <c r="C32" s="1531" t="s">
        <v>974</v>
      </c>
    </row>
    <row r="33" spans="1:3" ht="13.5">
      <c r="A33" s="3574"/>
      <c r="B33" s="357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45126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78" t="s">
        <v>2159</v>
      </c>
      <c r="B17" s="3578"/>
      <c r="C17" s="3578"/>
      <c r="D17" s="3578"/>
      <c r="E17" s="3578"/>
      <c r="F17" s="3578"/>
      <c r="G17" s="3578"/>
      <c r="H17" s="3578"/>
    </row>
    <row r="18" spans="1:8" ht="24" customHeight="1">
      <c r="A18" s="3579" t="s">
        <v>2160</v>
      </c>
      <c r="B18" s="3579"/>
      <c r="C18" s="3579"/>
      <c r="D18" s="2342"/>
      <c r="E18" s="3580" t="s">
        <v>2161</v>
      </c>
      <c r="F18" s="3579"/>
      <c r="G18" s="357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 (元)</vt:lpstr>
      <vt:lpstr>收益法-酒店</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2023-07-19T07:46:06Z</dcterms:modified>
</cp:coreProperties>
</file>