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共享文件夹\电子版测算表\司法南太平庄北巷\"/>
    </mc:Choice>
  </mc:AlternateContent>
  <xr:revisionPtr revIDLastSave="0" documentId="13_ncr:1_{86715A0B-C856-4BDF-B266-4A8F9289D1DA}" xr6:coauthVersionLast="47" xr6:coauthVersionMax="47" xr10:uidLastSave="{00000000-0000-0000-0000-000000000000}"/>
  <bookViews>
    <workbookView xWindow="-120" yWindow="-120" windowWidth="20730" windowHeight="11160" tabRatio="837" firstSheet="10" activeTab="2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收益法 (元)" sheetId="67" r:id="rId24"/>
    <sheet name="收益法-酒店模型" sheetId="77" state="hidden" r:id="rId25"/>
    <sheet name="收益法（汇总）" sheetId="70"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案例" sheetId="82" r:id="rId37"/>
    <sheet name="南太平庄北巷_649-7d6-04b" sheetId="81"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E51" i="82" l="1"/>
  <c r="E52" i="82"/>
  <c r="E53" i="82"/>
  <c r="E54" i="82"/>
  <c r="E50" i="82"/>
  <c r="I47" i="21"/>
  <c r="G47" i="21"/>
  <c r="E47" i="21"/>
  <c r="I33" i="21"/>
  <c r="G33" i="21"/>
  <c r="E33" i="21"/>
  <c r="I7" i="21"/>
  <c r="G7" i="21"/>
  <c r="E7" i="21"/>
  <c r="I6" i="21"/>
  <c r="G6" i="21"/>
  <c r="N19" i="1" l="1"/>
  <c r="F19" i="6"/>
  <c r="N21" i="1" l="1"/>
  <c r="D5" i="9" l="1"/>
  <c r="I37" i="21"/>
  <c r="G37" i="21"/>
  <c r="E37" i="21"/>
  <c r="I27" i="21"/>
  <c r="E27" i="21"/>
  <c r="G27" i="21" s="1"/>
  <c r="C27" i="21"/>
  <c r="E59" i="21"/>
  <c r="D59" i="21"/>
  <c r="Y6" i="1"/>
  <c r="D33" i="43" l="1"/>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6" i="79"/>
  <c r="AD37" i="79"/>
  <c r="AD38" i="79"/>
  <c r="AD35" i="79"/>
  <c r="AD34" i="79"/>
  <c r="AR40" i="79"/>
  <c r="AR41" i="79" s="1"/>
  <c r="AR42" i="79" s="1"/>
  <c r="AR43" i="79" s="1"/>
  <c r="AR44" i="79" s="1"/>
  <c r="AR45" i="79" s="1"/>
  <c r="AR46" i="79" s="1"/>
  <c r="AR47" i="79" s="1"/>
  <c r="AR48" i="79" s="1"/>
  <c r="AR49" i="79" s="1"/>
  <c r="AR50" i="79" s="1"/>
  <c r="AR51" i="79" s="1"/>
  <c r="AR52" i="79" s="1"/>
  <c r="S34" i="79"/>
  <c r="AG34" i="79" s="1"/>
  <c r="S35" i="79"/>
  <c r="AG35"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Z3" i="79"/>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7" i="79" l="1"/>
  <c r="AK17" i="79" s="1"/>
  <c r="AH17" i="79"/>
  <c r="W18" i="79"/>
  <c r="AK18" i="79" s="1"/>
  <c r="AH18" i="79"/>
  <c r="W33" i="79"/>
  <c r="AK33" i="79" s="1"/>
  <c r="AH33" i="79"/>
  <c r="W14" i="79"/>
  <c r="AK14" i="79" s="1"/>
  <c r="AH14" i="79"/>
  <c r="W19" i="79"/>
  <c r="AK19" i="79" s="1"/>
  <c r="AH19" i="79"/>
  <c r="W16" i="79"/>
  <c r="AK16" i="79" s="1"/>
  <c r="AH16" i="79"/>
  <c r="W50" i="79"/>
  <c r="AK50" i="79" s="1"/>
  <c r="AH50" i="79"/>
  <c r="W41" i="79"/>
  <c r="AK41" i="79" s="1"/>
  <c r="AH41" i="79"/>
  <c r="W44" i="79"/>
  <c r="AK44" i="79" s="1"/>
  <c r="AH44"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0" i="79"/>
  <c r="AK10" i="79" s="1"/>
  <c r="AH10" i="79"/>
  <c r="W20" i="79"/>
  <c r="AK20" i="79" s="1"/>
  <c r="AH20" i="79"/>
  <c r="W42" i="79"/>
  <c r="AK42" i="79" s="1"/>
  <c r="W51" i="79"/>
  <c r="AK51" i="79" s="1"/>
  <c r="AH51"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O57" i="71"/>
  <c r="C58" i="71" s="1"/>
  <c r="N57" i="71"/>
  <c r="B58" i="71" s="1"/>
  <c r="D57" i="71"/>
  <c r="Q56" i="71"/>
  <c r="P56" i="71"/>
  <c r="O56" i="71"/>
  <c r="N56" i="71"/>
  <c r="Q55" i="71"/>
  <c r="P55" i="71"/>
  <c r="O55" i="71"/>
  <c r="N55" i="71"/>
  <c r="Q54" i="71"/>
  <c r="P54" i="71"/>
  <c r="O54" i="71"/>
  <c r="N54" i="71"/>
  <c r="C54" i="71"/>
  <c r="Q53" i="71"/>
  <c r="F54" i="71" s="1"/>
  <c r="P53" i="71"/>
  <c r="E54" i="71" s="1"/>
  <c r="O53" i="7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P37" i="71"/>
  <c r="O37" i="71"/>
  <c r="N37" i="71"/>
  <c r="B38" i="71" s="1"/>
  <c r="D37" i="71"/>
  <c r="Q36" i="71"/>
  <c r="P36" i="71"/>
  <c r="O36" i="71"/>
  <c r="N36" i="71"/>
  <c r="Q35" i="71"/>
  <c r="P35" i="71"/>
  <c r="O35" i="71"/>
  <c r="N35" i="71"/>
  <c r="Q34" i="7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30" i="71"/>
  <c r="B31" i="71" s="1"/>
  <c r="B32" i="71" s="1"/>
  <c r="S32" i="71" s="1"/>
  <c r="E30" i="71"/>
  <c r="E31" i="71" s="1"/>
  <c r="E32" i="71" s="1"/>
  <c r="U32" i="71" s="1"/>
  <c r="B39" i="71"/>
  <c r="B40" i="71" s="1"/>
  <c r="S40" i="71" s="1"/>
  <c r="E38" i="71"/>
  <c r="N68" i="71"/>
  <c r="C30" i="71"/>
  <c r="D30" i="71" s="1"/>
  <c r="C35" i="71"/>
  <c r="C38" i="71"/>
  <c r="D38" i="71" s="1"/>
  <c r="X38" i="71"/>
  <c r="B28" i="71"/>
  <c r="B27" i="71" s="1"/>
  <c r="B26" i="71" s="1"/>
  <c r="C43" i="71"/>
  <c r="P28" i="71"/>
  <c r="E28" i="71" s="1"/>
  <c r="Q28" i="71"/>
  <c r="F28" i="71" s="1"/>
  <c r="F27" i="71" s="1"/>
  <c r="F26" i="71" s="1"/>
  <c r="D58" i="71"/>
  <c r="D62" i="71"/>
  <c r="Q68" i="71"/>
  <c r="D72" i="71"/>
  <c r="E75" i="71"/>
  <c r="E74" i="71" s="1"/>
  <c r="E79" i="71"/>
  <c r="E78" i="71" s="1"/>
  <c r="D80" i="71"/>
  <c r="C87"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9" i="39"/>
  <c r="S21" i="37"/>
  <c r="U21" i="34"/>
  <c r="J21" i="37"/>
  <c r="W21" i="37" s="1"/>
  <c r="J21" i="34"/>
  <c r="W21" i="34" s="1"/>
  <c r="J21" i="33"/>
  <c r="W21" i="33" s="1"/>
  <c r="H21" i="21"/>
  <c r="U21" i="21" s="1"/>
  <c r="F38" i="69"/>
  <c r="E37" i="69"/>
  <c r="F36" i="69"/>
  <c r="F35" i="69"/>
  <c r="F21" i="69"/>
  <c r="F20" i="69"/>
  <c r="F39" i="69" s="1"/>
  <c r="E10" i="69"/>
  <c r="E9" i="69"/>
  <c r="AC21" i="37"/>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A552" i="3" s="1"/>
  <c r="BC552" i="3"/>
  <c r="BD552" i="3"/>
  <c r="BE552" i="3"/>
  <c r="BF552" i="3"/>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L560" i="3" s="1"/>
  <c r="BQ560" i="3"/>
  <c r="BR560" i="3"/>
  <c r="BS560" i="3"/>
  <c r="BT560" i="3"/>
  <c r="H561" i="3"/>
  <c r="AC561" i="3"/>
  <c r="BB561" i="3"/>
  <c r="BC561" i="3"/>
  <c r="BD561" i="3"/>
  <c r="BE561" i="3"/>
  <c r="BF561" i="3"/>
  <c r="BG561" i="3"/>
  <c r="BH561" i="3"/>
  <c r="BI561" i="3"/>
  <c r="BJ561" i="3"/>
  <c r="BK561" i="3"/>
  <c r="BM561" i="3"/>
  <c r="BN561" i="3"/>
  <c r="BO561" i="3"/>
  <c r="BP561" i="3"/>
  <c r="BL561" i="3" s="1"/>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A567" i="3" s="1"/>
  <c r="BF567" i="3"/>
  <c r="BG567" i="3"/>
  <c r="BH567" i="3"/>
  <c r="BI567" i="3"/>
  <c r="BJ567" i="3"/>
  <c r="BK567" i="3"/>
  <c r="BM567" i="3"/>
  <c r="BN567" i="3"/>
  <c r="BL567" i="3" s="1"/>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A570" i="3" s="1"/>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AZ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L576" i="3" s="1"/>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A578" i="3" s="1"/>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A581" i="3" s="1"/>
  <c r="BE581" i="3"/>
  <c r="BF581" i="3"/>
  <c r="BG581" i="3"/>
  <c r="BH581" i="3"/>
  <c r="BI581" i="3"/>
  <c r="BJ581" i="3"/>
  <c r="BK581" i="3"/>
  <c r="BM581" i="3"/>
  <c r="BN581" i="3"/>
  <c r="BO581" i="3"/>
  <c r="BP581" i="3"/>
  <c r="BR581" i="3"/>
  <c r="BS581" i="3"/>
  <c r="BT581" i="3"/>
  <c r="H582" i="3"/>
  <c r="AC582" i="3"/>
  <c r="BB582" i="3"/>
  <c r="BC582" i="3"/>
  <c r="BD582" i="3"/>
  <c r="BE582" i="3"/>
  <c r="BA582" i="3" s="1"/>
  <c r="AZ582" i="3" s="1"/>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AZ584" i="3" s="1"/>
  <c r="BP584" i="3"/>
  <c r="BQ584" i="3"/>
  <c r="BR584" i="3"/>
  <c r="BS584" i="3"/>
  <c r="BT584" i="3"/>
  <c r="H7" i="12"/>
  <c r="I7" i="12"/>
  <c r="J7" i="12"/>
  <c r="K7" i="12"/>
  <c r="H111" i="21"/>
  <c r="B109" i="39"/>
  <c r="B111" i="39"/>
  <c r="H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F34" i="40"/>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AA9" i="40" s="1"/>
  <c r="S9" i="40"/>
  <c r="J8" i="40"/>
  <c r="AC8" i="40" s="1"/>
  <c r="H8" i="40"/>
  <c r="AB8" i="40" s="1"/>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F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D79" i="37"/>
  <c r="E79" i="37" s="1"/>
  <c r="D75" i="37"/>
  <c r="E75" i="37" s="1"/>
  <c r="D73" i="37"/>
  <c r="E73" i="37" s="1"/>
  <c r="F73" i="37" s="1"/>
  <c r="G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c r="G64" i="36" s="1"/>
  <c r="J16" i="36"/>
  <c r="W16" i="36" s="1"/>
  <c r="D62" i="36"/>
  <c r="E62" i="36"/>
  <c r="F62" i="36" s="1"/>
  <c r="G62" i="36" s="1"/>
  <c r="B59" i="36"/>
  <c r="H13" i="36" s="1"/>
  <c r="B57" i="36"/>
  <c r="J12"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H34" i="35" s="1"/>
  <c r="B77" i="35"/>
  <c r="B75" i="35"/>
  <c r="J24" i="35" s="1"/>
  <c r="AC24" i="35"/>
  <c r="B73" i="35"/>
  <c r="F23" i="35" s="1"/>
  <c r="B57" i="35"/>
  <c r="B61" i="35"/>
  <c r="B59" i="35"/>
  <c r="B131" i="34"/>
  <c r="J47" i="34" s="1"/>
  <c r="B129" i="34"/>
  <c r="B127" i="34"/>
  <c r="B99" i="34"/>
  <c r="B97" i="34"/>
  <c r="H31" i="34" s="1"/>
  <c r="B95" i="34"/>
  <c r="B93" i="34"/>
  <c r="B75" i="34"/>
  <c r="B73" i="34"/>
  <c r="H13" i="34" s="1"/>
  <c r="U13" i="34" s="1"/>
  <c r="B71" i="34"/>
  <c r="B130" i="33"/>
  <c r="B128" i="33"/>
  <c r="B126" i="33"/>
  <c r="H44" i="33" s="1"/>
  <c r="B98" i="33"/>
  <c r="B96" i="33"/>
  <c r="B94" i="33"/>
  <c r="B74" i="33"/>
  <c r="J14" i="33" s="1"/>
  <c r="B72" i="33"/>
  <c r="B70" i="33"/>
  <c r="J12" i="33"/>
  <c r="D96" i="35"/>
  <c r="E96" i="35" s="1"/>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P39" i="35"/>
  <c r="P38" i="35"/>
  <c r="V37" i="35"/>
  <c r="T37" i="35"/>
  <c r="R37" i="35"/>
  <c r="P37" i="35"/>
  <c r="Q36" i="35"/>
  <c r="Z36" i="35"/>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F26" i="33" s="1"/>
  <c r="AA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B126" i="21"/>
  <c r="B98" i="21"/>
  <c r="J31" i="21" s="1"/>
  <c r="B96" i="21"/>
  <c r="B94" i="21"/>
  <c r="J29" i="21" s="1"/>
  <c r="AC29" i="21" s="1"/>
  <c r="B92" i="21"/>
  <c r="F28" i="21" s="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I5" i="3" s="1"/>
  <c r="BJ586" i="3"/>
  <c r="BK586" i="3"/>
  <c r="BM586" i="3"/>
  <c r="BN586" i="3"/>
  <c r="BN5" i="3" s="1"/>
  <c r="BO586" i="3"/>
  <c r="BP586" i="3"/>
  <c r="BQ586" i="3"/>
  <c r="BR586" i="3"/>
  <c r="BR5" i="3" s="1"/>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AB19" i="21"/>
  <c r="J19" i="21"/>
  <c r="W19" i="21"/>
  <c r="AB41" i="21"/>
  <c r="F45" i="39"/>
  <c r="S45" i="39" s="1"/>
  <c r="J45" i="39"/>
  <c r="W45" i="39" s="1"/>
  <c r="J44" i="39"/>
  <c r="AC44" i="39" s="1"/>
  <c r="J35" i="39"/>
  <c r="AC35" i="39" s="1"/>
  <c r="F35" i="39"/>
  <c r="AA35" i="39"/>
  <c r="W25" i="37"/>
  <c r="F39" i="37"/>
  <c r="S39" i="37" s="1"/>
  <c r="F29" i="36"/>
  <c r="AA29" i="36" s="1"/>
  <c r="F16" i="36"/>
  <c r="AA16" i="36" s="1"/>
  <c r="W28" i="36"/>
  <c r="U31" i="36"/>
  <c r="H22" i="35"/>
  <c r="AB22" i="35"/>
  <c r="W22" i="35"/>
  <c r="S31" i="35"/>
  <c r="F36" i="34"/>
  <c r="J35" i="34"/>
  <c r="H39" i="33"/>
  <c r="AB39" i="33"/>
  <c r="U35" i="33"/>
  <c r="S40" i="33"/>
  <c r="W39" i="33"/>
  <c r="F11" i="40"/>
  <c r="AA11" i="40" s="1"/>
  <c r="H11" i="40"/>
  <c r="AB11" i="40"/>
  <c r="W8" i="40"/>
  <c r="U9" i="40"/>
  <c r="S34" i="40"/>
  <c r="F42" i="39"/>
  <c r="AA42" i="39" s="1"/>
  <c r="F41" i="39"/>
  <c r="S41" i="39" s="1"/>
  <c r="H40" i="39"/>
  <c r="AB40" i="39" s="1"/>
  <c r="H39" i="39"/>
  <c r="U39" i="39" s="1"/>
  <c r="S38" i="39"/>
  <c r="H34" i="39"/>
  <c r="F31" i="39"/>
  <c r="AA31" i="39" s="1"/>
  <c r="H19" i="39"/>
  <c r="AB19" i="39" s="1"/>
  <c r="F19" i="39"/>
  <c r="AA19" i="39" s="1"/>
  <c r="H17" i="39"/>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H11" i="39"/>
  <c r="S40" i="39"/>
  <c r="H32" i="33"/>
  <c r="AB32" i="33" s="1"/>
  <c r="H11" i="21"/>
  <c r="U11" i="21" s="1"/>
  <c r="J11" i="21"/>
  <c r="W11" i="21" s="1"/>
  <c r="H37" i="40"/>
  <c r="U37" i="40" s="1"/>
  <c r="H36" i="40"/>
  <c r="F35" i="40"/>
  <c r="AA35" i="40" s="1"/>
  <c r="H23" i="40"/>
  <c r="AB23" i="40" s="1"/>
  <c r="H17" i="40"/>
  <c r="U17" i="40" s="1"/>
  <c r="J15" i="40"/>
  <c r="W15" i="40" s="1"/>
  <c r="J11" i="40"/>
  <c r="W11" i="40" s="1"/>
  <c r="AB12" i="36"/>
  <c r="W32" i="40"/>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S12" i="36" s="1"/>
  <c r="F24" i="36"/>
  <c r="AA24" i="36"/>
  <c r="F34" i="36"/>
  <c r="S34" i="36" s="1"/>
  <c r="F14" i="35"/>
  <c r="AA14" i="35" s="1"/>
  <c r="J32" i="35"/>
  <c r="AC32" i="35" s="1"/>
  <c r="J16" i="35"/>
  <c r="AC16" i="35" s="1"/>
  <c r="H16" i="35"/>
  <c r="U16" i="35" s="1"/>
  <c r="F16" i="35"/>
  <c r="S16" i="35" s="1"/>
  <c r="H14" i="35"/>
  <c r="AB14" i="35" s="1"/>
  <c r="J29" i="35"/>
  <c r="H33" i="35"/>
  <c r="J20" i="35"/>
  <c r="W20" i="35" s="1"/>
  <c r="F35" i="37"/>
  <c r="J34" i="37"/>
  <c r="W34" i="37"/>
  <c r="J33" i="37"/>
  <c r="AC33" i="37" s="1"/>
  <c r="U42" i="34"/>
  <c r="H40" i="34"/>
  <c r="E114" i="34"/>
  <c r="F114" i="34" s="1"/>
  <c r="G114" i="34" s="1"/>
  <c r="H114" i="34" s="1"/>
  <c r="I114" i="34" s="1"/>
  <c r="J114" i="34" s="1"/>
  <c r="K114" i="34" s="1"/>
  <c r="L114" i="34" s="1"/>
  <c r="M114" i="34" s="1"/>
  <c r="H36" i="34"/>
  <c r="U36" i="34" s="1"/>
  <c r="F37" i="34"/>
  <c r="AA37" i="34" s="1"/>
  <c r="F25" i="34"/>
  <c r="S25" i="34" s="1"/>
  <c r="H23" i="34"/>
  <c r="U23" i="34" s="1"/>
  <c r="J23" i="34"/>
  <c r="W23" i="34" s="1"/>
  <c r="F19" i="34"/>
  <c r="H17" i="34"/>
  <c r="U17" i="34" s="1"/>
  <c r="F15" i="34"/>
  <c r="AA15" i="34" s="1"/>
  <c r="J15" i="34"/>
  <c r="W15" i="34" s="1"/>
  <c r="H15" i="34"/>
  <c r="W8" i="34"/>
  <c r="F41" i="33"/>
  <c r="AA41" i="33" s="1"/>
  <c r="S38" i="33"/>
  <c r="E113" i="33"/>
  <c r="F32" i="33"/>
  <c r="AA32" i="33" s="1"/>
  <c r="J19" i="33"/>
  <c r="AC19" i="33" s="1"/>
  <c r="J15" i="33"/>
  <c r="AC15" i="33" s="1"/>
  <c r="F11" i="33"/>
  <c r="AA11" i="33" s="1"/>
  <c r="W40" i="33"/>
  <c r="F37" i="40"/>
  <c r="AA37" i="40" s="1"/>
  <c r="F36" i="40"/>
  <c r="S36" i="40" s="1"/>
  <c r="H28" i="40"/>
  <c r="U28" i="40" s="1"/>
  <c r="F23" i="40"/>
  <c r="AA23" i="40" s="1"/>
  <c r="F17" i="40"/>
  <c r="AA17" i="40" s="1"/>
  <c r="J17" i="40"/>
  <c r="W17" i="40"/>
  <c r="F15" i="40"/>
  <c r="S15" i="40" s="1"/>
  <c r="H15" i="40"/>
  <c r="AB15" i="40" s="1"/>
  <c r="AC11" i="40"/>
  <c r="AB30" i="36"/>
  <c r="F29" i="35"/>
  <c r="H29" i="35"/>
  <c r="AB29" i="35" s="1"/>
  <c r="H33" i="37"/>
  <c r="F33" i="37"/>
  <c r="AA33" i="37" s="1"/>
  <c r="U34" i="37"/>
  <c r="S34" i="37"/>
  <c r="AA34" i="37"/>
  <c r="J43" i="34"/>
  <c r="AC43" i="34" s="1"/>
  <c r="AB42" i="34"/>
  <c r="J40" i="34"/>
  <c r="H38" i="34"/>
  <c r="AB38" i="34" s="1"/>
  <c r="J36" i="34"/>
  <c r="H37" i="34"/>
  <c r="U37" i="34" s="1"/>
  <c r="H25" i="34"/>
  <c r="AB25" i="34" s="1"/>
  <c r="J25" i="34"/>
  <c r="AC25" i="34" s="1"/>
  <c r="AB23" i="34"/>
  <c r="F23" i="34"/>
  <c r="AA23"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W42" i="21" s="1"/>
  <c r="H42" i="21"/>
  <c r="U42" i="21" s="1"/>
  <c r="J44" i="34"/>
  <c r="F44" i="34"/>
  <c r="J10" i="35"/>
  <c r="AC10" i="35" s="1"/>
  <c r="J14" i="21"/>
  <c r="W14" i="21"/>
  <c r="F14" i="21"/>
  <c r="S14" i="21" s="1"/>
  <c r="H14" i="21"/>
  <c r="U14" i="21" s="1"/>
  <c r="H30" i="21"/>
  <c r="F30" i="21"/>
  <c r="S30" i="21" s="1"/>
  <c r="J30" i="21"/>
  <c r="AC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F27" i="33"/>
  <c r="AA27" i="33" s="1"/>
  <c r="J13" i="33"/>
  <c r="J29" i="33"/>
  <c r="H29" i="33"/>
  <c r="U29" i="33"/>
  <c r="F29" i="33"/>
  <c r="S29" i="33" s="1"/>
  <c r="J31" i="33"/>
  <c r="H45" i="33"/>
  <c r="J45" i="33"/>
  <c r="W45" i="33" s="1"/>
  <c r="F45" i="33"/>
  <c r="AA45" i="33"/>
  <c r="J14" i="34"/>
  <c r="W14" i="34" s="1"/>
  <c r="F14" i="34"/>
  <c r="S14" i="34" s="1"/>
  <c r="H14" i="34"/>
  <c r="J30" i="34"/>
  <c r="H32" i="34"/>
  <c r="F32" i="34"/>
  <c r="S32" i="34" s="1"/>
  <c r="J32" i="34"/>
  <c r="W32" i="34" s="1"/>
  <c r="H46" i="34"/>
  <c r="H11" i="35"/>
  <c r="AB11" i="35" s="1"/>
  <c r="J26" i="36"/>
  <c r="W26" i="36" s="1"/>
  <c r="H28" i="36"/>
  <c r="U28" i="36" s="1"/>
  <c r="H32" i="36"/>
  <c r="AB32" i="36" s="1"/>
  <c r="J11" i="36"/>
  <c r="AC11" i="36" s="1"/>
  <c r="H11" i="36"/>
  <c r="U11" i="36" s="1"/>
  <c r="F11" i="36"/>
  <c r="AA11" i="36" s="1"/>
  <c r="J13" i="36"/>
  <c r="J29" i="37"/>
  <c r="F29" i="37"/>
  <c r="S29" i="37" s="1"/>
  <c r="F105" i="37"/>
  <c r="G105" i="37" s="1"/>
  <c r="H36" i="37"/>
  <c r="AB36" i="37" s="1"/>
  <c r="J37" i="37"/>
  <c r="AC37" i="37" s="1"/>
  <c r="H37" i="37"/>
  <c r="H40" i="37"/>
  <c r="U40" i="37" s="1"/>
  <c r="H14" i="33"/>
  <c r="F14" i="33"/>
  <c r="S14" i="33"/>
  <c r="H30" i="33"/>
  <c r="AB30" i="33" s="1"/>
  <c r="F30" i="33"/>
  <c r="J30" i="33"/>
  <c r="J44" i="33"/>
  <c r="W44" i="33" s="1"/>
  <c r="F44" i="33"/>
  <c r="S44" i="33" s="1"/>
  <c r="J46" i="33"/>
  <c r="AC46" i="33" s="1"/>
  <c r="F46" i="33"/>
  <c r="AA46" i="33" s="1"/>
  <c r="H46" i="33"/>
  <c r="AB46" i="33"/>
  <c r="J13" i="34"/>
  <c r="W13" i="34" s="1"/>
  <c r="F13" i="34"/>
  <c r="AA13" i="34" s="1"/>
  <c r="J29" i="34"/>
  <c r="F29" i="34"/>
  <c r="S29" i="34" s="1"/>
  <c r="H29" i="34"/>
  <c r="AB29" i="34" s="1"/>
  <c r="J31" i="34"/>
  <c r="AC31" i="34"/>
  <c r="F31" i="34"/>
  <c r="S31" i="34" s="1"/>
  <c r="H45" i="34"/>
  <c r="U45" i="34" s="1"/>
  <c r="J45" i="34"/>
  <c r="W45" i="34" s="1"/>
  <c r="F45" i="34"/>
  <c r="S45" i="34" s="1"/>
  <c r="H47" i="34"/>
  <c r="U47" i="34" s="1"/>
  <c r="F47" i="34"/>
  <c r="F13" i="35"/>
  <c r="J13" i="35"/>
  <c r="AC13" i="35" s="1"/>
  <c r="H13" i="35"/>
  <c r="U13" i="35" s="1"/>
  <c r="J25" i="35"/>
  <c r="W25" i="35" s="1"/>
  <c r="F25" i="35"/>
  <c r="S25" i="35" s="1"/>
  <c r="H25" i="35"/>
  <c r="AB25" i="35" s="1"/>
  <c r="J35" i="35"/>
  <c r="AC35" i="35" s="1"/>
  <c r="F35" i="35"/>
  <c r="AA35" i="35"/>
  <c r="H35" i="35"/>
  <c r="J25" i="36"/>
  <c r="W25" i="36" s="1"/>
  <c r="F25" i="36"/>
  <c r="S25" i="36" s="1"/>
  <c r="H25" i="36"/>
  <c r="AB25" i="36" s="1"/>
  <c r="H13" i="37"/>
  <c r="AB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30" i="40"/>
  <c r="AB30" i="40" s="1"/>
  <c r="F33" i="40"/>
  <c r="AA33" i="40" s="1"/>
  <c r="H33" i="40"/>
  <c r="J35" i="40"/>
  <c r="AC35" i="40" s="1"/>
  <c r="J37" i="40"/>
  <c r="AC37" i="40" s="1"/>
  <c r="H13" i="40"/>
  <c r="U13" i="40" s="1"/>
  <c r="J13" i="40"/>
  <c r="W13" i="40" s="1"/>
  <c r="F13" i="40"/>
  <c r="AA13" i="40" s="1"/>
  <c r="F14" i="37"/>
  <c r="F13" i="39"/>
  <c r="J13" i="39"/>
  <c r="W13" i="39" s="1"/>
  <c r="H13" i="39"/>
  <c r="AB13" i="39" s="1"/>
  <c r="H14" i="40"/>
  <c r="AB14" i="40"/>
  <c r="J14" i="40"/>
  <c r="W14" i="40" s="1"/>
  <c r="F14" i="40"/>
  <c r="AA14" i="40" s="1"/>
  <c r="J14" i="37"/>
  <c r="J27" i="37"/>
  <c r="AC27" i="37" s="1"/>
  <c r="AA44" i="33"/>
  <c r="U46" i="33"/>
  <c r="AA14" i="33"/>
  <c r="J36" i="37"/>
  <c r="AC36" i="37" s="1"/>
  <c r="J10" i="36"/>
  <c r="AC10" i="36" s="1"/>
  <c r="W31" i="34"/>
  <c r="S45" i="3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0" i="3"/>
  <c r="BL572" i="3"/>
  <c r="BL554" i="3"/>
  <c r="BL546" i="3"/>
  <c r="BL542" i="3"/>
  <c r="BL538" i="3"/>
  <c r="BL534" i="3"/>
  <c r="BL530" i="3"/>
  <c r="BL526" i="3"/>
  <c r="BL522" i="3"/>
  <c r="BL516" i="3"/>
  <c r="BL512" i="3"/>
  <c r="BL506" i="3"/>
  <c r="BL502" i="3"/>
  <c r="BL498" i="3"/>
  <c r="BL494" i="3"/>
  <c r="BL582" i="3"/>
  <c r="BL574" i="3"/>
  <c r="BL562" i="3"/>
  <c r="BL544" i="3"/>
  <c r="BL540" i="3"/>
  <c r="BL536" i="3"/>
  <c r="G533" i="3"/>
  <c r="BL532" i="3"/>
  <c r="G529" i="3"/>
  <c r="BL528" i="3"/>
  <c r="G525" i="3"/>
  <c r="BL524" i="3"/>
  <c r="BL518" i="3"/>
  <c r="BL514" i="3"/>
  <c r="BL510" i="3"/>
  <c r="BL504" i="3"/>
  <c r="BL500" i="3"/>
  <c r="AZ500" i="3" s="1"/>
  <c r="BL496" i="3"/>
  <c r="AZ496" i="3" s="1"/>
  <c r="G493" i="3"/>
  <c r="BA584" i="3"/>
  <c r="BA580" i="3"/>
  <c r="BA576" i="3"/>
  <c r="BA572" i="3"/>
  <c r="AZ572" i="3" s="1"/>
  <c r="BA566" i="3"/>
  <c r="BA554" i="3"/>
  <c r="BA548" i="3"/>
  <c r="BA546" i="3"/>
  <c r="BA544" i="3"/>
  <c r="BA542" i="3"/>
  <c r="BA540" i="3"/>
  <c r="BA538" i="3"/>
  <c r="BA536" i="3"/>
  <c r="AZ536" i="3" s="1"/>
  <c r="BA534" i="3"/>
  <c r="AZ534" i="3" s="1"/>
  <c r="BA532" i="3"/>
  <c r="AZ532" i="3" s="1"/>
  <c r="BA530" i="3"/>
  <c r="AZ530" i="3" s="1"/>
  <c r="BA528" i="3"/>
  <c r="BA526" i="3"/>
  <c r="AZ526" i="3" s="1"/>
  <c r="BA524" i="3"/>
  <c r="BA522" i="3"/>
  <c r="AZ522" i="3" s="1"/>
  <c r="BA520" i="3"/>
  <c r="BA518" i="3"/>
  <c r="BA516" i="3"/>
  <c r="BA514" i="3"/>
  <c r="BA512" i="3"/>
  <c r="AZ512" i="3" s="1"/>
  <c r="BA510" i="3"/>
  <c r="AZ510" i="3" s="1"/>
  <c r="BA508" i="3"/>
  <c r="BA506" i="3"/>
  <c r="AZ506" i="3" s="1"/>
  <c r="BA504" i="3"/>
  <c r="BA502" i="3"/>
  <c r="BA500" i="3"/>
  <c r="BA498" i="3"/>
  <c r="AZ498" i="3" s="1"/>
  <c r="BA496" i="3"/>
  <c r="BA494" i="3"/>
  <c r="BA583" i="3"/>
  <c r="BA579" i="3"/>
  <c r="BA575" i="3"/>
  <c r="BA571" i="3"/>
  <c r="BA559"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AZ503" i="3" s="1"/>
  <c r="BA501" i="3"/>
  <c r="BA499" i="3"/>
  <c r="AZ499" i="3" s="1"/>
  <c r="BA497" i="3"/>
  <c r="BA495" i="3"/>
  <c r="BA493" i="3"/>
  <c r="G583" i="3"/>
  <c r="G579" i="3"/>
  <c r="G577" i="3"/>
  <c r="G575" i="3"/>
  <c r="G571" i="3"/>
  <c r="G569" i="3"/>
  <c r="G565" i="3"/>
  <c r="G561" i="3"/>
  <c r="BA557" i="3"/>
  <c r="AC557" i="3"/>
  <c r="BQ557" i="3"/>
  <c r="BQ583" i="3"/>
  <c r="BQ581" i="3"/>
  <c r="BL581" i="3" s="1"/>
  <c r="BQ579" i="3"/>
  <c r="BQ577" i="3"/>
  <c r="BL577" i="3" s="1"/>
  <c r="BQ575" i="3"/>
  <c r="BL575" i="3"/>
  <c r="BQ573" i="3"/>
  <c r="BQ571" i="3"/>
  <c r="BL571" i="3" s="1"/>
  <c r="BQ569" i="3"/>
  <c r="BQ567" i="3"/>
  <c r="BQ565" i="3"/>
  <c r="BQ563" i="3"/>
  <c r="BL563" i="3"/>
  <c r="BQ561" i="3"/>
  <c r="BQ559" i="3"/>
  <c r="G559" i="3"/>
  <c r="G555" i="3"/>
  <c r="G553" i="3"/>
  <c r="G549" i="3"/>
  <c r="G547" i="3"/>
  <c r="G545" i="3"/>
  <c r="G543" i="3"/>
  <c r="G541" i="3"/>
  <c r="G539" i="3"/>
  <c r="G537" i="3"/>
  <c r="BQ555" i="3"/>
  <c r="BL555" i="3"/>
  <c r="BQ553" i="3"/>
  <c r="BQ551" i="3"/>
  <c r="BL551" i="3"/>
  <c r="BQ549" i="3"/>
  <c r="BQ547" i="3"/>
  <c r="BL547" i="3" s="1"/>
  <c r="BQ545" i="3"/>
  <c r="BL545" i="3"/>
  <c r="BQ543" i="3"/>
  <c r="BL543" i="3" s="1"/>
  <c r="AZ543" i="3"/>
  <c r="BQ541" i="3"/>
  <c r="BL541" i="3"/>
  <c r="AZ541" i="3" s="1"/>
  <c r="BQ539" i="3"/>
  <c r="BL539" i="3" s="1"/>
  <c r="BQ537" i="3"/>
  <c r="BL537" i="3" s="1"/>
  <c r="BQ535" i="3"/>
  <c r="BL535" i="3" s="1"/>
  <c r="BQ533" i="3"/>
  <c r="BL533" i="3" s="1"/>
  <c r="AZ533" i="3" s="1"/>
  <c r="BQ531" i="3"/>
  <c r="BL531" i="3" s="1"/>
  <c r="BQ529" i="3"/>
  <c r="BL529" i="3" s="1"/>
  <c r="BQ527" i="3"/>
  <c r="BL527" i="3" s="1"/>
  <c r="BQ525" i="3"/>
  <c r="BL525" i="3" s="1"/>
  <c r="AZ525" i="3" s="1"/>
  <c r="BQ523" i="3"/>
  <c r="BL523" i="3" s="1"/>
  <c r="BA521" i="3"/>
  <c r="AC521" i="3"/>
  <c r="BQ521" i="3"/>
  <c r="BL521" i="3" s="1"/>
  <c r="BL520" i="3"/>
  <c r="G519" i="3"/>
  <c r="G517" i="3"/>
  <c r="G515" i="3"/>
  <c r="G513" i="3"/>
  <c r="G511" i="3"/>
  <c r="BQ519" i="3"/>
  <c r="BL519" i="3" s="1"/>
  <c r="BQ517" i="3"/>
  <c r="BL517" i="3" s="1"/>
  <c r="BQ515" i="3"/>
  <c r="BL515" i="3" s="1"/>
  <c r="AZ515" i="3" s="1"/>
  <c r="BQ513" i="3"/>
  <c r="BL513" i="3"/>
  <c r="BQ511" i="3"/>
  <c r="BL511" i="3" s="1"/>
  <c r="BA509" i="3"/>
  <c r="AC509" i="3"/>
  <c r="BQ509" i="3"/>
  <c r="BL509" i="3" s="1"/>
  <c r="BL508" i="3"/>
  <c r="G507" i="3"/>
  <c r="G505" i="3"/>
  <c r="G503" i="3"/>
  <c r="G501" i="3"/>
  <c r="G499" i="3"/>
  <c r="G497" i="3"/>
  <c r="G495" i="3"/>
  <c r="BQ507" i="3"/>
  <c r="BQ505" i="3"/>
  <c r="BL505" i="3" s="1"/>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H31" i="40"/>
  <c r="U31" i="40" s="1"/>
  <c r="F32" i="40"/>
  <c r="S32" i="40" s="1"/>
  <c r="H32" i="40"/>
  <c r="AB32" i="40" s="1"/>
  <c r="J36" i="40"/>
  <c r="W36" i="40" s="1"/>
  <c r="H19" i="37"/>
  <c r="AB19" i="37" s="1"/>
  <c r="H42" i="33"/>
  <c r="AB42" i="33" s="1"/>
  <c r="J43" i="33"/>
  <c r="AC43" i="33" s="1"/>
  <c r="S28" i="31"/>
  <c r="S27" i="31"/>
  <c r="S26" i="31"/>
  <c r="U14" i="40"/>
  <c r="AC45" i="33"/>
  <c r="U19" i="21"/>
  <c r="AB38" i="21"/>
  <c r="F43" i="33"/>
  <c r="W16" i="35"/>
  <c r="H37" i="21"/>
  <c r="U37" i="21" s="1"/>
  <c r="H19" i="34"/>
  <c r="AB19" i="34" s="1"/>
  <c r="F36" i="35"/>
  <c r="S36" i="35" s="1"/>
  <c r="J9" i="37"/>
  <c r="W9" i="37" s="1"/>
  <c r="H9" i="37"/>
  <c r="U9" i="37" s="1"/>
  <c r="F9" i="37"/>
  <c r="S9" i="37" s="1"/>
  <c r="J12" i="37"/>
  <c r="W12" i="37" s="1"/>
  <c r="H12" i="37"/>
  <c r="AB12" i="37" s="1"/>
  <c r="F12" i="37"/>
  <c r="S12" i="37" s="1"/>
  <c r="E71" i="37"/>
  <c r="F71" i="37" s="1"/>
  <c r="G71" i="37" s="1"/>
  <c r="F15" i="37"/>
  <c r="S15" i="37" s="1"/>
  <c r="E94" i="37"/>
  <c r="F94" i="37" s="1"/>
  <c r="F31" i="37"/>
  <c r="S31" i="37" s="1"/>
  <c r="F12" i="39"/>
  <c r="S12" i="39" s="1"/>
  <c r="J42" i="39"/>
  <c r="AC42" i="39" s="1"/>
  <c r="H21" i="40"/>
  <c r="AB21" i="40" s="1"/>
  <c r="G94" i="37"/>
  <c r="H94" i="37" s="1"/>
  <c r="I94" i="37" s="1"/>
  <c r="J94" i="37" s="1"/>
  <c r="K94" i="37" s="1"/>
  <c r="L94" i="37" s="1"/>
  <c r="M94" i="37" s="1"/>
  <c r="H31" i="37"/>
  <c r="U31" i="37"/>
  <c r="J15" i="37"/>
  <c r="W15" i="37"/>
  <c r="AT6" i="3"/>
  <c r="H19" i="40"/>
  <c r="F88" i="40"/>
  <c r="G88" i="40" s="1"/>
  <c r="F19" i="40"/>
  <c r="S19" i="40" s="1"/>
  <c r="W23" i="39"/>
  <c r="AC43" i="39"/>
  <c r="W43" i="39"/>
  <c r="U45" i="39"/>
  <c r="AB45" i="39"/>
  <c r="H37" i="39"/>
  <c r="AB37" i="39" s="1"/>
  <c r="H25" i="39"/>
  <c r="AB25" i="39" s="1"/>
  <c r="J25" i="39"/>
  <c r="F25" i="39"/>
  <c r="AA25" i="39" s="1"/>
  <c r="F15" i="39"/>
  <c r="AA15" i="39" s="1"/>
  <c r="H15" i="39"/>
  <c r="U15" i="39" s="1"/>
  <c r="J15" i="39"/>
  <c r="W15" i="39" s="1"/>
  <c r="H41" i="39"/>
  <c r="AB41" i="39" s="1"/>
  <c r="W27" i="39"/>
  <c r="S42" i="39"/>
  <c r="AA41" i="39"/>
  <c r="W9" i="39"/>
  <c r="J19" i="40"/>
  <c r="AC19" i="40" s="1"/>
  <c r="J50" i="40"/>
  <c r="H103" i="9"/>
  <c r="D8" i="53" s="1"/>
  <c r="B16" i="53"/>
  <c r="B33" i="72" s="1"/>
  <c r="W35" i="40"/>
  <c r="A118" i="9"/>
  <c r="A4" i="52"/>
  <c r="B41" i="72" s="1"/>
  <c r="J11" i="39"/>
  <c r="W11" i="39"/>
  <c r="F11" i="39"/>
  <c r="S11" i="39" s="1"/>
  <c r="G4" i="4"/>
  <c r="I4" i="4"/>
  <c r="A2" i="9"/>
  <c r="F61" i="43"/>
  <c r="H64" i="43" s="1"/>
  <c r="BL549" i="3"/>
  <c r="AZ549" i="3" s="1"/>
  <c r="AZ514"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BA341" i="3"/>
  <c r="BL341" i="3"/>
  <c r="BA343" i="3"/>
  <c r="BA345" i="3"/>
  <c r="BL355" i="3"/>
  <c r="AZ355" i="3" s="1"/>
  <c r="G356" i="3"/>
  <c r="BL357" i="3"/>
  <c r="BA359" i="3"/>
  <c r="BA360" i="3"/>
  <c r="BL360" i="3"/>
  <c r="G361" i="3"/>
  <c r="BA362" i="3"/>
  <c r="G370" i="3"/>
  <c r="BL371" i="3"/>
  <c r="G372" i="3"/>
  <c r="BL373" i="3"/>
  <c r="AZ373" i="3" s="1"/>
  <c r="BA375" i="3"/>
  <c r="BA376" i="3"/>
  <c r="AZ376" i="3" s="1"/>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AZ140" i="3" s="1"/>
  <c r="G141" i="3"/>
  <c r="BA143" i="3"/>
  <c r="BL144" i="3"/>
  <c r="G145" i="3"/>
  <c r="BA147" i="3"/>
  <c r="BL148" i="3"/>
  <c r="G149" i="3"/>
  <c r="BA151" i="3"/>
  <c r="BL152" i="3"/>
  <c r="G153" i="3"/>
  <c r="BA155" i="3"/>
  <c r="BL156" i="3"/>
  <c r="G157" i="3"/>
  <c r="BA159" i="3"/>
  <c r="BL160" i="3"/>
  <c r="G161" i="3"/>
  <c r="BA163" i="3"/>
  <c r="AZ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AZ351" i="3" s="1"/>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BA16" i="3"/>
  <c r="BL303" i="3"/>
  <c r="G304" i="3"/>
  <c r="BA306" i="3"/>
  <c r="BL307" i="3"/>
  <c r="G308" i="3"/>
  <c r="BA310" i="3"/>
  <c r="AZ310" i="3" s="1"/>
  <c r="BL311" i="3"/>
  <c r="AZ311" i="3" s="1"/>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AZ361" i="3" s="1"/>
  <c r="BL362" i="3"/>
  <c r="AZ362" i="3" s="1"/>
  <c r="G363" i="3"/>
  <c r="BA365" i="3"/>
  <c r="BL366" i="3"/>
  <c r="G367" i="3"/>
  <c r="BA369" i="3"/>
  <c r="AZ369" i="3"/>
  <c r="BL370" i="3"/>
  <c r="G371" i="3"/>
  <c r="BA373" i="3"/>
  <c r="BL374" i="3"/>
  <c r="G375" i="3"/>
  <c r="BA377" i="3"/>
  <c r="AZ377" i="3"/>
  <c r="BA379" i="3"/>
  <c r="AZ379" i="3" s="1"/>
  <c r="BL380" i="3"/>
  <c r="G381" i="3"/>
  <c r="BA383" i="3"/>
  <c r="BL384" i="3"/>
  <c r="G385" i="3"/>
  <c r="BA387" i="3"/>
  <c r="AZ387" i="3" s="1"/>
  <c r="BL388" i="3"/>
  <c r="G389" i="3"/>
  <c r="BA391" i="3"/>
  <c r="BL392" i="3"/>
  <c r="G393" i="3"/>
  <c r="BM5" i="3"/>
  <c r="BJ5" i="3"/>
  <c r="BH5" i="3"/>
  <c r="BD5" i="3"/>
  <c r="G548" i="3"/>
  <c r="G538" i="3"/>
  <c r="G520" i="3"/>
  <c r="G502" i="3"/>
  <c r="BS5" i="3"/>
  <c r="BK5" i="3"/>
  <c r="BE5" i="3"/>
  <c r="G17" i="3"/>
  <c r="BA17" i="3"/>
  <c r="BT5" i="3"/>
  <c r="BA15" i="3"/>
  <c r="BB5" i="3"/>
  <c r="E5" i="6" s="1"/>
  <c r="AZ509" i="3"/>
  <c r="G509" i="3"/>
  <c r="BL493" i="3"/>
  <c r="AZ493" i="3" s="1"/>
  <c r="F83" i="43"/>
  <c r="H85" i="43" s="1"/>
  <c r="F50" i="43"/>
  <c r="H54" i="43" s="1"/>
  <c r="F72" i="43"/>
  <c r="H75" i="43" s="1"/>
  <c r="U43" i="21"/>
  <c r="U35" i="21"/>
  <c r="AC11" i="39"/>
  <c r="W37" i="37"/>
  <c r="W44" i="34"/>
  <c r="AC44" i="34"/>
  <c r="U13" i="37"/>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F20" i="35"/>
  <c r="AA20" i="35"/>
  <c r="AB29" i="36"/>
  <c r="U29" i="36"/>
  <c r="H32" i="37"/>
  <c r="AB32" i="37" s="1"/>
  <c r="F96" i="37"/>
  <c r="H27" i="40"/>
  <c r="U27" i="40"/>
  <c r="J27" i="40"/>
  <c r="AC27" i="40" s="1"/>
  <c r="F27" i="40"/>
  <c r="S27" i="40" s="1"/>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AZ7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C12" i="39"/>
  <c r="W12" i="39"/>
  <c r="AC39" i="40"/>
  <c r="W39" i="40"/>
  <c r="W12" i="33"/>
  <c r="AC12" i="33"/>
  <c r="AA32" i="36"/>
  <c r="S32" i="36"/>
  <c r="BL14" i="3"/>
  <c r="AC13" i="34"/>
  <c r="S19" i="39"/>
  <c r="F12" i="33"/>
  <c r="H12" i="39"/>
  <c r="U12" i="39" s="1"/>
  <c r="F39" i="40"/>
  <c r="S39" i="40" s="1"/>
  <c r="BA14" i="3"/>
  <c r="B12" i="1"/>
  <c r="E12" i="1" s="1"/>
  <c r="B10" i="1"/>
  <c r="E10" i="1" s="1"/>
  <c r="K12" i="1"/>
  <c r="M12" i="1" s="1"/>
  <c r="S13" i="1"/>
  <c r="AR13" i="1" s="1"/>
  <c r="R13" i="1"/>
  <c r="AA34" i="33"/>
  <c r="B41" i="1"/>
  <c r="F48" i="9" s="1"/>
  <c r="O52" i="9" s="1"/>
  <c r="AB37" i="40"/>
  <c r="S35" i="40"/>
  <c r="U35" i="40"/>
  <c r="W38" i="40"/>
  <c r="AA32" i="40"/>
  <c r="S23" i="40"/>
  <c r="AC17" i="40"/>
  <c r="AC15" i="40"/>
  <c r="AB27" i="40"/>
  <c r="S30" i="40"/>
  <c r="S28" i="40"/>
  <c r="AA27" i="40"/>
  <c r="U37" i="39"/>
  <c r="S43" i="39"/>
  <c r="U35" i="39"/>
  <c r="F32" i="39"/>
  <c r="S32" i="39" s="1"/>
  <c r="F106" i="39"/>
  <c r="G106" i="39" s="1"/>
  <c r="H106" i="39" s="1"/>
  <c r="I106" i="39" s="1"/>
  <c r="J106" i="39" s="1"/>
  <c r="K106" i="39" s="1"/>
  <c r="L106" i="39" s="1"/>
  <c r="M106" i="39" s="1"/>
  <c r="AB27" i="39"/>
  <c r="J21" i="39"/>
  <c r="W21" i="39" s="1"/>
  <c r="F21" i="39"/>
  <c r="S21" i="39" s="1"/>
  <c r="G94" i="39"/>
  <c r="H21" i="39"/>
  <c r="W19" i="39"/>
  <c r="U19" i="39"/>
  <c r="S17" i="39"/>
  <c r="S9" i="39"/>
  <c r="U14" i="39"/>
  <c r="AC13" i="39"/>
  <c r="U26" i="36"/>
  <c r="S33" i="36"/>
  <c r="AA26" i="36"/>
  <c r="AA34" i="36"/>
  <c r="AC26" i="36"/>
  <c r="AA22" i="36"/>
  <c r="W14" i="36"/>
  <c r="AB14" i="36"/>
  <c r="U22" i="36"/>
  <c r="AA25" i="36"/>
  <c r="S24" i="36"/>
  <c r="U24" i="36"/>
  <c r="AB20" i="36"/>
  <c r="U16" i="36"/>
  <c r="AA25" i="35"/>
  <c r="W24" i="35"/>
  <c r="AB13" i="35"/>
  <c r="U29" i="35"/>
  <c r="U28" i="35"/>
  <c r="AB27" i="35"/>
  <c r="U36" i="35"/>
  <c r="U32" i="35"/>
  <c r="AC30" i="35"/>
  <c r="S32" i="35"/>
  <c r="AA36" i="35"/>
  <c r="S28" i="35"/>
  <c r="AB16" i="35"/>
  <c r="U22" i="35"/>
  <c r="S20" i="35"/>
  <c r="AC20" i="35"/>
  <c r="S22" i="35"/>
  <c r="U14" i="35"/>
  <c r="AC9" i="35"/>
  <c r="W9" i="35"/>
  <c r="W13" i="35"/>
  <c r="F9" i="35"/>
  <c r="S9" i="35" s="1"/>
  <c r="H9" i="35"/>
  <c r="U9" i="35" s="1"/>
  <c r="W27" i="37"/>
  <c r="U29" i="37"/>
  <c r="AB31" i="37"/>
  <c r="W30" i="37"/>
  <c r="S36" i="37"/>
  <c r="AA38" i="37"/>
  <c r="U32" i="37"/>
  <c r="AC35" i="37"/>
  <c r="W39" i="37"/>
  <c r="S30" i="37"/>
  <c r="AC15" i="37"/>
  <c r="J17" i="37"/>
  <c r="W17" i="37" s="1"/>
  <c r="F17" i="37"/>
  <c r="AA17" i="37" s="1"/>
  <c r="F75" i="37"/>
  <c r="G75" i="37" s="1"/>
  <c r="F19" i="37"/>
  <c r="S19" i="37" s="1"/>
  <c r="F79" i="37"/>
  <c r="G79" i="37" s="1"/>
  <c r="F23" i="37"/>
  <c r="S23" i="37" s="1"/>
  <c r="U23" i="37"/>
  <c r="U15" i="37"/>
  <c r="AC13" i="37"/>
  <c r="H10" i="37"/>
  <c r="AB10" i="37" s="1"/>
  <c r="F63" i="37"/>
  <c r="F11" i="37"/>
  <c r="S11" i="37" s="1"/>
  <c r="AB8" i="34"/>
  <c r="U43" i="34"/>
  <c r="W41" i="34"/>
  <c r="AC42" i="34"/>
  <c r="AB35" i="34"/>
  <c r="U39" i="34"/>
  <c r="S43" i="34"/>
  <c r="AA45" i="34"/>
  <c r="AA25" i="34"/>
  <c r="S17" i="34"/>
  <c r="AA29" i="34"/>
  <c r="U27" i="34"/>
  <c r="S23" i="34"/>
  <c r="S13" i="34"/>
  <c r="H10" i="34"/>
  <c r="AB10" i="34" s="1"/>
  <c r="F11" i="34"/>
  <c r="S11" i="34" s="1"/>
  <c r="F70" i="34"/>
  <c r="G70" i="34" s="1"/>
  <c r="H70" i="34" s="1"/>
  <c r="I70" i="34" s="1"/>
  <c r="J70" i="34" s="1"/>
  <c r="K70" i="34" s="1"/>
  <c r="L70" i="34" s="1"/>
  <c r="M70" i="34" s="1"/>
  <c r="W42" i="33"/>
  <c r="AA35" i="33"/>
  <c r="S32" i="33"/>
  <c r="AA29" i="33"/>
  <c r="AB29" i="33"/>
  <c r="W38" i="33"/>
  <c r="H41" i="33"/>
  <c r="U41" i="33" s="1"/>
  <c r="U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W43" i="33"/>
  <c r="F91" i="33"/>
  <c r="G91" i="33" s="1"/>
  <c r="H91" i="33" s="1"/>
  <c r="I91" i="33" s="1"/>
  <c r="J91" i="33" s="1"/>
  <c r="K91" i="33" s="1"/>
  <c r="L91" i="33" s="1"/>
  <c r="M91" i="33" s="1"/>
  <c r="H27" i="33"/>
  <c r="U27" i="33" s="1"/>
  <c r="F87" i="33"/>
  <c r="H25" i="33"/>
  <c r="U25" i="33" s="1"/>
  <c r="F25" i="33"/>
  <c r="AA25" i="33" s="1"/>
  <c r="J23" i="33"/>
  <c r="AC23" i="33" s="1"/>
  <c r="F85" i="33"/>
  <c r="H23" i="33"/>
  <c r="U23" i="33" s="1"/>
  <c r="F81" i="33"/>
  <c r="G81" i="33" s="1"/>
  <c r="F19" i="33"/>
  <c r="S19" i="33" s="1"/>
  <c r="W19" i="33"/>
  <c r="J17" i="33"/>
  <c r="AC17" i="33" s="1"/>
  <c r="F79" i="33"/>
  <c r="G79" i="33" s="1"/>
  <c r="S15" i="33"/>
  <c r="W15" i="33"/>
  <c r="J10" i="33"/>
  <c r="W10" i="33" s="1"/>
  <c r="H10" i="33"/>
  <c r="U10" i="33" s="1"/>
  <c r="AC11" i="33"/>
  <c r="W36" i="21"/>
  <c r="W41" i="21"/>
  <c r="AB39" i="21"/>
  <c r="AA43" i="21"/>
  <c r="S39" i="21"/>
  <c r="AA38" i="21"/>
  <c r="AC40" i="21"/>
  <c r="J15" i="21"/>
  <c r="AC15" i="21" s="1"/>
  <c r="W15" i="21"/>
  <c r="F77" i="21"/>
  <c r="G77" i="21"/>
  <c r="F23" i="21"/>
  <c r="S23" i="21"/>
  <c r="E85" i="21"/>
  <c r="AA14" i="21"/>
  <c r="F34" i="67"/>
  <c r="F62" i="67" s="1"/>
  <c r="M20" i="67"/>
  <c r="F34" i="15"/>
  <c r="F62" i="15" s="1"/>
  <c r="G13" i="3"/>
  <c r="BL17" i="3"/>
  <c r="AZ17" i="3" s="1"/>
  <c r="BL13" i="3"/>
  <c r="J56" i="9"/>
  <c r="J57" i="9" s="1"/>
  <c r="J59" i="9" s="1"/>
  <c r="J61" i="9" s="1"/>
  <c r="U29" i="34"/>
  <c r="G1" i="68"/>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AB31" i="40"/>
  <c r="S37" i="40"/>
  <c r="AB28" i="40"/>
  <c r="W28" i="40"/>
  <c r="W34" i="40"/>
  <c r="W27" i="40"/>
  <c r="W37" i="40"/>
  <c r="AC14" i="40"/>
  <c r="S13" i="40"/>
  <c r="S33" i="40"/>
  <c r="AA15" i="40"/>
  <c r="U11" i="40"/>
  <c r="AB13" i="40"/>
  <c r="U15" i="40"/>
  <c r="AB17" i="40"/>
  <c r="U8" i="40"/>
  <c r="AC41" i="39"/>
  <c r="U42" i="39"/>
  <c r="W25" i="39"/>
  <c r="AC25" i="39"/>
  <c r="U13" i="39"/>
  <c r="AA13" i="39"/>
  <c r="S13" i="39"/>
  <c r="S14" i="39"/>
  <c r="AA14" i="39"/>
  <c r="U43" i="39"/>
  <c r="AB43" i="39"/>
  <c r="AB11" i="39"/>
  <c r="U11" i="39"/>
  <c r="AA27" i="39"/>
  <c r="S27" i="39"/>
  <c r="W17" i="39"/>
  <c r="AC17" i="39"/>
  <c r="S23" i="39"/>
  <c r="AA45" i="39"/>
  <c r="AB39" i="39"/>
  <c r="W34" i="39"/>
  <c r="U38" i="39"/>
  <c r="S8" i="39"/>
  <c r="S20" i="36"/>
  <c r="U32" i="36"/>
  <c r="W29" i="36"/>
  <c r="AC20" i="36"/>
  <c r="U25" i="36"/>
  <c r="AB28" i="36"/>
  <c r="W9" i="36"/>
  <c r="W22" i="36"/>
  <c r="AC25" i="35"/>
  <c r="U25" i="35"/>
  <c r="S24" i="35"/>
  <c r="S35" i="35"/>
  <c r="AA16" i="35"/>
  <c r="W36" i="37"/>
  <c r="S28" i="37"/>
  <c r="W32" i="37"/>
  <c r="U36" i="37"/>
  <c r="U38" i="37"/>
  <c r="AC34" i="37"/>
  <c r="AA31" i="37"/>
  <c r="AA29" i="37"/>
  <c r="U8" i="37"/>
  <c r="AA40" i="34"/>
  <c r="U19" i="34"/>
  <c r="W19" i="34"/>
  <c r="AC45" i="34"/>
  <c r="AB45" i="34"/>
  <c r="AB47" i="34"/>
  <c r="U25" i="34"/>
  <c r="AB36" i="34"/>
  <c r="W33" i="34"/>
  <c r="AC14" i="34"/>
  <c r="AC32" i="34"/>
  <c r="AC29" i="34"/>
  <c r="W29" i="34"/>
  <c r="AA32" i="34"/>
  <c r="U38" i="34"/>
  <c r="AC40" i="34"/>
  <c r="W40" i="34"/>
  <c r="AA19" i="34"/>
  <c r="S19" i="34"/>
  <c r="AA36" i="34"/>
  <c r="S36" i="34"/>
  <c r="AA8" i="34"/>
  <c r="S8" i="34"/>
  <c r="U32" i="34"/>
  <c r="AB32" i="34"/>
  <c r="U14" i="34"/>
  <c r="AB14" i="34"/>
  <c r="W43" i="34"/>
  <c r="AC23" i="34"/>
  <c r="AC35" i="34"/>
  <c r="W35" i="34"/>
  <c r="AB28" i="33"/>
  <c r="AC37" i="33"/>
  <c r="W46" i="33"/>
  <c r="U39" i="33"/>
  <c r="U38" i="33"/>
  <c r="S33" i="33"/>
  <c r="AB34" i="33"/>
  <c r="S30" i="33"/>
  <c r="AA30" i="33"/>
  <c r="AC30" i="33"/>
  <c r="W30" i="33"/>
  <c r="W13" i="33"/>
  <c r="AC13" i="33"/>
  <c r="U15" i="33"/>
  <c r="U37" i="33"/>
  <c r="AC28" i="33"/>
  <c r="S28" i="33"/>
  <c r="W8" i="33"/>
  <c r="S44" i="21"/>
  <c r="I101" i="21"/>
  <c r="J101" i="21" s="1"/>
  <c r="K101" i="21" s="1"/>
  <c r="L101" i="21" s="1"/>
  <c r="M101" i="21" s="1"/>
  <c r="F37" i="21"/>
  <c r="AA37" i="21" s="1"/>
  <c r="AB46" i="21"/>
  <c r="U13" i="21"/>
  <c r="AB13" i="21"/>
  <c r="S35" i="21"/>
  <c r="J37" i="21"/>
  <c r="W37" i="21" s="1"/>
  <c r="H15" i="21"/>
  <c r="U15" i="21"/>
  <c r="J17" i="21"/>
  <c r="AC17" i="21" s="1"/>
  <c r="AC19" i="21"/>
  <c r="AC14" i="21"/>
  <c r="W30" i="21"/>
  <c r="S46" i="21"/>
  <c r="H45" i="21"/>
  <c r="U45" i="21" s="1"/>
  <c r="F13" i="21"/>
  <c r="AA13" i="21" s="1"/>
  <c r="AC38" i="21"/>
  <c r="H32" i="21"/>
  <c r="U32" i="21" s="1"/>
  <c r="H9" i="21"/>
  <c r="U9" i="21" s="1"/>
  <c r="J9" i="21"/>
  <c r="AC9" i="21" s="1"/>
  <c r="J32" i="21"/>
  <c r="W32" i="21" s="1"/>
  <c r="F32" i="21"/>
  <c r="AA32" i="21" s="1"/>
  <c r="U17" i="21"/>
  <c r="S19" i="21"/>
  <c r="S9" i="21"/>
  <c r="AA9" i="21"/>
  <c r="K141" i="21"/>
  <c r="K144" i="21"/>
  <c r="K143" i="21"/>
  <c r="AB25" i="21"/>
  <c r="AB44" i="21"/>
  <c r="AA30" i="21"/>
  <c r="W13" i="21"/>
  <c r="F10" i="21"/>
  <c r="AA10" i="21" s="1"/>
  <c r="K145" i="21"/>
  <c r="W17" i="21"/>
  <c r="W25" i="21"/>
  <c r="S17" i="21"/>
  <c r="AA15"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W32" i="39" s="1"/>
  <c r="H32" i="39"/>
  <c r="AB32" i="39" s="1"/>
  <c r="AB21" i="39"/>
  <c r="U21" i="39"/>
  <c r="AA21" i="39"/>
  <c r="AC17" i="37"/>
  <c r="J19" i="37"/>
  <c r="W19" i="37" s="1"/>
  <c r="AA19" i="37"/>
  <c r="AA23" i="37"/>
  <c r="J23" i="37"/>
  <c r="W23" i="37" s="1"/>
  <c r="J10" i="37"/>
  <c r="W10" i="37" s="1"/>
  <c r="G63" i="37"/>
  <c r="H63" i="37" s="1"/>
  <c r="I63" i="37" s="1"/>
  <c r="J63" i="37" s="1"/>
  <c r="K63" i="37" s="1"/>
  <c r="L63" i="37" s="1"/>
  <c r="M63" i="37" s="1"/>
  <c r="H11" i="37"/>
  <c r="AB11" i="37" s="1"/>
  <c r="H11" i="34"/>
  <c r="U11" i="34" s="1"/>
  <c r="J10" i="34"/>
  <c r="AC10" i="34" s="1"/>
  <c r="AB41" i="33"/>
  <c r="AC35" i="33"/>
  <c r="H111" i="33"/>
  <c r="I111" i="33" s="1"/>
  <c r="J111" i="33" s="1"/>
  <c r="K111" i="33" s="1"/>
  <c r="L111" i="33" s="1"/>
  <c r="M111" i="33" s="1"/>
  <c r="J36" i="33"/>
  <c r="W36" i="33" s="1"/>
  <c r="H36" i="33"/>
  <c r="U36" i="33" s="1"/>
  <c r="S36" i="33"/>
  <c r="W32" i="33"/>
  <c r="AB27" i="33"/>
  <c r="J27" i="33"/>
  <c r="W27" i="33" s="1"/>
  <c r="S25" i="33"/>
  <c r="G87" i="33"/>
  <c r="H87" i="33"/>
  <c r="I87" i="33" s="1"/>
  <c r="J87" i="33" s="1"/>
  <c r="K87" i="33" s="1"/>
  <c r="L87" i="33" s="1"/>
  <c r="M87" i="33" s="1"/>
  <c r="J25" i="33"/>
  <c r="AC25" i="33" s="1"/>
  <c r="F23" i="33"/>
  <c r="G85" i="33"/>
  <c r="H19" i="33"/>
  <c r="U19" i="33" s="1"/>
  <c r="H17" i="33"/>
  <c r="U17" i="33" s="1"/>
  <c r="F17" i="33"/>
  <c r="S17" i="33" s="1"/>
  <c r="S37" i="21"/>
  <c r="AA23" i="21"/>
  <c r="AB15" i="21"/>
  <c r="J23" i="21"/>
  <c r="W23" i="21" s="1"/>
  <c r="F85" i="21"/>
  <c r="G85" i="21" s="1"/>
  <c r="H23" i="21"/>
  <c r="U23" i="21" s="1"/>
  <c r="S13" i="21"/>
  <c r="AP7" i="1"/>
  <c r="W9" i="21"/>
  <c r="A18" i="62"/>
  <c r="B64" i="72" s="1"/>
  <c r="AC32" i="39"/>
  <c r="J11" i="37"/>
  <c r="AC11" i="37" s="1"/>
  <c r="J11" i="34"/>
  <c r="W11" i="34" s="1"/>
  <c r="AC27" i="33"/>
  <c r="AB19" i="33"/>
  <c r="AA17" i="33"/>
  <c r="AB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L47" i="67"/>
  <c r="F38" i="67"/>
  <c r="M23" i="67"/>
  <c r="AO13" i="1"/>
  <c r="F26" i="15"/>
  <c r="E11" i="76"/>
  <c r="F36" i="15"/>
  <c r="B10" i="76"/>
  <c r="B7" i="76"/>
  <c r="F42" i="15"/>
  <c r="F7" i="15"/>
  <c r="M28" i="67"/>
  <c r="F7" i="73"/>
  <c r="M22" i="15"/>
  <c r="M8" i="67"/>
  <c r="F20" i="31"/>
  <c r="M8" i="15"/>
  <c r="M26" i="15"/>
  <c r="F3" i="73"/>
  <c r="D35" i="9"/>
  <c r="F9" i="67"/>
  <c r="B12" i="76"/>
  <c r="D34" i="9"/>
  <c r="B9" i="76"/>
  <c r="F38" i="15"/>
  <c r="F13" i="67"/>
  <c r="E8" i="76"/>
  <c r="M9" i="15"/>
  <c r="M23" i="15"/>
  <c r="L47" i="15"/>
  <c r="F9" i="15"/>
  <c r="B8" i="76"/>
  <c r="M6" i="15"/>
  <c r="F43" i="67"/>
  <c r="M29" i="67"/>
  <c r="F36" i="67"/>
  <c r="F6" i="73"/>
  <c r="F4" i="73"/>
  <c r="L48" i="15"/>
  <c r="L48" i="67"/>
  <c r="M24" i="15"/>
  <c r="F37" i="15"/>
  <c r="F13" i="15"/>
  <c r="F7" i="67"/>
  <c r="F37" i="67"/>
  <c r="F6" i="15"/>
  <c r="E13" i="76"/>
  <c r="F8" i="15"/>
  <c r="M28" i="15"/>
  <c r="E9" i="76"/>
  <c r="M9" i="67"/>
  <c r="F40" i="67"/>
  <c r="F42" i="67"/>
  <c r="F40" i="15"/>
  <c r="F43" i="15"/>
  <c r="F16" i="67"/>
  <c r="E12" i="76"/>
  <c r="F16" i="15"/>
  <c r="E2" i="68"/>
  <c r="M24" i="67"/>
  <c r="F6" i="67"/>
  <c r="J15" i="15"/>
  <c r="F26" i="67"/>
  <c r="B11" i="76"/>
  <c r="E2" i="69"/>
  <c r="J15" i="67"/>
  <c r="M22" i="67"/>
  <c r="F5" i="73"/>
  <c r="C76" i="15"/>
  <c r="C76" i="67"/>
  <c r="E7" i="76"/>
  <c r="M29" i="15"/>
  <c r="B13" i="76"/>
  <c r="E10" i="76"/>
  <c r="M26" i="67"/>
  <c r="M6" i="67"/>
  <c r="D6" i="73"/>
  <c r="W14" i="33" l="1"/>
  <c r="AC14" i="33"/>
  <c r="AB44" i="33"/>
  <c r="U44" i="33"/>
  <c r="W47" i="34"/>
  <c r="AC47" i="34"/>
  <c r="AA23" i="35"/>
  <c r="S23" i="35"/>
  <c r="AB34" i="35"/>
  <c r="U34" i="35"/>
  <c r="S13" i="37"/>
  <c r="AA13" i="37"/>
  <c r="AA40" i="37"/>
  <c r="S40" i="37"/>
  <c r="AB36" i="39"/>
  <c r="U36" i="39"/>
  <c r="AZ570" i="3"/>
  <c r="AZ552" i="3"/>
  <c r="AC31" i="21"/>
  <c r="W31" i="21"/>
  <c r="AA28" i="21"/>
  <c r="S28" i="21"/>
  <c r="W17" i="33"/>
  <c r="AA32" i="39"/>
  <c r="U25" i="39"/>
  <c r="AC23" i="37"/>
  <c r="AA19" i="33"/>
  <c r="AB23" i="33"/>
  <c r="S17" i="37"/>
  <c r="AB14" i="21"/>
  <c r="S11" i="33"/>
  <c r="AB33" i="34"/>
  <c r="AB35" i="37"/>
  <c r="U24" i="35"/>
  <c r="AC25" i="36"/>
  <c r="W19" i="40"/>
  <c r="S42" i="33"/>
  <c r="S27" i="33"/>
  <c r="AC39" i="34"/>
  <c r="W25" i="34"/>
  <c r="AB17" i="37"/>
  <c r="W38" i="37"/>
  <c r="AB40" i="37"/>
  <c r="AA33" i="35"/>
  <c r="S16" i="36"/>
  <c r="AB12" i="39"/>
  <c r="W28" i="37"/>
  <c r="BC5" i="3"/>
  <c r="AZ342" i="3"/>
  <c r="AZ337" i="3"/>
  <c r="AZ378" i="3"/>
  <c r="AZ360" i="3"/>
  <c r="AZ341" i="3"/>
  <c r="AC13" i="40"/>
  <c r="AA15" i="37"/>
  <c r="U11" i="33"/>
  <c r="F31" i="40"/>
  <c r="H28" i="34"/>
  <c r="AZ535" i="3"/>
  <c r="BL573" i="3"/>
  <c r="BL579" i="3"/>
  <c r="AZ504" i="3"/>
  <c r="AZ528" i="3"/>
  <c r="AZ540" i="3"/>
  <c r="AZ494" i="3"/>
  <c r="AB26" i="33"/>
  <c r="F27" i="37"/>
  <c r="AC44" i="33"/>
  <c r="J40" i="37"/>
  <c r="F13" i="36"/>
  <c r="H28" i="21"/>
  <c r="AB28" i="21" s="1"/>
  <c r="AA36" i="40"/>
  <c r="S26" i="33"/>
  <c r="F28" i="34"/>
  <c r="H39" i="37"/>
  <c r="W28" i="35"/>
  <c r="W31" i="37"/>
  <c r="F36" i="39"/>
  <c r="S41" i="21"/>
  <c r="H31" i="21"/>
  <c r="H33" i="36"/>
  <c r="J33" i="36"/>
  <c r="AC33" i="36" s="1"/>
  <c r="AC33" i="33"/>
  <c r="W33" i="33"/>
  <c r="J37" i="39"/>
  <c r="F37" i="39"/>
  <c r="AZ575" i="3"/>
  <c r="W25" i="33"/>
  <c r="U32" i="39"/>
  <c r="AB25" i="33"/>
  <c r="S37" i="34"/>
  <c r="AA31" i="34"/>
  <c r="U19" i="37"/>
  <c r="W35" i="35"/>
  <c r="AA39" i="39"/>
  <c r="U32" i="40"/>
  <c r="D120" i="9"/>
  <c r="W43" i="21"/>
  <c r="S46" i="33"/>
  <c r="AB41" i="34"/>
  <c r="AA33" i="34"/>
  <c r="S14" i="36"/>
  <c r="AA12" i="39"/>
  <c r="U21" i="40"/>
  <c r="S17" i="40"/>
  <c r="U30" i="33"/>
  <c r="AC17" i="34"/>
  <c r="S14" i="35"/>
  <c r="AZ372" i="3"/>
  <c r="AZ329" i="3"/>
  <c r="W8" i="39"/>
  <c r="AC12" i="37"/>
  <c r="AC15" i="34"/>
  <c r="W44" i="21"/>
  <c r="AB27" i="37"/>
  <c r="AZ511" i="3"/>
  <c r="AZ521" i="3"/>
  <c r="BL553" i="3"/>
  <c r="AZ553" i="3" s="1"/>
  <c r="BL583" i="3"/>
  <c r="AZ508" i="3"/>
  <c r="AZ516" i="3"/>
  <c r="AZ524" i="3"/>
  <c r="AZ542" i="3"/>
  <c r="AZ538" i="3"/>
  <c r="S11" i="36"/>
  <c r="J32" i="36"/>
  <c r="W32" i="36" s="1"/>
  <c r="F31" i="21"/>
  <c r="S31" i="21" s="1"/>
  <c r="J28" i="21"/>
  <c r="AB17" i="34"/>
  <c r="AA12" i="36"/>
  <c r="S34" i="39"/>
  <c r="U9" i="39"/>
  <c r="J26" i="33"/>
  <c r="J36" i="35"/>
  <c r="AC36" i="35" s="1"/>
  <c r="AB34" i="40"/>
  <c r="U34" i="40"/>
  <c r="F38" i="40"/>
  <c r="H38" i="40"/>
  <c r="AZ327" i="3"/>
  <c r="AZ324" i="3"/>
  <c r="AZ577" i="3"/>
  <c r="AZ527" i="3"/>
  <c r="AZ544" i="3"/>
  <c r="AZ554" i="3"/>
  <c r="AZ580" i="3"/>
  <c r="J36" i="39"/>
  <c r="AC36" i="39" s="1"/>
  <c r="AC40" i="39"/>
  <c r="W40" i="39"/>
  <c r="H44" i="39"/>
  <c r="F44" i="39"/>
  <c r="BL399" i="3"/>
  <c r="G400" i="3"/>
  <c r="G401" i="3"/>
  <c r="G402" i="3"/>
  <c r="BA407" i="3"/>
  <c r="BA408" i="3"/>
  <c r="BA409" i="3"/>
  <c r="AZ409" i="3" s="1"/>
  <c r="G411" i="3"/>
  <c r="BL419" i="3"/>
  <c r="G420" i="3"/>
  <c r="BA424" i="3"/>
  <c r="BL424" i="3"/>
  <c r="G426" i="3"/>
  <c r="G427" i="3"/>
  <c r="G435" i="3"/>
  <c r="BL435" i="3"/>
  <c r="BL436" i="3"/>
  <c r="G439" i="3"/>
  <c r="BA444" i="3"/>
  <c r="BA451" i="3"/>
  <c r="AZ451" i="3" s="1"/>
  <c r="BL455" i="3"/>
  <c r="BL462" i="3"/>
  <c r="G465" i="3"/>
  <c r="BA469" i="3"/>
  <c r="BL472" i="3"/>
  <c r="BA478" i="3"/>
  <c r="BL484" i="3"/>
  <c r="G486" i="3"/>
  <c r="G307" i="3"/>
  <c r="BA319" i="3"/>
  <c r="AZ319" i="3" s="1"/>
  <c r="BL324" i="3"/>
  <c r="BL328" i="3"/>
  <c r="AZ328" i="3" s="1"/>
  <c r="G329" i="3"/>
  <c r="G349" i="3"/>
  <c r="G358" i="3"/>
  <c r="G374" i="3"/>
  <c r="BL383" i="3"/>
  <c r="AZ383" i="3" s="1"/>
  <c r="BL208" i="3"/>
  <c r="G212" i="3"/>
  <c r="BA214" i="3"/>
  <c r="AZ214" i="3" s="1"/>
  <c r="BA217" i="3"/>
  <c r="BL224" i="3"/>
  <c r="G252" i="3"/>
  <c r="BA253" i="3"/>
  <c r="BL269" i="3"/>
  <c r="BA275" i="3"/>
  <c r="BA279" i="3"/>
  <c r="BA283" i="3"/>
  <c r="G286" i="3"/>
  <c r="G582" i="3"/>
  <c r="G574" i="3"/>
  <c r="G399" i="3"/>
  <c r="BL406" i="3"/>
  <c r="G408" i="3"/>
  <c r="G409" i="3"/>
  <c r="BA410" i="3"/>
  <c r="BL412" i="3"/>
  <c r="G413" i="3"/>
  <c r="G414" i="3"/>
  <c r="BL414" i="3"/>
  <c r="G419" i="3"/>
  <c r="BA419" i="3"/>
  <c r="AZ419" i="3" s="1"/>
  <c r="BL427" i="3"/>
  <c r="G428" i="3"/>
  <c r="BL428" i="3"/>
  <c r="BL429" i="3"/>
  <c r="BL433" i="3"/>
  <c r="G438" i="3"/>
  <c r="BA439" i="3"/>
  <c r="BA440" i="3"/>
  <c r="AZ440" i="3" s="1"/>
  <c r="BA442" i="3"/>
  <c r="BA448" i="3"/>
  <c r="G452" i="3"/>
  <c r="G458" i="3"/>
  <c r="BA466" i="3"/>
  <c r="G470" i="3"/>
  <c r="BA476" i="3"/>
  <c r="BA480" i="3"/>
  <c r="BA487" i="3"/>
  <c r="AZ487" i="3" s="1"/>
  <c r="BA488" i="3"/>
  <c r="AZ488" i="3" s="1"/>
  <c r="G492" i="3"/>
  <c r="BL340" i="3"/>
  <c r="AZ340" i="3" s="1"/>
  <c r="BA348" i="3"/>
  <c r="BA350" i="3"/>
  <c r="AZ350" i="3" s="1"/>
  <c r="BL367" i="3"/>
  <c r="BL375" i="3"/>
  <c r="AZ375" i="3" s="1"/>
  <c r="BL386" i="3"/>
  <c r="BA397" i="3"/>
  <c r="AZ397" i="3" s="1"/>
  <c r="BL397" i="3"/>
  <c r="BL214" i="3"/>
  <c r="BA228" i="3"/>
  <c r="BA231" i="3"/>
  <c r="BA235" i="3"/>
  <c r="BA239" i="3"/>
  <c r="AZ239" i="3" s="1"/>
  <c r="BL239" i="3"/>
  <c r="BL398" i="3"/>
  <c r="BL402" i="3"/>
  <c r="BL403" i="3"/>
  <c r="BL416" i="3"/>
  <c r="BL417" i="3"/>
  <c r="BL418" i="3"/>
  <c r="BA420" i="3"/>
  <c r="BL420" i="3"/>
  <c r="BL432" i="3"/>
  <c r="BA437" i="3"/>
  <c r="G442" i="3"/>
  <c r="G445" i="3"/>
  <c r="BA445" i="3"/>
  <c r="BA447" i="3"/>
  <c r="AZ447" i="3" s="1"/>
  <c r="G450" i="3"/>
  <c r="BL451" i="3"/>
  <c r="G456" i="3"/>
  <c r="BA463" i="3"/>
  <c r="BA465" i="3"/>
  <c r="AZ465" i="3" s="1"/>
  <c r="G468" i="3"/>
  <c r="BL469" i="3"/>
  <c r="G474" i="3"/>
  <c r="BL475" i="3"/>
  <c r="BL479" i="3"/>
  <c r="G482" i="3"/>
  <c r="BA485" i="3"/>
  <c r="G488" i="3"/>
  <c r="BL490" i="3"/>
  <c r="BA491" i="3"/>
  <c r="BA331" i="3"/>
  <c r="AZ331" i="3" s="1"/>
  <c r="BA335" i="3"/>
  <c r="AZ335" i="3" s="1"/>
  <c r="BA339" i="3"/>
  <c r="AZ339" i="3" s="1"/>
  <c r="G351" i="3"/>
  <c r="BL359" i="3"/>
  <c r="AZ359" i="3" s="1"/>
  <c r="BA366" i="3"/>
  <c r="AZ366" i="3" s="1"/>
  <c r="BL385" i="3"/>
  <c r="BA392" i="3"/>
  <c r="AZ392" i="3" s="1"/>
  <c r="BL395" i="3"/>
  <c r="G209" i="3"/>
  <c r="BA210" i="3"/>
  <c r="BL210" i="3"/>
  <c r="BL212" i="3"/>
  <c r="G214" i="3"/>
  <c r="BL219" i="3"/>
  <c r="G221" i="3"/>
  <c r="G225" i="3"/>
  <c r="BA255" i="3"/>
  <c r="G262" i="3"/>
  <c r="G287" i="3"/>
  <c r="BA288" i="3"/>
  <c r="BA291" i="3"/>
  <c r="AZ291" i="3" s="1"/>
  <c r="BL291" i="3"/>
  <c r="BA117" i="3"/>
  <c r="BA132" i="3"/>
  <c r="AZ132" i="3" s="1"/>
  <c r="BL135" i="3"/>
  <c r="AZ135" i="3" s="1"/>
  <c r="BA137" i="3"/>
  <c r="BA149" i="3"/>
  <c r="AZ149" i="3" s="1"/>
  <c r="BL149" i="3"/>
  <c r="BL150" i="3"/>
  <c r="BA152" i="3"/>
  <c r="AZ152" i="3" s="1"/>
  <c r="BA154" i="3"/>
  <c r="AZ154" i="3" s="1"/>
  <c r="BL161" i="3"/>
  <c r="BL169" i="3"/>
  <c r="BL170" i="3"/>
  <c r="BL179" i="3"/>
  <c r="AZ179" i="3" s="1"/>
  <c r="BA181" i="3"/>
  <c r="BA194" i="3"/>
  <c r="AZ194" i="3" s="1"/>
  <c r="BL194" i="3"/>
  <c r="BA198" i="3"/>
  <c r="BL205" i="3"/>
  <c r="BL206" i="3"/>
  <c r="BL24" i="3"/>
  <c r="BA43" i="3"/>
  <c r="BL44" i="3"/>
  <c r="BL45" i="3"/>
  <c r="BA50" i="3"/>
  <c r="BA51" i="3"/>
  <c r="G55" i="3"/>
  <c r="G64" i="3"/>
  <c r="G68" i="3"/>
  <c r="BA68" i="3"/>
  <c r="BA70" i="3"/>
  <c r="BL70" i="3"/>
  <c r="BL71" i="3"/>
  <c r="BA78" i="3"/>
  <c r="BA95" i="3"/>
  <c r="BL100" i="3"/>
  <c r="U68" i="71"/>
  <c r="E55" i="71"/>
  <c r="E56" i="71" s="1"/>
  <c r="U56" i="71" s="1"/>
  <c r="B59" i="71"/>
  <c r="B60" i="71" s="1"/>
  <c r="S60" i="71" s="1"/>
  <c r="Y27" i="71"/>
  <c r="Z27" i="71" s="1"/>
  <c r="C5" i="68"/>
  <c r="BL227" i="3"/>
  <c r="G234" i="3"/>
  <c r="BL234" i="3"/>
  <c r="BL248" i="3"/>
  <c r="G251" i="3"/>
  <c r="BA251" i="3"/>
  <c r="BL251" i="3"/>
  <c r="G255" i="3"/>
  <c r="BA256" i="3"/>
  <c r="AZ256" i="3" s="1"/>
  <c r="BL256" i="3"/>
  <c r="G261" i="3"/>
  <c r="BL261" i="3"/>
  <c r="BA269" i="3"/>
  <c r="AZ269" i="3" s="1"/>
  <c r="BA302" i="3"/>
  <c r="BL122" i="3"/>
  <c r="BA145" i="3"/>
  <c r="BA148" i="3"/>
  <c r="AZ148" i="3" s="1"/>
  <c r="BA157" i="3"/>
  <c r="BL158" i="3"/>
  <c r="BA160" i="3"/>
  <c r="AZ160" i="3" s="1"/>
  <c r="BA168" i="3"/>
  <c r="AZ168" i="3" s="1"/>
  <c r="BL173" i="3"/>
  <c r="AZ173" i="3" s="1"/>
  <c r="BL175" i="3"/>
  <c r="AZ175" i="3" s="1"/>
  <c r="BL193" i="3"/>
  <c r="BA201" i="3"/>
  <c r="BL23" i="3"/>
  <c r="BA30" i="3"/>
  <c r="BA40" i="3"/>
  <c r="G59" i="3"/>
  <c r="BA67" i="3"/>
  <c r="BL69" i="3"/>
  <c r="BL76" i="3"/>
  <c r="BA77" i="3"/>
  <c r="G92" i="3"/>
  <c r="BA92" i="3"/>
  <c r="BL99" i="3"/>
  <c r="G105" i="3"/>
  <c r="BA105" i="3"/>
  <c r="F3" i="35"/>
  <c r="AC18" i="35"/>
  <c r="W18" i="36"/>
  <c r="E71" i="71"/>
  <c r="E70" i="71" s="1"/>
  <c r="X26" i="71"/>
  <c r="AA37" i="71"/>
  <c r="Y29" i="71"/>
  <c r="Z29" i="71" s="1"/>
  <c r="F79" i="71"/>
  <c r="F78" i="71" s="1"/>
  <c r="BL222" i="3"/>
  <c r="BL225" i="3"/>
  <c r="BL226" i="3"/>
  <c r="G227" i="3"/>
  <c r="BA233" i="3"/>
  <c r="BA245" i="3"/>
  <c r="BA250" i="3"/>
  <c r="BL252" i="3"/>
  <c r="BL254" i="3"/>
  <c r="BA260" i="3"/>
  <c r="BL262" i="3"/>
  <c r="BL263" i="3"/>
  <c r="G264" i="3"/>
  <c r="BA265" i="3"/>
  <c r="BA267" i="3"/>
  <c r="AZ267" i="3" s="1"/>
  <c r="G270" i="3"/>
  <c r="G271" i="3"/>
  <c r="BA276" i="3"/>
  <c r="BL286" i="3"/>
  <c r="BA293" i="3"/>
  <c r="BL293" i="3"/>
  <c r="BL294" i="3"/>
  <c r="BA297" i="3"/>
  <c r="AZ297" i="3" s="1"/>
  <c r="BL297" i="3"/>
  <c r="BA301" i="3"/>
  <c r="BL127" i="3"/>
  <c r="AZ127" i="3" s="1"/>
  <c r="BA130" i="3"/>
  <c r="AZ130" i="3" s="1"/>
  <c r="BL130" i="3"/>
  <c r="G160" i="3"/>
  <c r="BL166" i="3"/>
  <c r="BA174" i="3"/>
  <c r="BL186" i="3"/>
  <c r="G187" i="3"/>
  <c r="G204" i="3"/>
  <c r="G205" i="3"/>
  <c r="BA22" i="3"/>
  <c r="BL30" i="3"/>
  <c r="BL31" i="3"/>
  <c r="G38" i="3"/>
  <c r="BL40" i="3"/>
  <c r="BL41" i="3"/>
  <c r="BA48" i="3"/>
  <c r="BA49" i="3"/>
  <c r="G58" i="3"/>
  <c r="BA62" i="3"/>
  <c r="G65" i="3"/>
  <c r="G66" i="3"/>
  <c r="G69" i="3"/>
  <c r="G80" i="3"/>
  <c r="BA80" i="3"/>
  <c r="G84" i="3"/>
  <c r="BL84" i="3"/>
  <c r="BA97" i="3"/>
  <c r="AZ97" i="3" s="1"/>
  <c r="BL97" i="3"/>
  <c r="G99" i="3"/>
  <c r="BA104" i="3"/>
  <c r="BA110" i="3"/>
  <c r="AZ110" i="3" s="1"/>
  <c r="AC21" i="33"/>
  <c r="S21" i="33"/>
  <c r="W29" i="39"/>
  <c r="AA18" i="35"/>
  <c r="C31" i="71"/>
  <c r="B66" i="71"/>
  <c r="E67" i="71"/>
  <c r="C59" i="71"/>
  <c r="B63" i="71"/>
  <c r="B64" i="71" s="1"/>
  <c r="S64" i="71" s="1"/>
  <c r="C7" i="39"/>
  <c r="C67" i="39" s="1"/>
  <c r="C7" i="34"/>
  <c r="C7" i="40"/>
  <c r="C63" i="40" s="1"/>
  <c r="J51" i="67"/>
  <c r="J53" i="67" s="1"/>
  <c r="C18" i="9"/>
  <c r="D18" i="9" s="1"/>
  <c r="AC34" i="21"/>
  <c r="U34" i="21"/>
  <c r="AB32" i="21"/>
  <c r="S42" i="21"/>
  <c r="AC42" i="21"/>
  <c r="AB42" i="21"/>
  <c r="U40" i="21"/>
  <c r="W39" i="21"/>
  <c r="AA36" i="21"/>
  <c r="F89" i="21"/>
  <c r="G89" i="21" s="1"/>
  <c r="H89" i="21" s="1"/>
  <c r="J26" i="21"/>
  <c r="W26" i="21" s="1"/>
  <c r="U28" i="21"/>
  <c r="H29" i="21"/>
  <c r="AA31" i="21"/>
  <c r="F29" i="21"/>
  <c r="AA29" i="21" s="1"/>
  <c r="W29" i="21"/>
  <c r="AB9" i="21"/>
  <c r="A24" i="51"/>
  <c r="B18" i="72" s="1"/>
  <c r="C21" i="68"/>
  <c r="BA13" i="3"/>
  <c r="C7" i="21"/>
  <c r="C42" i="1"/>
  <c r="C24" i="12" s="1"/>
  <c r="C7" i="37"/>
  <c r="C52" i="37" s="1"/>
  <c r="D52" i="37" s="1"/>
  <c r="G23" i="43"/>
  <c r="C23" i="43" s="1"/>
  <c r="C7" i="33"/>
  <c r="M47" i="9"/>
  <c r="C7" i="35"/>
  <c r="C48" i="35" s="1"/>
  <c r="D48" i="35" s="1"/>
  <c r="E48" i="35" s="1"/>
  <c r="S15" i="39"/>
  <c r="AC36" i="40"/>
  <c r="AZ14" i="3"/>
  <c r="AZ338" i="3"/>
  <c r="AZ347" i="3"/>
  <c r="AZ344" i="3"/>
  <c r="AZ305" i="3"/>
  <c r="AZ306" i="3"/>
  <c r="AA11" i="39"/>
  <c r="U19" i="40"/>
  <c r="AB19" i="40"/>
  <c r="AZ520" i="3"/>
  <c r="U33" i="40"/>
  <c r="AB33" i="40"/>
  <c r="S47" i="34"/>
  <c r="AA47" i="34"/>
  <c r="U46" i="34"/>
  <c r="AB46" i="34"/>
  <c r="W31" i="33"/>
  <c r="AC31" i="33"/>
  <c r="U30" i="21"/>
  <c r="AB30" i="21"/>
  <c r="U26" i="37"/>
  <c r="AB26" i="37"/>
  <c r="AA8" i="40"/>
  <c r="S8" i="40"/>
  <c r="J12" i="40"/>
  <c r="H12" i="40"/>
  <c r="AB36" i="33"/>
  <c r="S32" i="21"/>
  <c r="AB45" i="21"/>
  <c r="S32" i="37"/>
  <c r="AZ391" i="3"/>
  <c r="W29" i="37"/>
  <c r="AC29" i="37"/>
  <c r="S35" i="37"/>
  <c r="AA35" i="37"/>
  <c r="AB36" i="40"/>
  <c r="U36" i="40"/>
  <c r="AA40" i="21"/>
  <c r="S40" i="21"/>
  <c r="B101" i="43"/>
  <c r="B79" i="43"/>
  <c r="C25" i="39"/>
  <c r="AB9" i="33"/>
  <c r="U9" i="33"/>
  <c r="AB40" i="33"/>
  <c r="U40" i="33"/>
  <c r="AA35" i="34"/>
  <c r="S35" i="34"/>
  <c r="AC23" i="21"/>
  <c r="AC34" i="33"/>
  <c r="AZ326" i="3"/>
  <c r="AZ364" i="3"/>
  <c r="U40" i="39"/>
  <c r="AA43" i="33"/>
  <c r="S43" i="33"/>
  <c r="G521" i="3"/>
  <c r="AC5" i="3"/>
  <c r="S14" i="37"/>
  <c r="AA14" i="37"/>
  <c r="U14" i="33"/>
  <c r="AB14" i="33"/>
  <c r="AA44" i="34"/>
  <c r="S44" i="34"/>
  <c r="W36" i="34"/>
  <c r="AC36" i="34"/>
  <c r="S29" i="35"/>
  <c r="AA29" i="35"/>
  <c r="AB15" i="34"/>
  <c r="U15" i="34"/>
  <c r="U40" i="34"/>
  <c r="AB40" i="34"/>
  <c r="J27" i="21"/>
  <c r="H27" i="21"/>
  <c r="F27" i="21"/>
  <c r="J45" i="21"/>
  <c r="F45" i="21"/>
  <c r="AB34" i="34"/>
  <c r="U34" i="34"/>
  <c r="H13" i="33"/>
  <c r="U13" i="33" s="1"/>
  <c r="F13" i="33"/>
  <c r="H31" i="33"/>
  <c r="F31" i="33"/>
  <c r="J12" i="34"/>
  <c r="F12" i="34"/>
  <c r="S12" i="34" s="1"/>
  <c r="H12" i="34"/>
  <c r="H30" i="34"/>
  <c r="F30" i="34"/>
  <c r="F46" i="34"/>
  <c r="J46" i="34"/>
  <c r="J11" i="35"/>
  <c r="F11" i="35"/>
  <c r="W27" i="35"/>
  <c r="AC27" i="35"/>
  <c r="U20" i="35"/>
  <c r="AB20" i="35"/>
  <c r="AZ502" i="3"/>
  <c r="U37" i="37"/>
  <c r="AB37" i="37"/>
  <c r="AB13" i="36"/>
  <c r="U13" i="36"/>
  <c r="U45" i="33"/>
  <c r="AB45" i="33"/>
  <c r="AB17" i="39"/>
  <c r="U17" i="39"/>
  <c r="U34" i="39"/>
  <c r="AB34" i="39"/>
  <c r="W35" i="21"/>
  <c r="AC35" i="21"/>
  <c r="BA569" i="3"/>
  <c r="BL568" i="3"/>
  <c r="BA568" i="3"/>
  <c r="AZ568" i="3" s="1"/>
  <c r="BL566" i="3"/>
  <c r="AZ566" i="3" s="1"/>
  <c r="BA565" i="3"/>
  <c r="BL564" i="3"/>
  <c r="BA564" i="3"/>
  <c r="AZ564" i="3" s="1"/>
  <c r="BA563" i="3"/>
  <c r="AZ563" i="3" s="1"/>
  <c r="BA562" i="3"/>
  <c r="BA561" i="3"/>
  <c r="AZ561" i="3" s="1"/>
  <c r="BP5" i="3"/>
  <c r="G29" i="6" s="1"/>
  <c r="BG5" i="3"/>
  <c r="BA560" i="3"/>
  <c r="AZ560" i="3" s="1"/>
  <c r="BL558" i="3"/>
  <c r="AZ558" i="3" s="1"/>
  <c r="BO5" i="3"/>
  <c r="F29" i="6" s="1"/>
  <c r="BF5" i="3"/>
  <c r="H5" i="3"/>
  <c r="BL556" i="3"/>
  <c r="BA556" i="3"/>
  <c r="U41" i="39"/>
  <c r="S37" i="37"/>
  <c r="AA19" i="40"/>
  <c r="AZ357" i="3"/>
  <c r="AZ322" i="3"/>
  <c r="AZ313" i="3"/>
  <c r="AZ394" i="3"/>
  <c r="S14" i="40"/>
  <c r="AA25" i="21"/>
  <c r="AC28" i="34"/>
  <c r="AZ519" i="3"/>
  <c r="AZ531" i="3"/>
  <c r="BL559" i="3"/>
  <c r="AZ559" i="3" s="1"/>
  <c r="AZ573" i="3"/>
  <c r="AZ583" i="3"/>
  <c r="AZ576" i="3"/>
  <c r="AA14" i="34"/>
  <c r="G585" i="3"/>
  <c r="BL587" i="3"/>
  <c r="AZ587" i="3" s="1"/>
  <c r="BL586" i="3"/>
  <c r="AZ586" i="3" s="1"/>
  <c r="AB33" i="33"/>
  <c r="U33" i="33"/>
  <c r="AB30" i="37"/>
  <c r="U30" i="37"/>
  <c r="F25" i="37"/>
  <c r="H25" i="37"/>
  <c r="U8" i="39"/>
  <c r="AB8" i="39"/>
  <c r="AZ523" i="3"/>
  <c r="AZ547" i="3"/>
  <c r="BL569" i="3"/>
  <c r="BL557" i="3"/>
  <c r="AZ557" i="3" s="1"/>
  <c r="AZ571" i="3"/>
  <c r="AZ579" i="3"/>
  <c r="F9" i="34"/>
  <c r="AA9" i="34" s="1"/>
  <c r="H9" i="34"/>
  <c r="U12" i="35"/>
  <c r="AB12" i="35"/>
  <c r="F12" i="35"/>
  <c r="J12" i="35"/>
  <c r="H23" i="36"/>
  <c r="J23" i="36"/>
  <c r="F23" i="36"/>
  <c r="AC31" i="40"/>
  <c r="W31" i="40"/>
  <c r="AZ539" i="3"/>
  <c r="BL565" i="3"/>
  <c r="G557" i="3"/>
  <c r="AZ529" i="3"/>
  <c r="AZ537" i="3"/>
  <c r="AZ518" i="3"/>
  <c r="AZ546" i="3"/>
  <c r="S27" i="35"/>
  <c r="BL585" i="3"/>
  <c r="AZ585" i="3" s="1"/>
  <c r="B72" i="43"/>
  <c r="C15" i="39"/>
  <c r="F9" i="33"/>
  <c r="AA9" i="33" s="1"/>
  <c r="J9" i="33"/>
  <c r="J9" i="34"/>
  <c r="H31" i="39"/>
  <c r="J31" i="39"/>
  <c r="G587" i="3"/>
  <c r="J23" i="35"/>
  <c r="H23" i="35"/>
  <c r="BA551" i="3"/>
  <c r="AZ551" i="3" s="1"/>
  <c r="BA550" i="3"/>
  <c r="BL548" i="3"/>
  <c r="AZ548" i="3" s="1"/>
  <c r="G398" i="3"/>
  <c r="BL400" i="3"/>
  <c r="BL408" i="3"/>
  <c r="AZ408" i="3" s="1"/>
  <c r="BL411" i="3"/>
  <c r="AZ411" i="3" s="1"/>
  <c r="BL413" i="3"/>
  <c r="AZ413" i="3" s="1"/>
  <c r="G415" i="3"/>
  <c r="AZ458" i="3"/>
  <c r="AZ462" i="3"/>
  <c r="C67" i="71"/>
  <c r="T68" i="71"/>
  <c r="O68" i="71"/>
  <c r="D68" i="71"/>
  <c r="T76" i="71"/>
  <c r="D76" i="71"/>
  <c r="C75" i="71"/>
  <c r="Y26" i="71"/>
  <c r="Z26" i="71" s="1"/>
  <c r="Y25" i="71"/>
  <c r="Z25" i="71" s="1"/>
  <c r="AA3" i="71"/>
  <c r="AZ400" i="3"/>
  <c r="AZ402" i="3"/>
  <c r="AZ406" i="3"/>
  <c r="BL415" i="3"/>
  <c r="BA417" i="3"/>
  <c r="AZ417" i="3" s="1"/>
  <c r="BL421" i="3"/>
  <c r="BL422" i="3"/>
  <c r="BL425" i="3"/>
  <c r="BL426" i="3"/>
  <c r="BA428" i="3"/>
  <c r="AZ428" i="3" s="1"/>
  <c r="BA429" i="3"/>
  <c r="AZ429" i="3" s="1"/>
  <c r="BA430" i="3"/>
  <c r="AZ430" i="3" s="1"/>
  <c r="BA432" i="3"/>
  <c r="AZ432" i="3" s="1"/>
  <c r="BA434" i="3"/>
  <c r="BA436" i="3"/>
  <c r="BA438" i="3"/>
  <c r="G443" i="3"/>
  <c r="BA446" i="3"/>
  <c r="BA450" i="3"/>
  <c r="AZ450" i="3" s="1"/>
  <c r="BA453" i="3"/>
  <c r="AZ453" i="3" s="1"/>
  <c r="BA455" i="3"/>
  <c r="AZ455" i="3" s="1"/>
  <c r="BL457" i="3"/>
  <c r="BL460" i="3"/>
  <c r="BL461" i="3"/>
  <c r="BL463" i="3"/>
  <c r="BA471" i="3"/>
  <c r="AZ471" i="3" s="1"/>
  <c r="BL317"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7" i="3"/>
  <c r="BL238" i="3"/>
  <c r="G239" i="3"/>
  <c r="BA241" i="3"/>
  <c r="BL241" i="3"/>
  <c r="BA243" i="3"/>
  <c r="BA248" i="3"/>
  <c r="AZ248" i="3" s="1"/>
  <c r="BA249" i="3"/>
  <c r="BL249" i="3"/>
  <c r="BA252" i="3"/>
  <c r="AZ252" i="3" s="1"/>
  <c r="BA254" i="3"/>
  <c r="AZ254" i="3" s="1"/>
  <c r="BL260" i="3"/>
  <c r="BA271" i="3"/>
  <c r="BL271" i="3"/>
  <c r="BL280" i="3"/>
  <c r="BA286" i="3"/>
  <c r="AZ286" i="3" s="1"/>
  <c r="AZ125" i="3"/>
  <c r="AC21" i="21"/>
  <c r="W21" i="21"/>
  <c r="F40" i="69"/>
  <c r="C40" i="69"/>
  <c r="AB21" i="37"/>
  <c r="U21" i="37"/>
  <c r="AB34" i="71"/>
  <c r="AB32" i="71"/>
  <c r="AA38" i="71"/>
  <c r="AA28" i="71"/>
  <c r="AA35" i="71"/>
  <c r="C47" i="71"/>
  <c r="D47" i="71" s="1"/>
  <c r="D46" i="71"/>
  <c r="D50" i="71"/>
  <c r="C51" i="71"/>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AZ435" i="3" s="1"/>
  <c r="BL437" i="3"/>
  <c r="AZ437" i="3" s="1"/>
  <c r="G440" i="3"/>
  <c r="BL441" i="3"/>
  <c r="BL442" i="3"/>
  <c r="BL444" i="3"/>
  <c r="AZ444" i="3" s="1"/>
  <c r="G447" i="3"/>
  <c r="BL448" i="3"/>
  <c r="AZ448" i="3" s="1"/>
  <c r="G451" i="3"/>
  <c r="BA454" i="3"/>
  <c r="AZ454" i="3" s="1"/>
  <c r="BA457" i="3"/>
  <c r="AZ457" i="3" s="1"/>
  <c r="BA459" i="3"/>
  <c r="AZ459" i="3" s="1"/>
  <c r="BA460" i="3"/>
  <c r="BA461" i="3"/>
  <c r="BL464" i="3"/>
  <c r="BL466" i="3"/>
  <c r="AZ466" i="3" s="1"/>
  <c r="G469" i="3"/>
  <c r="BL476" i="3"/>
  <c r="AZ476" i="3" s="1"/>
  <c r="BL477" i="3"/>
  <c r="AZ477" i="3" s="1"/>
  <c r="BL478" i="3"/>
  <c r="BL480" i="3"/>
  <c r="AZ480" i="3" s="1"/>
  <c r="BA483" i="3"/>
  <c r="BL483" i="3"/>
  <c r="BA486" i="3"/>
  <c r="BL489" i="3"/>
  <c r="BL491" i="3"/>
  <c r="AZ491" i="3" s="1"/>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L231" i="3"/>
  <c r="BL233" i="3"/>
  <c r="AZ233" i="3" s="1"/>
  <c r="BL235" i="3"/>
  <c r="AZ235" i="3" s="1"/>
  <c r="BL236" i="3"/>
  <c r="BA247" i="3"/>
  <c r="AZ247" i="3" s="1"/>
  <c r="BL247" i="3"/>
  <c r="BL250" i="3"/>
  <c r="AZ250" i="3" s="1"/>
  <c r="G258" i="3"/>
  <c r="BA263" i="3"/>
  <c r="AZ263" i="3" s="1"/>
  <c r="G266" i="3"/>
  <c r="BA268" i="3"/>
  <c r="G276" i="3"/>
  <c r="BA277" i="3"/>
  <c r="AZ277" i="3" s="1"/>
  <c r="BL277" i="3"/>
  <c r="BA281" i="3"/>
  <c r="G284" i="3"/>
  <c r="G291" i="3"/>
  <c r="BL298" i="3"/>
  <c r="G138" i="3"/>
  <c r="BA156" i="3"/>
  <c r="AZ156" i="3" s="1"/>
  <c r="BL181" i="3"/>
  <c r="AZ181" i="3" s="1"/>
  <c r="BL198" i="3"/>
  <c r="AZ198" i="3" s="1"/>
  <c r="AB27" i="71"/>
  <c r="D31" i="71"/>
  <c r="C32" i="71"/>
  <c r="BL16" i="3"/>
  <c r="AZ16" i="3" s="1"/>
  <c r="BA401" i="3"/>
  <c r="AZ401" i="3" s="1"/>
  <c r="BA403" i="3"/>
  <c r="AZ403" i="3" s="1"/>
  <c r="BA404" i="3"/>
  <c r="BA405" i="3"/>
  <c r="BL410" i="3"/>
  <c r="G412" i="3"/>
  <c r="G418" i="3"/>
  <c r="BA422" i="3"/>
  <c r="AZ422" i="3" s="1"/>
  <c r="G429" i="3"/>
  <c r="BL431" i="3"/>
  <c r="G433" i="3"/>
  <c r="BL434" i="3"/>
  <c r="AZ434" i="3" s="1"/>
  <c r="G436" i="3"/>
  <c r="G437" i="3"/>
  <c r="BL438" i="3"/>
  <c r="BL439" i="3"/>
  <c r="BA441" i="3"/>
  <c r="AZ441" i="3" s="1"/>
  <c r="BL445" i="3"/>
  <c r="BL446" i="3"/>
  <c r="BL449" i="3"/>
  <c r="BL450" i="3"/>
  <c r="BL452" i="3"/>
  <c r="G454" i="3"/>
  <c r="G455" i="3"/>
  <c r="BL456" i="3"/>
  <c r="AZ456"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A238" i="3"/>
  <c r="BL242" i="3"/>
  <c r="BL243" i="3"/>
  <c r="G244" i="3"/>
  <c r="BA246" i="3"/>
  <c r="G256" i="3"/>
  <c r="BA258" i="3"/>
  <c r="BL266" i="3"/>
  <c r="BL272" i="3"/>
  <c r="BL273" i="3"/>
  <c r="G274" i="3"/>
  <c r="BL278" i="3"/>
  <c r="G279" i="3"/>
  <c r="BA284" i="3"/>
  <c r="G302" i="3"/>
  <c r="BA133" i="3"/>
  <c r="BA177" i="3"/>
  <c r="AZ103" i="3"/>
  <c r="C44" i="71"/>
  <c r="D43" i="71"/>
  <c r="BA296" i="3"/>
  <c r="BA116" i="3"/>
  <c r="AZ116" i="3" s="1"/>
  <c r="BA121" i="3"/>
  <c r="BL121" i="3"/>
  <c r="BA124" i="3"/>
  <c r="AZ124" i="3" s="1"/>
  <c r="BA126" i="3"/>
  <c r="BA129" i="3"/>
  <c r="BL133" i="3"/>
  <c r="BL139" i="3"/>
  <c r="AZ139" i="3" s="1"/>
  <c r="BL141" i="3"/>
  <c r="BL143" i="3"/>
  <c r="AZ143" i="3" s="1"/>
  <c r="BL157" i="3"/>
  <c r="AZ157" i="3" s="1"/>
  <c r="BL159" i="3"/>
  <c r="AZ159" i="3" s="1"/>
  <c r="BL177" i="3"/>
  <c r="BL183" i="3"/>
  <c r="AZ183" i="3" s="1"/>
  <c r="BA186" i="3"/>
  <c r="AZ186" i="3" s="1"/>
  <c r="BA190" i="3"/>
  <c r="BA197" i="3"/>
  <c r="BL201" i="3"/>
  <c r="AZ201" i="3" s="1"/>
  <c r="BL203" i="3"/>
  <c r="AZ203" i="3" s="1"/>
  <c r="BA204" i="3"/>
  <c r="AZ204" i="3" s="1"/>
  <c r="BA18" i="3"/>
  <c r="AZ18" i="3" s="1"/>
  <c r="BL21" i="3"/>
  <c r="G23" i="3"/>
  <c r="BL29" i="3"/>
  <c r="G33" i="3"/>
  <c r="G34" i="3"/>
  <c r="BA37" i="3"/>
  <c r="BL39" i="3"/>
  <c r="G43" i="3"/>
  <c r="G44" i="3"/>
  <c r="BA45" i="3"/>
  <c r="AZ45" i="3" s="1"/>
  <c r="BA46" i="3"/>
  <c r="BL49" i="3"/>
  <c r="AZ49" i="3" s="1"/>
  <c r="BL50" i="3"/>
  <c r="AZ50" i="3" s="1"/>
  <c r="BL51" i="3"/>
  <c r="AZ51" i="3" s="1"/>
  <c r="BL64" i="3"/>
  <c r="BL65" i="3"/>
  <c r="AZ65" i="3" s="1"/>
  <c r="BL66" i="3"/>
  <c r="BL67" i="3"/>
  <c r="AZ67" i="3" s="1"/>
  <c r="G72" i="3"/>
  <c r="BL73" i="3"/>
  <c r="BA74" i="3"/>
  <c r="BL79" i="3"/>
  <c r="BL81" i="3"/>
  <c r="BA82" i="3"/>
  <c r="AZ82" i="3" s="1"/>
  <c r="BL83" i="3"/>
  <c r="BA87" i="3"/>
  <c r="BA89" i="3"/>
  <c r="BL93" i="3"/>
  <c r="U21" i="33"/>
  <c r="AB21" i="33"/>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T64" i="71" s="1"/>
  <c r="D63" i="71"/>
  <c r="C23" i="71"/>
  <c r="B22" i="71"/>
  <c r="B21" i="71" s="1"/>
  <c r="B20" i="71" s="1"/>
  <c r="BA237" i="3"/>
  <c r="BL240" i="3"/>
  <c r="AZ240" i="3" s="1"/>
  <c r="BA242" i="3"/>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AZ302" i="3" s="1"/>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AZ185" i="3" s="1"/>
  <c r="BL191" i="3"/>
  <c r="AZ191" i="3" s="1"/>
  <c r="G192" i="3"/>
  <c r="BA193" i="3"/>
  <c r="BA196" i="3"/>
  <c r="AZ196" i="3" s="1"/>
  <c r="G203" i="3"/>
  <c r="BA205" i="3"/>
  <c r="AZ205" i="3" s="1"/>
  <c r="G20" i="3"/>
  <c r="BL20" i="3"/>
  <c r="BA21" i="3"/>
  <c r="BA25" i="3"/>
  <c r="BA26" i="3"/>
  <c r="G28" i="3"/>
  <c r="BL28" i="3"/>
  <c r="BA29" i="3"/>
  <c r="AZ29" i="3" s="1"/>
  <c r="BA36" i="3"/>
  <c r="BL38" i="3"/>
  <c r="BA39" i="3"/>
  <c r="AZ39" i="3" s="1"/>
  <c r="BL47" i="3"/>
  <c r="AZ47" i="3" s="1"/>
  <c r="G49" i="3"/>
  <c r="G50" i="3"/>
  <c r="G52" i="3"/>
  <c r="BA52" i="3"/>
  <c r="AZ52" i="3" s="1"/>
  <c r="BA53" i="3"/>
  <c r="BA54" i="3"/>
  <c r="AZ54" i="3" s="1"/>
  <c r="BL57" i="3"/>
  <c r="G62" i="3"/>
  <c r="BL62" i="3"/>
  <c r="AZ62" i="3" s="1"/>
  <c r="BL63" i="3"/>
  <c r="G67" i="3"/>
  <c r="BL68" i="3"/>
  <c r="AZ68" i="3" s="1"/>
  <c r="BA69" i="3"/>
  <c r="AZ69" i="3" s="1"/>
  <c r="BA73" i="3"/>
  <c r="G78" i="3"/>
  <c r="G79" i="3"/>
  <c r="G81" i="3"/>
  <c r="G85" i="3"/>
  <c r="BL85" i="3"/>
  <c r="BA86" i="3"/>
  <c r="AZ86" i="3" s="1"/>
  <c r="G93" i="3"/>
  <c r="BA98" i="3"/>
  <c r="BL103" i="3"/>
  <c r="G104" i="3"/>
  <c r="BA106" i="3"/>
  <c r="AZ106" i="3" s="1"/>
  <c r="BL108" i="3"/>
  <c r="AZ108" i="3" s="1"/>
  <c r="C86" i="71"/>
  <c r="D86" i="71" s="1"/>
  <c r="D87" i="71"/>
  <c r="C36" i="71"/>
  <c r="D35" i="71"/>
  <c r="Y35" i="71"/>
  <c r="Z35" i="71" s="1"/>
  <c r="S80" i="71"/>
  <c r="B79" i="71"/>
  <c r="B78" i="71" s="1"/>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AZ19" i="3" s="1"/>
  <c r="BA20" i="3"/>
  <c r="AZ20" i="3" s="1"/>
  <c r="BL25" i="3"/>
  <c r="BL27" i="3"/>
  <c r="AZ27" i="3" s="1"/>
  <c r="BA28" i="3"/>
  <c r="BA31" i="3"/>
  <c r="AZ31" i="3" s="1"/>
  <c r="BA32" i="3"/>
  <c r="BA38" i="3"/>
  <c r="BA41" i="3"/>
  <c r="AZ41" i="3" s="1"/>
  <c r="BA42" i="3"/>
  <c r="G46" i="3"/>
  <c r="BL48" i="3"/>
  <c r="BL54" i="3"/>
  <c r="BL55" i="3"/>
  <c r="AZ55" i="3" s="1"/>
  <c r="G57" i="3"/>
  <c r="BA59" i="3"/>
  <c r="AZ59" i="3" s="1"/>
  <c r="G61" i="3"/>
  <c r="BL61" i="3"/>
  <c r="AZ61" i="3" s="1"/>
  <c r="BA64" i="3"/>
  <c r="AZ64" i="3" s="1"/>
  <c r="BL74" i="3"/>
  <c r="G75" i="3"/>
  <c r="BL75" i="3"/>
  <c r="AZ75" i="3" s="1"/>
  <c r="G89" i="3"/>
  <c r="BA90" i="3"/>
  <c r="BL101" i="3"/>
  <c r="BL102" i="3"/>
  <c r="BA109" i="3"/>
  <c r="E39" i="71"/>
  <c r="E40" i="71" s="1"/>
  <c r="U40" i="71" s="1"/>
  <c r="Y37" i="71"/>
  <c r="Z37" i="71" s="1"/>
  <c r="F66" i="71"/>
  <c r="Q66" i="71" s="1"/>
  <c r="Q67" i="71"/>
  <c r="X25" i="71"/>
  <c r="V24" i="71"/>
  <c r="E23" i="71"/>
  <c r="E22" i="71" s="1"/>
  <c r="E21" i="71" s="1"/>
  <c r="E20" i="71" s="1"/>
  <c r="E19" i="71" s="1"/>
  <c r="E18" i="71" s="1"/>
  <c r="E17" i="71" s="1"/>
  <c r="E16" i="71" s="1"/>
  <c r="M23" i="43" s="1"/>
  <c r="BL111" i="3"/>
  <c r="AA27" i="71"/>
  <c r="S28" i="71"/>
  <c r="C83" i="71"/>
  <c r="C79" i="71"/>
  <c r="C71" i="71"/>
  <c r="C39" i="71"/>
  <c r="Y28" i="71"/>
  <c r="Z28" i="71" s="1"/>
  <c r="Y30" i="71"/>
  <c r="Z30" i="71" s="1"/>
  <c r="X28" i="71"/>
  <c r="X32" i="71"/>
  <c r="AB38" i="71"/>
  <c r="F75" i="71"/>
  <c r="F74" i="71" s="1"/>
  <c r="G53" i="3"/>
  <c r="BL53" i="3"/>
  <c r="BA56" i="3"/>
  <c r="BA57" i="3"/>
  <c r="AZ57" i="3" s="1"/>
  <c r="BL58" i="3"/>
  <c r="AZ58" i="3" s="1"/>
  <c r="G60" i="3"/>
  <c r="BA60" i="3"/>
  <c r="BA63" i="3"/>
  <c r="BA66" i="3"/>
  <c r="BA71" i="3"/>
  <c r="AZ71" i="3" s="1"/>
  <c r="G76" i="3"/>
  <c r="BL77" i="3"/>
  <c r="AZ77" i="3" s="1"/>
  <c r="BA79" i="3"/>
  <c r="G82" i="3"/>
  <c r="G83" i="3"/>
  <c r="BA84" i="3"/>
  <c r="AZ84" i="3" s="1"/>
  <c r="BL88" i="3"/>
  <c r="AZ88" i="3" s="1"/>
  <c r="G90" i="3"/>
  <c r="BL90" i="3"/>
  <c r="BL92" i="3"/>
  <c r="G101" i="3"/>
  <c r="BA101" i="3"/>
  <c r="AZ101" i="3" s="1"/>
  <c r="G108" i="3"/>
  <c r="G109" i="3"/>
  <c r="BL112" i="3"/>
  <c r="U25" i="40"/>
  <c r="S21" i="34"/>
  <c r="B68" i="43"/>
  <c r="B88" i="43"/>
  <c r="F35" i="71"/>
  <c r="F36" i="71" s="1"/>
  <c r="V36" i="71" s="1"/>
  <c r="AA34" i="71"/>
  <c r="BL94" i="3"/>
  <c r="AZ94" i="3" s="1"/>
  <c r="BA100" i="3"/>
  <c r="AZ100" i="3" s="1"/>
  <c r="BA102" i="3"/>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67" i="3"/>
  <c r="AZ468" i="3"/>
  <c r="AZ470" i="3"/>
  <c r="W35" i="39"/>
  <c r="F27" i="34"/>
  <c r="C21" i="39"/>
  <c r="U9" i="36"/>
  <c r="U14" i="37"/>
  <c r="H12" i="21"/>
  <c r="G526" i="3"/>
  <c r="AZ420" i="3"/>
  <c r="AZ424" i="3"/>
  <c r="AZ436" i="3"/>
  <c r="AZ438" i="3"/>
  <c r="AZ446"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90" i="3"/>
  <c r="AZ153"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40" i="3"/>
  <c r="AZ4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BA96" i="3"/>
  <c r="AZ96" i="3" s="1"/>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14" i="6"/>
  <c r="E63" i="39" s="1"/>
  <c r="I4" i="6"/>
  <c r="G3" i="43" s="1"/>
  <c r="H26" i="43" s="1"/>
  <c r="E28" i="6"/>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I54" i="67"/>
  <c r="M7" i="15"/>
  <c r="J6" i="15" s="1"/>
  <c r="F50" i="15"/>
  <c r="F51" i="15"/>
  <c r="F71" i="15"/>
  <c r="C6" i="15"/>
  <c r="F66" i="67"/>
  <c r="L59" i="15"/>
  <c r="N59" i="15"/>
  <c r="L58" i="15"/>
  <c r="M59" i="15"/>
  <c r="F66" i="15"/>
  <c r="Q71" i="67"/>
  <c r="F64" i="15"/>
  <c r="C27" i="67"/>
  <c r="F71" i="67"/>
  <c r="C27" i="15"/>
  <c r="F65" i="15"/>
  <c r="L58" i="67"/>
  <c r="B13" i="70"/>
  <c r="M7" i="67"/>
  <c r="J6" i="67" s="1"/>
  <c r="F50" i="67"/>
  <c r="F68" i="67"/>
  <c r="F64" i="67"/>
  <c r="F68" i="15"/>
  <c r="D9" i="68"/>
  <c r="F8" i="67"/>
  <c r="D4" i="73"/>
  <c r="D9" i="69"/>
  <c r="C36" i="69"/>
  <c r="C16" i="67"/>
  <c r="D3" i="73"/>
  <c r="D5" i="73"/>
  <c r="C16" i="15"/>
  <c r="D7" i="73"/>
  <c r="F31" i="67" l="1"/>
  <c r="C6" i="67"/>
  <c r="F51" i="67"/>
  <c r="AZ197" i="3"/>
  <c r="AZ284" i="3"/>
  <c r="AZ368" i="3"/>
  <c r="E66" i="71"/>
  <c r="P67" i="71"/>
  <c r="AZ251" i="3"/>
  <c r="AZ70" i="3"/>
  <c r="AA38" i="40"/>
  <c r="S38" i="40"/>
  <c r="AC26" i="33"/>
  <c r="W26" i="33"/>
  <c r="AB39" i="37"/>
  <c r="U39" i="37"/>
  <c r="AA27" i="37"/>
  <c r="S27" i="37"/>
  <c r="AZ36" i="3"/>
  <c r="AZ287" i="3"/>
  <c r="AZ209" i="3"/>
  <c r="V20" i="71"/>
  <c r="AZ79" i="3"/>
  <c r="AZ66" i="3"/>
  <c r="AZ90" i="3"/>
  <c r="AZ178" i="3"/>
  <c r="AZ118" i="3"/>
  <c r="AZ25" i="3"/>
  <c r="AZ273" i="3"/>
  <c r="AZ238" i="3"/>
  <c r="AZ332" i="3"/>
  <c r="AZ404" i="3"/>
  <c r="AZ461" i="3"/>
  <c r="AZ550" i="3"/>
  <c r="AZ569" i="3"/>
  <c r="N65" i="71"/>
  <c r="N66" i="71"/>
  <c r="AZ469" i="3"/>
  <c r="AA44" i="39"/>
  <c r="S44" i="39"/>
  <c r="W28" i="21"/>
  <c r="AC28" i="21"/>
  <c r="D121" i="9"/>
  <c r="D7" i="52" s="1"/>
  <c r="D6" i="52"/>
  <c r="AA37" i="39"/>
  <c r="S37" i="39"/>
  <c r="S36" i="39"/>
  <c r="AA36" i="39"/>
  <c r="AA28" i="34"/>
  <c r="S28" i="34"/>
  <c r="S13" i="36"/>
  <c r="AA13" i="36"/>
  <c r="AB28" i="34"/>
  <c r="U28" i="34"/>
  <c r="AZ21" i="3"/>
  <c r="AZ242" i="3"/>
  <c r="AZ464" i="3"/>
  <c r="AZ425" i="3"/>
  <c r="AZ210" i="3"/>
  <c r="AB44" i="39"/>
  <c r="U44" i="39"/>
  <c r="AC37" i="39"/>
  <c r="W37" i="39"/>
  <c r="AB33" i="36"/>
  <c r="U33" i="36"/>
  <c r="AC40" i="37"/>
  <c r="W40" i="37"/>
  <c r="AA31" i="40"/>
  <c r="S31" i="40"/>
  <c r="AZ258" i="3"/>
  <c r="C60" i="71"/>
  <c r="D59" i="71"/>
  <c r="AB38" i="40"/>
  <c r="U38" i="40"/>
  <c r="U31" i="21"/>
  <c r="AB31" i="21"/>
  <c r="N370" i="46"/>
  <c r="N59" i="67"/>
  <c r="J57" i="67"/>
  <c r="J55" i="67" s="1"/>
  <c r="J58" i="67" s="1"/>
  <c r="Q50" i="67" s="1"/>
  <c r="L59" i="67"/>
  <c r="Q61" i="67" s="1"/>
  <c r="L56" i="67"/>
  <c r="M59" i="67"/>
  <c r="J7" i="36"/>
  <c r="C36" i="68"/>
  <c r="AC26" i="21"/>
  <c r="I89" i="21"/>
  <c r="H26" i="21"/>
  <c r="U29" i="21"/>
  <c r="AB29" i="21"/>
  <c r="C30" i="68"/>
  <c r="C28" i="67"/>
  <c r="C31" i="12"/>
  <c r="C28" i="15"/>
  <c r="G26" i="43"/>
  <c r="J26" i="43"/>
  <c r="Q16" i="1"/>
  <c r="F28" i="12" s="1"/>
  <c r="C29" i="12" s="1"/>
  <c r="D28" i="12" s="1"/>
  <c r="N94" i="46"/>
  <c r="F26" i="43"/>
  <c r="P6" i="1"/>
  <c r="C13" i="12" s="1"/>
  <c r="E26" i="43"/>
  <c r="E59" i="40"/>
  <c r="H16" i="1"/>
  <c r="E29" i="6"/>
  <c r="F30" i="6"/>
  <c r="G5" i="3"/>
  <c r="B3" i="3" s="1"/>
  <c r="E255" i="3" s="1"/>
  <c r="C70" i="71"/>
  <c r="D70" i="71" s="1"/>
  <c r="D71" i="71"/>
  <c r="B19" i="71"/>
  <c r="B18" i="71" s="1"/>
  <c r="B17" i="71" s="1"/>
  <c r="B16" i="71" s="1"/>
  <c r="S20" i="71"/>
  <c r="AZ126" i="3"/>
  <c r="C52" i="71"/>
  <c r="D51" i="71"/>
  <c r="D67" i="71"/>
  <c r="C66" i="71"/>
  <c r="O67" i="71"/>
  <c r="AC9" i="33"/>
  <c r="W9" i="33"/>
  <c r="AA23" i="36"/>
  <c r="S23" i="36"/>
  <c r="W11" i="35"/>
  <c r="AC11" i="35"/>
  <c r="U30" i="34"/>
  <c r="AB30" i="34"/>
  <c r="AA31" i="33"/>
  <c r="S31" i="33"/>
  <c r="AA27" i="21"/>
  <c r="S27" i="21"/>
  <c r="AB12" i="40"/>
  <c r="U12" i="40"/>
  <c r="AZ93" i="3"/>
  <c r="AZ107" i="3"/>
  <c r="AZ292" i="3"/>
  <c r="AZ268" i="3"/>
  <c r="AZ63" i="3"/>
  <c r="D79" i="71"/>
  <c r="C78" i="71"/>
  <c r="D78" i="71" s="1"/>
  <c r="C22" i="71"/>
  <c r="D23" i="71"/>
  <c r="AZ190" i="3"/>
  <c r="AZ405" i="3"/>
  <c r="AZ460" i="3"/>
  <c r="AZ271" i="3"/>
  <c r="AZ243" i="3"/>
  <c r="AC31" i="39"/>
  <c r="W31" i="39"/>
  <c r="AC23" i="36"/>
  <c r="W23" i="36"/>
  <c r="AB25" i="37"/>
  <c r="U25" i="37"/>
  <c r="W46" i="34"/>
  <c r="AC46" i="34"/>
  <c r="AB12" i="34"/>
  <c r="U12" i="34"/>
  <c r="AB27" i="21"/>
  <c r="U27" i="21"/>
  <c r="AC12" i="40"/>
  <c r="W12" i="40"/>
  <c r="D83" i="71"/>
  <c r="C82" i="71"/>
  <c r="D82" i="71" s="1"/>
  <c r="AZ38" i="3"/>
  <c r="C56" i="71"/>
  <c r="D55" i="71"/>
  <c r="AZ177" i="3"/>
  <c r="T32" i="71"/>
  <c r="D32" i="71"/>
  <c r="D75" i="71"/>
  <c r="C74" i="71"/>
  <c r="D74" i="71" s="1"/>
  <c r="U23" i="35"/>
  <c r="AB23" i="35"/>
  <c r="AB31" i="39"/>
  <c r="U31" i="39"/>
  <c r="AB23" i="36"/>
  <c r="U23" i="36"/>
  <c r="AA25" i="37"/>
  <c r="S25" i="37"/>
  <c r="AZ565" i="3"/>
  <c r="AA46" i="34"/>
  <c r="S46" i="34"/>
  <c r="S13" i="33"/>
  <c r="AA13" i="33"/>
  <c r="AA45" i="21"/>
  <c r="S45" i="21"/>
  <c r="W27" i="21"/>
  <c r="AC27" i="21"/>
  <c r="AZ285" i="3"/>
  <c r="AZ474" i="3"/>
  <c r="AZ111" i="3"/>
  <c r="AZ102" i="3"/>
  <c r="C40" i="71"/>
  <c r="D39" i="71"/>
  <c r="AZ28" i="3"/>
  <c r="AZ53" i="3"/>
  <c r="AZ237" i="3"/>
  <c r="C26" i="71"/>
  <c r="D26" i="71" s="1"/>
  <c r="D27" i="71"/>
  <c r="AZ74" i="3"/>
  <c r="AZ121" i="3"/>
  <c r="D44" i="71"/>
  <c r="T44" i="71"/>
  <c r="AZ133" i="3"/>
  <c r="AZ483" i="3"/>
  <c r="AB39" i="40"/>
  <c r="U39" i="40"/>
  <c r="AZ249" i="3"/>
  <c r="AZ241" i="3"/>
  <c r="AC23" i="35"/>
  <c r="W23" i="35"/>
  <c r="AC9" i="34"/>
  <c r="W9" i="34"/>
  <c r="W12" i="35"/>
  <c r="AC12" i="35"/>
  <c r="AB9" i="34"/>
  <c r="U9" i="34"/>
  <c r="AZ556" i="3"/>
  <c r="S11" i="35"/>
  <c r="AA11" i="35"/>
  <c r="S30" i="34"/>
  <c r="AA30" i="34"/>
  <c r="W12" i="34"/>
  <c r="AC12" i="34"/>
  <c r="W45" i="21"/>
  <c r="AC45" i="21"/>
  <c r="G16" i="1"/>
  <c r="F10" i="39" s="1"/>
  <c r="AA10" i="39" s="1"/>
  <c r="J7" i="37"/>
  <c r="K1" i="73"/>
  <c r="E81" i="3"/>
  <c r="E324" i="3"/>
  <c r="E123" i="3"/>
  <c r="E354" i="3"/>
  <c r="E413" i="3"/>
  <c r="E196" i="3"/>
  <c r="E426" i="3"/>
  <c r="S6" i="3"/>
  <c r="E238" i="3"/>
  <c r="E437" i="3"/>
  <c r="E236" i="3"/>
  <c r="E558" i="3"/>
  <c r="E316" i="3"/>
  <c r="E559" i="3"/>
  <c r="E114" i="3"/>
  <c r="E245" i="3"/>
  <c r="E573" i="3"/>
  <c r="E450" i="3"/>
  <c r="E150"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E311" i="3"/>
  <c r="M6" i="3"/>
  <c r="AB6" i="3"/>
  <c r="E215" i="3"/>
  <c r="E189" i="3"/>
  <c r="E563" i="3"/>
  <c r="E172" i="3"/>
  <c r="E161" i="3"/>
  <c r="E135" i="3"/>
  <c r="E423" i="3"/>
  <c r="AI6" i="3"/>
  <c r="X6" i="3"/>
  <c r="E100" i="3"/>
  <c r="E119" i="3"/>
  <c r="E132" i="3"/>
  <c r="E242" i="3"/>
  <c r="E483" i="3"/>
  <c r="AA26" i="37"/>
  <c r="S26" i="37"/>
  <c r="BA5" i="3"/>
  <c r="E27" i="6" s="1"/>
  <c r="K26" i="6" s="1"/>
  <c r="M26" i="6" s="1"/>
  <c r="I26" i="6" s="1"/>
  <c r="S26" i="6" s="1"/>
  <c r="E240" i="3"/>
  <c r="W40" i="40"/>
  <c r="AC40" i="40"/>
  <c r="AC12" i="21"/>
  <c r="W12" i="21"/>
  <c r="AB12" i="21"/>
  <c r="U12" i="21"/>
  <c r="AA27" i="34"/>
  <c r="S27" i="34"/>
  <c r="AC26" i="37"/>
  <c r="W26" i="37"/>
  <c r="BL5" i="3"/>
  <c r="B15" i="71"/>
  <c r="B14" i="71" s="1"/>
  <c r="B13" i="71" s="1"/>
  <c r="B12" i="71" s="1"/>
  <c r="S16" i="71"/>
  <c r="F7" i="36"/>
  <c r="AA7" i="36" s="1"/>
  <c r="H7" i="36"/>
  <c r="U7" i="36" s="1"/>
  <c r="E131" i="3"/>
  <c r="E142" i="3"/>
  <c r="E248" i="3"/>
  <c r="AA9" i="36"/>
  <c r="S9" i="36"/>
  <c r="AA34" i="35"/>
  <c r="S34" i="35"/>
  <c r="E15" i="71"/>
  <c r="E14" i="71" s="1"/>
  <c r="E13" i="71" s="1"/>
  <c r="E12" i="71" s="1"/>
  <c r="V16" i="71"/>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74" i="15"/>
  <c r="Q61" i="15"/>
  <c r="AE11" i="1"/>
  <c r="AE9" i="1"/>
  <c r="AE7" i="1"/>
  <c r="AE8" i="1"/>
  <c r="AE12" i="1"/>
  <c r="AE10" i="1"/>
  <c r="AE6" i="1"/>
  <c r="F27" i="69"/>
  <c r="G1" i="73"/>
  <c r="E54" i="3" l="1"/>
  <c r="E179" i="3"/>
  <c r="E416" i="3"/>
  <c r="E15" i="3"/>
  <c r="E13" i="3"/>
  <c r="E249" i="3"/>
  <c r="E159" i="3"/>
  <c r="E291" i="3"/>
  <c r="E529" i="3"/>
  <c r="E542" i="3"/>
  <c r="E386" i="3"/>
  <c r="E463" i="3"/>
  <c r="E205" i="3"/>
  <c r="E292" i="3"/>
  <c r="E31" i="3"/>
  <c r="E453" i="3"/>
  <c r="N6" i="3"/>
  <c r="E73" i="3"/>
  <c r="E237" i="3"/>
  <c r="E367" i="3"/>
  <c r="E461" i="3"/>
  <c r="E436" i="3"/>
  <c r="E552" i="3"/>
  <c r="E393" i="3"/>
  <c r="E96" i="3"/>
  <c r="E286" i="3"/>
  <c r="E491" i="3"/>
  <c r="E59" i="3"/>
  <c r="E84" i="3"/>
  <c r="E494" i="3"/>
  <c r="E86" i="3"/>
  <c r="T6" i="3"/>
  <c r="E41" i="3"/>
  <c r="E80" i="3"/>
  <c r="E507" i="3"/>
  <c r="E226" i="3"/>
  <c r="E194" i="3"/>
  <c r="E20" i="3"/>
  <c r="E155" i="3"/>
  <c r="E51" i="3"/>
  <c r="E57" i="3"/>
  <c r="E19" i="3"/>
  <c r="E47" i="3"/>
  <c r="E259" i="3"/>
  <c r="E488" i="3"/>
  <c r="E98" i="3"/>
  <c r="E306" i="3"/>
  <c r="E288" i="3"/>
  <c r="E257" i="3"/>
  <c r="E379" i="3"/>
  <c r="E546" i="3"/>
  <c r="E29" i="3"/>
  <c r="E574" i="3"/>
  <c r="E418" i="3"/>
  <c r="E213" i="3"/>
  <c r="AN6" i="3"/>
  <c r="E262" i="3"/>
  <c r="E344" i="3"/>
  <c r="E274" i="3"/>
  <c r="E576" i="3"/>
  <c r="E404" i="3"/>
  <c r="E480" i="3"/>
  <c r="E569" i="3"/>
  <c r="E407" i="3"/>
  <c r="E260" i="3"/>
  <c r="E518" i="3"/>
  <c r="E511"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499" i="3"/>
  <c r="E479" i="3"/>
  <c r="E484" i="3"/>
  <c r="E33" i="3"/>
  <c r="E281" i="3"/>
  <c r="E206" i="3"/>
  <c r="E456" i="3"/>
  <c r="E225" i="3"/>
  <c r="E326" i="3"/>
  <c r="E440" i="3"/>
  <c r="E346" i="3"/>
  <c r="E299" i="3"/>
  <c r="E176" i="3"/>
  <c r="E348" i="3"/>
  <c r="E222" i="3"/>
  <c r="E110" i="3"/>
  <c r="E323" i="3"/>
  <c r="E266" i="3"/>
  <c r="E462" i="3"/>
  <c r="E195" i="3"/>
  <c r="E307" i="3"/>
  <c r="E157" i="3"/>
  <c r="W6" i="3"/>
  <c r="E357" i="3"/>
  <c r="U6" i="3"/>
  <c r="E71" i="3"/>
  <c r="E53" i="3"/>
  <c r="E359" i="3"/>
  <c r="E338" i="3"/>
  <c r="E17" i="3"/>
  <c r="E353" i="3"/>
  <c r="E120" i="3"/>
  <c r="AE6" i="3"/>
  <c r="E394" i="3"/>
  <c r="AG6" i="3"/>
  <c r="E88" i="3"/>
  <c r="E125" i="3"/>
  <c r="E396" i="3"/>
  <c r="E320" i="3"/>
  <c r="E550" i="3"/>
  <c r="E293" i="3"/>
  <c r="E99"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430" i="3"/>
  <c r="E258" i="3"/>
  <c r="E160" i="3"/>
  <c r="E68" i="3"/>
  <c r="E482" i="3"/>
  <c r="E308" i="3"/>
  <c r="E556" i="3"/>
  <c r="E190" i="3"/>
  <c r="E116" i="3"/>
  <c r="E419" i="3"/>
  <c r="E540" i="3"/>
  <c r="E36" i="3"/>
  <c r="E165" i="3"/>
  <c r="E65" i="3"/>
  <c r="E421" i="3"/>
  <c r="E209" i="3"/>
  <c r="E582" i="3"/>
  <c r="E373" i="3"/>
  <c r="Y6" i="3"/>
  <c r="E167" i="3"/>
  <c r="E122" i="3"/>
  <c r="E532" i="3"/>
  <c r="E475" i="3"/>
  <c r="E397" i="3"/>
  <c r="E432" i="3"/>
  <c r="E272" i="3"/>
  <c r="E153" i="3"/>
  <c r="E390" i="3"/>
  <c r="E169" i="3"/>
  <c r="E254" i="3"/>
  <c r="E156" i="3"/>
  <c r="Q6" i="3"/>
  <c r="E55" i="3"/>
  <c r="I6" i="3"/>
  <c r="E443" i="3"/>
  <c r="E295" i="3"/>
  <c r="E282" i="3"/>
  <c r="E358" i="3"/>
  <c r="E130" i="3"/>
  <c r="E61" i="3"/>
  <c r="E253" i="3"/>
  <c r="E519"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AZ5" i="3"/>
  <c r="K15" i="1"/>
  <c r="K16" i="1" s="1"/>
  <c r="L19" i="6"/>
  <c r="L27" i="6" s="1"/>
  <c r="D60" i="71"/>
  <c r="T60" i="71"/>
  <c r="P65" i="71"/>
  <c r="P66" i="71"/>
  <c r="F27" i="68"/>
  <c r="C47" i="68" s="1"/>
  <c r="D45" i="68" s="1"/>
  <c r="F27" i="11"/>
  <c r="C29" i="11" s="1"/>
  <c r="D27" i="11" s="1"/>
  <c r="E536" i="3"/>
  <c r="E539" i="3"/>
  <c r="E502" i="3"/>
  <c r="AP6" i="3"/>
  <c r="E37" i="3"/>
  <c r="E349" i="3"/>
  <c r="E467" i="3"/>
  <c r="E371" i="3"/>
  <c r="E184" i="3"/>
  <c r="E283" i="3"/>
  <c r="E391" i="3"/>
  <c r="E174" i="3"/>
  <c r="AF6" i="3"/>
  <c r="E197" i="3"/>
  <c r="E512" i="3"/>
  <c r="E470" i="3"/>
  <c r="E356" i="3"/>
  <c r="E35" i="3"/>
  <c r="E329" i="3"/>
  <c r="E564" i="3"/>
  <c r="E376" i="3"/>
  <c r="E25" i="3"/>
  <c r="E372" i="3"/>
  <c r="E79" i="3"/>
  <c r="E325" i="3"/>
  <c r="E289" i="3"/>
  <c r="E265" i="3"/>
  <c r="E566"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212" i="3"/>
  <c r="E466" i="3"/>
  <c r="E517" i="3"/>
  <c r="E152" i="3"/>
  <c r="E544" i="3"/>
  <c r="E46" i="3"/>
  <c r="E492" i="3"/>
  <c r="E355" i="3"/>
  <c r="E513" i="3"/>
  <c r="E42" i="3"/>
  <c r="E383" i="3"/>
  <c r="E113" i="3"/>
  <c r="E525" i="3"/>
  <c r="E451" i="3"/>
  <c r="E26" i="3"/>
  <c r="E412" i="3"/>
  <c r="E232" i="3"/>
  <c r="E188" i="3"/>
  <c r="E427" i="3"/>
  <c r="J6" i="3"/>
  <c r="E178" i="3"/>
  <c r="E60" i="3"/>
  <c r="E170" i="3"/>
  <c r="AQ6" i="3"/>
  <c r="E364" i="3"/>
  <c r="E524"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H6" i="3" s="1"/>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D26" i="43"/>
  <c r="C25" i="43" s="1"/>
  <c r="Q74" i="67"/>
  <c r="AB26" i="21"/>
  <c r="U26" i="21"/>
  <c r="J89" i="21"/>
  <c r="K89" i="21" s="1"/>
  <c r="L89" i="21" s="1"/>
  <c r="M89" i="21" s="1"/>
  <c r="F26" i="21"/>
  <c r="F45" i="69"/>
  <c r="C47" i="69"/>
  <c r="D45" i="69" s="1"/>
  <c r="C29" i="69"/>
  <c r="D27" i="69" s="1"/>
  <c r="C28" i="43"/>
  <c r="T9" i="43" s="1"/>
  <c r="V9" i="43" s="1"/>
  <c r="H10" i="40"/>
  <c r="AB10" i="40" s="1"/>
  <c r="J10" i="40"/>
  <c r="AC10" i="40" s="1"/>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H10" i="39"/>
  <c r="U10" i="39" s="1"/>
  <c r="S10" i="39"/>
  <c r="AY6" i="3"/>
  <c r="E3" i="6"/>
  <c r="AB7" i="36"/>
  <c r="T36" i="36" s="1"/>
  <c r="G36" i="36" s="1"/>
  <c r="T40" i="71"/>
  <c r="D40" i="71"/>
  <c r="D56" i="71"/>
  <c r="T56" i="71"/>
  <c r="D22" i="71"/>
  <c r="C21" i="71"/>
  <c r="J10" i="39"/>
  <c r="W10" i="39" s="1"/>
  <c r="F10" i="40"/>
  <c r="S10" i="40" s="1"/>
  <c r="T52" i="71"/>
  <c r="D52" i="71"/>
  <c r="R36" i="36"/>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F41" i="67"/>
  <c r="M27" i="15"/>
  <c r="M27" i="67"/>
  <c r="C29" i="68" l="1"/>
  <c r="D27" i="68" s="1"/>
  <c r="B4" i="52"/>
  <c r="B43" i="72" s="1"/>
  <c r="B14" i="74"/>
  <c r="B1" i="74" s="1"/>
  <c r="C33" i="21"/>
  <c r="U10" i="40"/>
  <c r="F69" i="67"/>
  <c r="S26" i="21"/>
  <c r="AA26" i="21"/>
  <c r="AA10" i="40"/>
  <c r="AC10" i="39"/>
  <c r="AB10" i="39"/>
  <c r="W10" i="40"/>
  <c r="C42" i="43"/>
  <c r="E42" i="43" s="1"/>
  <c r="C39" i="43"/>
  <c r="E39" i="43" s="1"/>
  <c r="C38" i="43"/>
  <c r="T4" i="43"/>
  <c r="V4" i="43" s="1"/>
  <c r="T14" i="43"/>
  <c r="V14" i="43" s="1"/>
  <c r="C41" i="43"/>
  <c r="E41" i="43" s="1"/>
  <c r="T11" i="43"/>
  <c r="V11" i="43" s="1"/>
  <c r="T5" i="43"/>
  <c r="V5" i="43" s="1"/>
  <c r="C37" i="43"/>
  <c r="G37" i="43" s="1"/>
  <c r="I37" i="43" s="1"/>
  <c r="T6" i="43"/>
  <c r="V6" i="43" s="1"/>
  <c r="T8" i="43"/>
  <c r="V8" i="43" s="1"/>
  <c r="T16" i="43"/>
  <c r="V16" i="43" s="1"/>
  <c r="T13" i="43"/>
  <c r="V13" i="43" s="1"/>
  <c r="C40" i="43"/>
  <c r="G40" i="43" s="1"/>
  <c r="I40" i="43" s="1"/>
  <c r="T2" i="43"/>
  <c r="V2" i="43" s="1"/>
  <c r="T10" i="43"/>
  <c r="V10" i="43" s="1"/>
  <c r="T7" i="43"/>
  <c r="V7" i="43" s="1"/>
  <c r="T15" i="43"/>
  <c r="V15" i="43" s="1"/>
  <c r="C33" i="43"/>
  <c r="T3" i="43"/>
  <c r="V3" i="43" s="1"/>
  <c r="T12" i="43"/>
  <c r="V12" i="43" s="1"/>
  <c r="F25" i="12"/>
  <c r="C26" i="12" s="1"/>
  <c r="D25" i="12" s="1"/>
  <c r="AC6" i="3"/>
  <c r="E6" i="3" s="1"/>
  <c r="D116" i="43"/>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E61" i="40"/>
  <c r="H26" i="6"/>
  <c r="P14" i="1"/>
  <c r="P16" i="1" s="1"/>
  <c r="C11" i="12" s="1"/>
  <c r="N16" i="1"/>
  <c r="L16" i="1"/>
  <c r="G42" i="43"/>
  <c r="I42" i="43" s="1"/>
  <c r="H67" i="39"/>
  <c r="G69" i="39"/>
  <c r="G38" i="43"/>
  <c r="I38" i="43" s="1"/>
  <c r="E38" i="43"/>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D10" i="69"/>
  <c r="C17" i="67"/>
  <c r="C17" i="15"/>
  <c r="C34" i="69"/>
  <c r="C14" i="67"/>
  <c r="J33" i="21" l="1"/>
  <c r="F33" i="21"/>
  <c r="H33" i="21"/>
  <c r="E37" i="43"/>
  <c r="E40" i="43"/>
  <c r="G41" i="43"/>
  <c r="I41" i="43" s="1"/>
  <c r="G39" i="43"/>
  <c r="I39" i="43" s="1"/>
  <c r="C34" i="43"/>
  <c r="E34" i="43" s="1"/>
  <c r="C6" i="69"/>
  <c r="C7" i="69" s="1"/>
  <c r="F41" i="68"/>
  <c r="E33" i="43"/>
  <c r="C26" i="68"/>
  <c r="D22" i="68" s="1"/>
  <c r="C23" i="68"/>
  <c r="H24" i="6"/>
  <c r="D30" i="6"/>
  <c r="H22" i="6"/>
  <c r="C44" i="11"/>
  <c r="D41" i="11" s="1"/>
  <c r="H25" i="6"/>
  <c r="E53" i="34"/>
  <c r="F53" i="34" s="1"/>
  <c r="C19" i="71"/>
  <c r="D20" i="71"/>
  <c r="U20" i="71" s="1"/>
  <c r="T20" i="71"/>
  <c r="C26" i="11"/>
  <c r="D22" i="11" s="1"/>
  <c r="C25" i="11"/>
  <c r="C24" i="1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1" i="43" l="1"/>
  <c r="AB33" i="21"/>
  <c r="U33" i="21"/>
  <c r="AA33" i="21"/>
  <c r="S33" i="21"/>
  <c r="AC33" i="21"/>
  <c r="W33" i="21"/>
  <c r="C30" i="43"/>
  <c r="C5" i="69"/>
  <c r="C23" i="69" s="1"/>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E6" i="76"/>
  <c r="E2" i="76" l="1"/>
  <c r="B2" i="43"/>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C16" i="7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F35" i="15"/>
  <c r="M21" i="15"/>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B3" i="69"/>
  <c r="E53" i="21" l="1"/>
  <c r="F53" i="21" s="1"/>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D2" i="33"/>
  <c r="L51" i="67"/>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C20" i="9"/>
  <c r="D2" i="37"/>
  <c r="D2" i="34"/>
  <c r="D2" i="35"/>
  <c r="L51" i="15"/>
  <c r="D19" i="9"/>
  <c r="D102" i="9" l="1"/>
  <c r="D21" i="9"/>
  <c r="D22" i="9"/>
  <c r="G19" i="9"/>
  <c r="G21" i="9" s="1"/>
  <c r="C103" i="9"/>
  <c r="D12" i="7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2" i="1"/>
  <c r="AO8" i="1"/>
  <c r="AO6" i="1"/>
  <c r="AO10" i="1"/>
  <c r="AO7" i="1"/>
  <c r="AO11" i="1"/>
  <c r="AO9" i="1"/>
  <c r="D103" i="9" l="1"/>
  <c r="G20" i="9"/>
  <c r="C32" i="9" s="1"/>
  <c r="C35" i="9" s="1"/>
  <c r="C34"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E14" i="74" l="1"/>
  <c r="D14" i="74"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N61" i="9"/>
  <c r="N59" i="9"/>
  <c r="N60" i="9"/>
  <c r="B48" i="72"/>
  <c r="E4" i="52"/>
  <c r="B31" i="72"/>
  <c r="D15" i="53"/>
  <c r="B22" i="72"/>
  <c r="D6" i="53"/>
  <c r="E81" i="9"/>
  <c r="E80" i="9"/>
  <c r="C80" i="9"/>
  <c r="B51" i="72"/>
  <c r="F4" i="52"/>
  <c r="E97" i="9"/>
  <c r="E96" i="9"/>
  <c r="C96" i="9"/>
  <c r="B49" i="72"/>
  <c r="D5" i="52"/>
  <c r="D119" i="9"/>
  <c r="C72" i="9"/>
  <c r="C79" i="9"/>
  <c r="C81" i="9"/>
  <c r="C86" i="9"/>
  <c r="C93" i="9"/>
  <c r="B53" i="72"/>
  <c r="F5" i="52"/>
  <c r="F119" i="9"/>
  <c r="M54" i="9"/>
  <c r="C85" i="9"/>
  <c r="C95" i="9"/>
  <c r="C97" i="9"/>
  <c r="D58" i="9"/>
  <c r="D56" i="9"/>
  <c r="M48" i="9"/>
  <c r="B32" i="72"/>
  <c r="D14" i="53"/>
  <c r="M55" i="9"/>
  <c r="D59" i="9"/>
  <c r="P57" i="9"/>
  <c r="D55" i="9"/>
  <c r="M53" i="9"/>
  <c r="N57" i="9"/>
  <c r="N58" i="9"/>
  <c r="D54" i="9"/>
  <c r="C64" i="9"/>
  <c r="C63" i="9"/>
  <c r="C67" i="9"/>
  <c r="C68" i="9"/>
  <c r="B47" i="72"/>
  <c r="E118" i="9"/>
  <c r="D118" i="9"/>
  <c r="D4" i="52"/>
  <c r="D13" i="53"/>
  <c r="B30" i="72"/>
  <c r="D5" i="53"/>
  <c r="B20" i="72"/>
  <c r="B21" i="72"/>
  <c r="D7" i="53"/>
  <c r="D8" i="52"/>
  <c r="H108" i="9"/>
  <c r="C6" i="74"/>
  <c r="H102" i="9"/>
  <c r="C5" i="74"/>
  <c r="H107" i="9"/>
  <c r="D122" i="9"/>
  <c r="D123" i="9"/>
  <c r="D9" i="52"/>
  <c r="F118" i="9"/>
  <c r="G118" i="9"/>
  <c r="G4" i="52"/>
  <c r="B52" i="72"/>
  <c r="C104" i="9"/>
  <c r="H4" i="52"/>
  <c r="D52" i="9"/>
  <c r="D53" i="9"/>
  <c r="H101" i="9"/>
  <c r="D45" i="9"/>
  <c r="C78" i="9"/>
  <c r="C73" i="9"/>
  <c r="I4" i="52"/>
  <c r="C105" i="9"/>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<sst xmlns="http://schemas.openxmlformats.org/spreadsheetml/2006/main" count="9505" uniqueCount="3627">
  <si>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</si>
  <si>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</si>
  <si>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</si>
  <si>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</si>
  <si>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</si>
  <si>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</si>
  <si>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</si>
  <si>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</si>
  <si>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</si>
  <si>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</si>
  <si>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</si>
  <si>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</si>
  <si>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</si>
  <si>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</si>
  <si>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</si>
  <si>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</si>
  <si>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</si>
  <si>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</si>
  <si>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</si>
  <si>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</si>
  <si>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</si>
  <si>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</si>
  <si>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</si>
  <si>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</si>
  <si>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</si>
  <si>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</si>
  <si>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</si>
  <si>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</si>
  <si>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</si>
  <si>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</si>
  <si>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</si>
  <si>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</si>
  <si>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</si>
  <si>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</si>
  <si>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</si>
  <si>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</si>
  <si>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</si>
  <si>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</si>
  <si>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</si>
  <si>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</si>
  <si>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</si>
  <si>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</si>
  <si>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</si>
  <si>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</si>
  <si>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</si>
  <si>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</si>
  <si>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</si>
  <si>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</si>
  <si>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</si>
  <si>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</si>
  <si>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</si>
  <si>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</si>
  <si>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</si>
  <si>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</si>
  <si>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</si>
  <si>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</si>
  <si>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</si>
  <si>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</si>
  <si>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</si>
  <si>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</si>
  <si>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</si>
  <si>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</si>
  <si>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</si>
  <si>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</si>
  <si>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</si>
  <si>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</si>
  <si>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</si>
  <si>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</si>
  <si>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</si>
  <si>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</si>
  <si>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</si>
  <si>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</si>
  <si>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</si>
  <si>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</si>
  <si>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</si>
  <si>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</si>
  <si>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</si>
  <si>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</si>
  <si>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</si>
  <si>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</si>
  <si>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</si>
  <si>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</si>
  <si>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</si>
  <si>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</si>
  <si>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</si>
  <si>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</si>
  <si>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</si>
  <si>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</si>
  <si>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</si>
  <si>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</si>
  <si>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</si>
  <si>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</si>
  <si>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</si>
  <si>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</si>
  <si>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</si>
  <si>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</si>
  <si>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</si>
  <si>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</si>
  <si>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</si>
  <si>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</si>
  <si>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</si>
  <si>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</si>
  <si>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</si>
  <si>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</si>
  <si>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</si>
  <si>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</si>
  <si>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</si>
  <si>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</si>
  <si>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</si>
  <si>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</si>
  <si>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</si>
  <si>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</si>
  <si>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</si>
  <si>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</si>
  <si>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</si>
  <si>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</si>
  <si>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</si>
  <si>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</si>
  <si>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</si>
  <si>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</si>
  <si>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</si>
  <si>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</si>
  <si>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</si>
  <si>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</si>
  <si>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</si>
  <si>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</si>
  <si>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</si>
  <si>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</si>
  <si>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</si>
  <si>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</si>
  <si>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</si>
  <si>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</si>
  <si>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</si>
  <si>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</si>
  <si>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</si>
  <si>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</si>
  <si>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</si>
  <si>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</si>
  <si>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</si>
  <si>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</si>
  <si>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</si>
  <si>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</si>
  <si>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</si>
  <si>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</si>
  <si>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</si>
  <si>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</si>
  <si>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</si>
  <si>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</si>
  <si>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</si>
  <si>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</si>
  <si>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</si>
  <si>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</si>
  <si>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</si>
  <si>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</si>
  <si>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</si>
  <si>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</si>
  <si>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</si>
  <si>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</si>
  <si>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</si>
  <si>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</si>
  <si>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</si>
  <si>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</si>
  <si>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</si>
  <si>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</si>
  <si>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</si>
  <si>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</si>
  <si>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</si>
  <si>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</si>
  <si>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</si>
  <si>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</si>
  <si>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</si>
  <si>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</si>
  <si>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</si>
  <si>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</si>
  <si>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</si>
  <si>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</si>
  <si>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</si>
  <si>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</si>
  <si>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</si>
  <si>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</si>
  <si>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</si>
  <si>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</si>
  <si>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</si>
  <si>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</si>
  <si>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</si>
  <si>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</si>
  <si>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</si>
  <si>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</si>
  <si>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</si>
  <si>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</si>
  <si>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</si>
  <si>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</si>
  <si>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</si>
  <si>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</si>
  <si>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</si>
  <si>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</si>
  <si>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</si>
  <si>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</si>
  <si>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</si>
  <si>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</si>
  <si>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</si>
  <si>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</si>
  <si>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</si>
  <si>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</si>
  <si>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</si>
  <si>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</si>
  <si>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</si>
  <si>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</si>
  <si>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</si>
  <si>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</si>
  <si>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</si>
  <si>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</si>
  <si>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</si>
  <si>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</si>
  <si>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</si>
  <si>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</si>
  <si>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</si>
  <si>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</si>
  <si>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</si>
  <si>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</si>
  <si>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</si>
  <si>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</si>
  <si>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</si>
  <si>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</si>
  <si>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</si>
  <si>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</si>
  <si>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</si>
  <si>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</si>
  <si>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</si>
  <si>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</si>
  <si>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</si>
  <si>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</si>
  <si>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</si>
  <si>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</si>
  <si>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</si>
  <si>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</si>
  <si>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</si>
  <si>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</si>
  <si>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</si>
  <si>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</si>
  <si>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</si>
  <si>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</si>
  <si>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</si>
  <si>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</si>
  <si>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</si>
  <si>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</si>
  <si>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</si>
  <si>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</si>
  <si>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</si>
  <si>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</si>
  <si>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</si>
  <si>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</si>
  <si>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</si>
  <si>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</si>
  <si>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</si>
  <si>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</si>
  <si>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</si>
  <si>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</si>
  <si>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</si>
  <si>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</si>
  <si>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</si>
  <si>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</si>
  <si>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</si>
  <si>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</si>
  <si>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</si>
  <si>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</si>
  <si>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</si>
  <si>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</si>
  <si>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</si>
  <si>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</si>
  <si>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</si>
  <si>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</si>
  <si>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</si>
  <si>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</si>
  <si>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</si>
  <si>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</si>
  <si>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</si>
  <si>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</si>
  <si>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</si>
  <si>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</si>
  <si>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</si>
  <si>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</si>
  <si>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</si>
  <si>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</si>
  <si>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</si>
  <si>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</si>
  <si>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</si>
  <si>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</si>
  <si>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</si>
  <si>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</si>
  <si>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</si>
  <si>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</si>
  <si>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</si>
  <si>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</si>
  <si>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</si>
  <si>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</si>
  <si>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</si>
  <si>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</si>
  <si>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</si>
  <si>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</si>
  <si>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</si>
  <si>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</si>
  <si>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</si>
  <si>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</si>
  <si>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</si>
  <si>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</si>
  <si>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</si>
  <si>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</si>
  <si>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</si>
  <si>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</si>
  <si>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</si>
  <si>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</si>
  <si>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</si>
  <si>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</si>
  <si>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</si>
  <si>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</si>
  <si>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</si>
  <si>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</si>
  <si>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</si>
  <si>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</si>
  <si>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</si>
  <si>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</si>
  <si>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</si>
  <si>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</si>
  <si>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</si>
  <si>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</si>
  <si>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</si>
  <si>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</si>
  <si>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</si>
  <si>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</si>
  <si>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</si>
  <si>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</si>
  <si>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</si>
  <si>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</si>
  <si>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</si>
  <si>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</si>
  <si>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</si>
  <si>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</si>
  <si>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</si>
  <si>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</si>
  <si>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</si>
  <si>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</si>
  <si>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</si>
  <si>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</si>
  <si>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</si>
  <si>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</si>
  <si>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</si>
  <si>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</si>
  <si>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</si>
  <si>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</si>
  <si>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</si>
  <si>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</si>
  <si>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</si>
  <si>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</si>
  <si>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</si>
  <si>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</si>
  <si>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</si>
  <si>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</si>
  <si>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</si>
  <si>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</si>
  <si>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</si>
  <si>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</si>
  <si>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</si>
  <si>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</si>
  <si>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</si>
  <si>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</si>
  <si>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</si>
  <si>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</si>
  <si>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</si>
  <si>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</si>
  <si>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</si>
  <si>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</si>
  <si>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</si>
  <si>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</si>
  <si>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</si>
  <si>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</si>
  <si>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</si>
  <si>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</si>
  <si>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</si>
  <si>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</si>
  <si>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</si>
  <si>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</si>
  <si>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</si>
  <si>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</si>
  <si>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</si>
  <si>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</si>
  <si>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</si>
  <si>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</si>
  <si>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</si>
  <si>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</si>
  <si>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</si>
  <si>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</si>
  <si>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</si>
  <si>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</si>
  <si>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</si>
  <si>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</si>
  <si>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</si>
  <si>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</si>
  <si>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</si>
  <si>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</si>
  <si>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</si>
  <si>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</si>
  <si>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</si>
  <si>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</si>
  <si>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</si>
  <si>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</si>
  <si>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</si>
  <si>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</si>
  <si>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</si>
  <si>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</si>
  <si>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</si>
  <si>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</si>
  <si>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</si>
  <si>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</si>
  <si>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</si>
  <si>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</si>
  <si>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</si>
  <si>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</si>
  <si>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</si>
  <si>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</si>
  <si>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</si>
  <si>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</si>
  <si>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</si>
  <si>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</si>
  <si>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</si>
  <si>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</si>
  <si>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</si>
  <si>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</si>
  <si>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</si>
  <si>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</si>
  <si>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</si>
  <si>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</si>
  <si>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</si>
  <si>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</si>
  <si>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</si>
  <si>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</si>
  <si>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</si>
  <si>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</si>
  <si>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</si>
  <si>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</si>
  <si>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</si>
  <si>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</si>
  <si>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</si>
  <si>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</si>
  <si>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</si>
  <si>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</si>
  <si>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</si>
  <si>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</si>
  <si>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</si>
  <si>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</si>
  <si>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</si>
  <si>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</si>
  <si>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</si>
  <si>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</si>
  <si>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</si>
  <si>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</si>
  <si>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</si>
  <si>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</si>
  <si>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</si>
  <si>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</si>
  <si>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</si>
  <si>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</si>
  <si>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</si>
  <si>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</si>
  <si>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</si>
  <si>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</si>
  <si>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</si>
  <si>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</si>
  <si>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</si>
  <si>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</si>
  <si>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</si>
  <si>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</si>
  <si>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</si>
  <si>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</si>
  <si>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</si>
  <si>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</si>
  <si>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</si>
  <si>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</si>
  <si>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</si>
  <si>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</si>
  <si>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</si>
  <si>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</si>
  <si>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</si>
  <si>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</si>
  <si>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</si>
  <si>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</si>
  <si>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</si>
  <si>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</si>
  <si>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</si>
  <si>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</si>
  <si>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</si>
  <si>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</si>
  <si>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</si>
  <si>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</si>
  <si>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</si>
  <si>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</si>
  <si>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</si>
  <si>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</si>
  <si>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</si>
  <si>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</si>
  <si>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</si>
  <si>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</si>
  <si>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</si>
  <si>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</si>
  <si>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</si>
  <si>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</si>
  <si>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</si>
  <si>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</si>
  <si>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</si>
  <si>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</si>
  <si>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</si>
  <si>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</si>
  <si>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</si>
  <si>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</si>
  <si>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</si>
  <si>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</si>
  <si>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</si>
  <si>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</si>
  <si>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</si>
  <si>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</si>
  <si>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</si>
  <si>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</si>
  <si>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</si>
  <si>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</si>
  <si>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</si>
  <si>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</si>
  <si>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</si>
  <si>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</si>
  <si>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</si>
  <si>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</si>
  <si>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</si>
  <si>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</si>
  <si>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</si>
  <si>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</si>
  <si>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</si>
  <si>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</si>
  <si>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</si>
  <si>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</si>
  <si>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</si>
  <si>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</si>
  <si>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</si>
  <si>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</si>
  <si>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</si>
  <si>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</si>
  <si>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</si>
  <si>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</si>
  <si>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</si>
  <si>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</si>
  <si>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</si>
  <si>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</si>
  <si>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</si>
  <si>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</si>
  <si>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</si>
  <si>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</si>
  <si>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</si>
  <si>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</si>
  <si>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</si>
  <si>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</si>
  <si>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</si>
  <si>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</si>
  <si>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</si>
  <si>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</si>
  <si>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</si>
  <si>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</si>
  <si>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</si>
  <si>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</si>
  <si>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</si>
  <si>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</si>
  <si>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</si>
  <si>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</si>
  <si>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</si>
  <si>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</si>
  <si>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</si>
  <si>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</si>
  <si>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</si>
  <si>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</si>
  <si>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</si>
  <si>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</si>
  <si>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</si>
  <si>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</si>
  <si>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</si>
  <si>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</si>
  <si>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</si>
  <si>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</si>
  <si>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</si>
  <si>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</si>
  <si>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</si>
  <si>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</si>
  <si>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</si>
  <si>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</si>
  <si>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</si>
  <si>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</si>
  <si>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</si>
  <si>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</si>
  <si>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</si>
  <si>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</si>
  <si>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</si>
  <si>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</si>
  <si>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</si>
  <si>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</si>
  <si>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</si>
  <si>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</si>
  <si>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</si>
  <si>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</si>
  <si>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</si>
  <si>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</si>
  <si>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</si>
  <si>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</si>
  <si>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</si>
  <si>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</si>
  <si>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</si>
  <si>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</si>
  <si>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</si>
  <si>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</si>
  <si>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</si>
  <si>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</si>
  <si>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</si>
  <si>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</si>
  <si>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</si>
  <si>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</si>
  <si>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</si>
  <si>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</si>
  <si>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</si>
  <si>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</si>
  <si>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</si>
  <si>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</si>
  <si>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</si>
  <si>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</si>
  <si>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</si>
  <si>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</si>
  <si>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</si>
  <si>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</si>
  <si>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</si>
  <si>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</si>
  <si>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</si>
  <si>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</si>
  <si>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</si>
  <si>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</si>
  <si>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</si>
  <si>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</si>
  <si>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</si>
  <si>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</si>
  <si>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</si>
  <si>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</si>
  <si>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</si>
  <si>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</si>
  <si>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</si>
  <si>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</si>
  <si>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</si>
  <si>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</si>
  <si>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</si>
  <si>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</si>
  <si>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</si>
  <si>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</si>
  <si>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</si>
  <si>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</si>
  <si>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</si>
  <si>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</si>
  <si>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</si>
  <si>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</si>
  <si>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</si>
  <si>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</si>
  <si>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</si>
  <si>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</si>
  <si>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</si>
  <si>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</si>
  <si>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</si>
  <si>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</si>
  <si>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</si>
  <si>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</si>
  <si>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</si>
  <si>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</si>
  <si>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</si>
  <si>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</si>
  <si>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</si>
  <si>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</si>
  <si>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</si>
  <si>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</si>
  <si>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</si>
  <si>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</si>
  <si>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</si>
  <si>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</si>
  <si>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</si>
  <si>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</si>
  <si>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</si>
  <si>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</si>
  <si>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</si>
  <si>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</si>
  <si>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</si>
  <si>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</si>
  <si>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</si>
  <si>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</si>
  <si>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</si>
  <si>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</si>
  <si>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</si>
  <si>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</si>
  <si>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</si>
  <si>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</si>
  <si>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</si>
  <si>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</si>
  <si>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</si>
  <si>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</si>
  <si>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</si>
  <si>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</si>
  <si>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</si>
  <si>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</si>
  <si>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</si>
  <si>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</si>
  <si>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</si>
  <si>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</si>
  <si>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</si>
  <si>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</si>
  <si>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</si>
  <si>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</si>
  <si>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</si>
  <si>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</si>
  <si>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</si>
  <si>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</si>
  <si>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</si>
  <si>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</si>
  <si>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</si>
  <si>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</si>
  <si>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</si>
  <si>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</si>
  <si>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</si>
  <si>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</si>
  <si>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</si>
  <si>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</si>
  <si>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</si>
  <si>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</si>
  <si>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</si>
  <si>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</si>
  <si>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</si>
  <si>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</si>
  <si>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</si>
  <si>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</si>
  <si>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</si>
  <si>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</si>
  <si>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</si>
  <si>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</si>
  <si>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</si>
  <si>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</si>
  <si>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</si>
  <si>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</si>
  <si>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</si>
  <si>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</si>
  <si>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</si>
  <si>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</si>
  <si>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</si>
  <si>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</si>
  <si>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</si>
  <si>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</si>
  <si>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</si>
  <si>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</si>
  <si>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</si>
  <si>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</si>
  <si>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</si>
  <si>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</si>
  <si>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</si>
  <si>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</si>
  <si>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</si>
  <si>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</si>
  <si>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</si>
  <si>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</si>
  <si>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</si>
  <si>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</si>
  <si>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</si>
  <si>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</si>
  <si>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</si>
  <si>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</si>
  <si>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</si>
  <si>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</si>
  <si>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</si>
  <si>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</si>
  <si>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</si>
  <si>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</si>
  <si>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</si>
  <si>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</si>
  <si>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</si>
  <si>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</si>
  <si>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</si>
  <si>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</si>
  <si>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</si>
  <si>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</si>
  <si>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</si>
  <si>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</si>
  <si>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</si>
  <si>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</si>
  <si>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</si>
  <si>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</si>
  <si>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</si>
  <si>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</si>
  <si>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</si>
  <si>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</si>
  <si>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</si>
  <si>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</si>
  <si>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</si>
  <si>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</si>
  <si>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</si>
  <si>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</si>
  <si>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</si>
  <si>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</si>
  <si>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</si>
  <si>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</si>
  <si>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</si>
  <si>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</si>
  <si>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</si>
  <si>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</si>
  <si>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</si>
  <si>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</si>
  <si>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</si>
  <si>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</si>
  <si>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</si>
  <si>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</si>
  <si>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</si>
  <si>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</si>
  <si>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</si>
  <si>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</si>
  <si>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</si>
  <si>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</si>
  <si>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</si>
  <si>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</si>
  <si>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</si>
  <si>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</si>
  <si>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</si>
  <si>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</si>
  <si>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</si>
  <si>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</si>
  <si>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</si>
  <si>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</si>
  <si>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</si>
  <si>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</si>
  <si>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</si>
  <si>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</si>
  <si>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</si>
  <si>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</si>
  <si>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</si>
  <si>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</si>
  <si>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</si>
  <si>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</si>
  <si>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</si>
  <si>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</si>
  <si>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</si>
  <si>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</si>
  <si>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</si>
  <si>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</si>
  <si>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</si>
  <si>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</si>
  <si>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</si>
  <si>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</si>
  <si>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</si>
  <si>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</si>
  <si>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</si>
  <si>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</si>
  <si>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</si>
  <si>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</si>
  <si>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</si>
  <si>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</si>
  <si>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</si>
  <si>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</si>
  <si>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</si>
  <si>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</si>
  <si>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</si>
  <si>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</si>
  <si>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</si>
  <si>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</si>
  <si>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</si>
  <si>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</si>
  <si>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</si>
  <si>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</si>
  <si>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</si>
  <si>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</si>
  <si>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</si>
  <si>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</si>
  <si>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</si>
  <si>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</si>
  <si>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</si>
  <si>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</si>
  <si>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</si>
  <si>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</si>
  <si>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</si>
  <si>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</si>
  <si>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</si>
  <si>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</si>
  <si>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</si>
  <si>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</si>
  <si>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</si>
  <si>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</si>
  <si>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</si>
  <si>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</si>
  <si>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</si>
  <si>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</si>
  <si>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</si>
  <si>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</si>
  <si>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</si>
  <si>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</si>
  <si>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</si>
  <si>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</si>
  <si>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</si>
  <si>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</si>
  <si>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</si>
  <si>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</si>
  <si>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</si>
  <si>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</si>
  <si>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</si>
  <si>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</si>
  <si>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</si>
  <si>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</si>
  <si>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</si>
  <si>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</si>
  <si>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</si>
  <si>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</si>
  <si>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</si>
  <si>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</si>
  <si>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</si>
  <si>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</si>
  <si>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</si>
  <si>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</si>
  <si>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</si>
  <si>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</si>
  <si>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</si>
  <si>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</si>
  <si>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</si>
  <si>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</si>
  <si>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</si>
  <si>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</si>
  <si>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</si>
  <si>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</si>
  <si>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</si>
  <si>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</si>
  <si>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</si>
  <si>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</si>
  <si>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</si>
  <si>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</si>
  <si>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</si>
  <si>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</si>
  <si>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</si>
  <si>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</si>
  <si>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</si>
  <si>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</si>
  <si>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</si>
  <si>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</si>
  <si>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</si>
  <si>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</si>
  <si>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</si>
  <si>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</si>
  <si>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</si>
  <si>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</si>
  <si>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</si>
  <si>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</si>
  <si>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</si>
  <si>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</si>
  <si>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</si>
  <si>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</si>
  <si>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</si>
  <si>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</si>
  <si>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</si>
  <si>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</si>
  <si>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</si>
  <si>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</si>
  <si>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</si>
  <si>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</si>
  <si>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</si>
  <si>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</si>
  <si>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</si>
  <si>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</si>
  <si>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</si>
  <si>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</si>
  <si>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</si>
  <si>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</si>
  <si>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</si>
  <si>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</si>
  <si>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</si>
  <si>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</si>
  <si>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</si>
  <si>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</si>
  <si>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</si>
  <si>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</si>
  <si>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</si>
  <si>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</si>
  <si>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</si>
  <si>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</si>
  <si>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</si>
  <si>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</si>
  <si>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</si>
  <si>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</si>
  <si>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</si>
  <si>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</si>
  <si>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</si>
  <si>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</si>
  <si>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</si>
  <si>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</si>
  <si>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</si>
  <si>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</si>
  <si>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</si>
  <si>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</si>
  <si>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</si>
  <si>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</si>
  <si>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</si>
  <si>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</si>
  <si>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</si>
  <si>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</si>
  <si>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</si>
  <si>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</si>
  <si>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</si>
  <si>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</si>
  <si>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</si>
  <si>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</si>
  <si>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</si>
  <si>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</si>
  <si>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</si>
  <si>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</si>
  <si>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</si>
  <si>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</si>
  <si>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</si>
  <si>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</si>
  <si>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</si>
  <si>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</si>
  <si>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</si>
  <si>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</si>
  <si>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</si>
  <si>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</si>
  <si>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</si>
  <si>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</si>
  <si>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</si>
  <si>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</si>
  <si>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</si>
  <si>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</si>
  <si>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</si>
  <si>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</si>
  <si>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</si>
  <si>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</si>
  <si>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</si>
  <si>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</si>
  <si>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</si>
  <si>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</si>
  <si>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</si>
  <si>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</si>
  <si>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</si>
  <si>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</si>
  <si>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</si>
  <si>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</si>
  <si>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</si>
  <si>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</si>
  <si>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</si>
  <si>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</si>
  <si>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</si>
  <si>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</si>
  <si>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</si>
  <si>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</si>
  <si>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</si>
  <si>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</si>
  <si>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</si>
  <si>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</si>
  <si>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</si>
  <si>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</si>
  <si>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</si>
  <si>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</si>
  <si>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</si>
  <si>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</si>
  <si>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</si>
  <si>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</si>
  <si>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</si>
  <si>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</si>
  <si>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</si>
  <si>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</si>
  <si>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</si>
  <si>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</si>
  <si>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</si>
  <si>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</si>
  <si>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</si>
  <si>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</si>
  <si>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</si>
  <si>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</si>
  <si>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</si>
  <si>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</si>
  <si>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</si>
  <si>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</si>
  <si>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</si>
  <si>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</si>
  <si>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</si>
  <si>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</si>
  <si>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</si>
  <si>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</si>
  <si>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</si>
  <si>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</si>
  <si>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</si>
  <si>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</si>
  <si>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</si>
  <si>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</si>
  <si>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</si>
  <si>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</si>
  <si>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</si>
  <si>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</si>
  <si>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</si>
  <si>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</si>
  <si>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</si>
  <si>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</si>
  <si>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</si>
  <si>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</si>
  <si>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</si>
  <si>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</si>
  <si>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</si>
  <si>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</si>
  <si>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</si>
  <si>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</si>
  <si>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</si>
  <si>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</si>
  <si>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</si>
  <si>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</si>
  <si>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</si>
  <si>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</si>
  <si>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</si>
  <si>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</si>
  <si>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</si>
  <si>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</si>
  <si>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</si>
  <si>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</si>
  <si>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</si>
  <si>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</si>
  <si>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</si>
  <si>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</si>
  <si>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</si>
  <si>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</si>
  <si>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</si>
  <si>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</si>
  <si>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</si>
  <si>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</si>
  <si>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</si>
  <si>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</si>
  <si>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</si>
  <si>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</si>
  <si>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</si>
  <si>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</si>
  <si>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</si>
  <si>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</si>
  <si>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</si>
  <si>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</si>
  <si>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</si>
  <si>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</si>
  <si>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</si>
  <si>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</si>
  <si>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</si>
  <si>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</si>
  <si>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</si>
  <si>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</si>
  <si>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</si>
  <si>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</si>
  <si>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</si>
  <si>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</si>
  <si>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</si>
  <si>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</si>
  <si>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</si>
  <si>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</si>
  <si>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</si>
  <si>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</si>
  <si>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</si>
  <si>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</si>
  <si>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</si>
  <si>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</si>
  <si>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</si>
  <si>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</si>
  <si>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</si>
  <si>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</si>
  <si>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</si>
  <si>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</si>
  <si>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</si>
  <si>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</si>
  <si>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</si>
  <si>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</si>
  <si>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</si>
  <si>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</si>
  <si>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</si>
  <si>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</si>
  <si>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</si>
  <si>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</si>
  <si>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</si>
  <si>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</si>
  <si>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</si>
  <si>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</si>
  <si>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</si>
  <si>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</si>
  <si>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</si>
  <si>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</si>
  <si>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</si>
  <si>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</si>
  <si>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</si>
  <si>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</si>
  <si>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</si>
  <si>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</si>
  <si>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</si>
  <si>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</si>
  <si>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</si>
  <si>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</si>
  <si>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</si>
  <si>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</si>
  <si>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</si>
  <si>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</si>
  <si>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</si>
  <si>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</si>
  <si>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</si>
  <si>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</si>
  <si>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</si>
  <si>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</si>
  <si>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</si>
  <si>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</si>
  <si>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</si>
  <si>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</si>
  <si>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</si>
  <si>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</si>
  <si>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</si>
  <si>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</si>
  <si>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</si>
  <si>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</si>
  <si>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</si>
  <si>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</si>
  <si>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</si>
  <si>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</si>
  <si>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</si>
  <si>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</si>
  <si>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</si>
  <si>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</si>
  <si>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</si>
  <si>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</si>
  <si>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</si>
  <si>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</si>
  <si>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</si>
  <si>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</si>
  <si>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</si>
  <si>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</si>
  <si>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</si>
  <si>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</si>
  <si>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</si>
  <si>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</si>
  <si>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</si>
  <si>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</si>
  <si>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</si>
  <si>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</si>
  <si>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</si>
  <si>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</si>
  <si>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</si>
  <si>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</si>
  <si>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</si>
  <si>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</si>
  <si>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</si>
  <si>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</si>
  <si>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</si>
  <si>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</si>
  <si>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</si>
  <si>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</si>
  <si>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</si>
  <si>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</si>
  <si>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</si>
  <si>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</si>
  <si>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</si>
  <si>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</si>
  <si>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</si>
  <si>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</si>
  <si>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</si>
  <si>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</si>
  <si>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</si>
  <si>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</si>
  <si>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</si>
  <si>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</si>
  <si>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</si>
  <si>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</si>
  <si>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</si>
  <si>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</si>
  <si>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</si>
  <si>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</si>
  <si>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</si>
  <si>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</si>
  <si>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</si>
  <si>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</si>
  <si>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</si>
  <si>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</si>
  <si>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</si>
  <si>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</si>
  <si>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</si>
  <si>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</si>
  <si>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</si>
  <si>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</si>
  <si>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</si>
  <si>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</si>
  <si>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</si>
  <si>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</si>
  <si>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</si>
  <si>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</si>
  <si>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</si>
  <si>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</si>
  <si>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</si>
  <si>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</si>
  <si>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</si>
  <si>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</si>
  <si>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</si>
  <si>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</si>
  <si>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</si>
  <si>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</si>
  <si>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</si>
  <si>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</si>
  <si>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</si>
  <si>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</si>
  <si>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</si>
  <si>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</si>
  <si>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</si>
  <si>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</si>
  <si>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</si>
  <si>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</si>
  <si>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</si>
  <si>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</si>
  <si>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</si>
  <si>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</si>
  <si>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</si>
  <si>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</si>
  <si>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</si>
  <si>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</si>
  <si>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</si>
  <si>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</si>
  <si>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</si>
  <si>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</si>
  <si>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</si>
  <si>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</si>
  <si>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</si>
  <si>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</si>
  <si>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</si>
  <si>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</si>
  <si>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</si>
  <si>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</si>
  <si>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</si>
  <si>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</si>
  <si>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</si>
  <si>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</si>
  <si>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</si>
  <si>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</si>
  <si>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</si>
  <si>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</si>
  <si>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</si>
  <si>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</si>
  <si>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</si>
  <si>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</si>
  <si>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</si>
  <si>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</si>
  <si>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</si>
  <si>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</si>
  <si>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</si>
  <si>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</si>
  <si>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</si>
  <si>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</si>
  <si>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</si>
  <si>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</si>
  <si>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</si>
  <si>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</si>
  <si>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</si>
  <si>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</si>
  <si>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</si>
  <si>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</si>
  <si>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</si>
  <si>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</si>
  <si>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</si>
  <si>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</si>
  <si>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</si>
  <si>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</si>
  <si>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</si>
  <si>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</si>
  <si>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</si>
  <si>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</si>
  <si>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</si>
  <si>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</si>
  <si>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</si>
  <si>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</si>
  <si>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</si>
  <si>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</si>
  <si>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</si>
  <si>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</si>
  <si>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</si>
  <si>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</si>
  <si>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</si>
  <si>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</si>
  <si>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</si>
  <si>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</si>
  <si>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</si>
  <si>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</si>
  <si>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</si>
  <si>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</si>
  <si>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</si>
  <si>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</si>
  <si>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</si>
  <si>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</si>
  <si>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</si>
  <si>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</si>
  <si>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</si>
  <si>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</si>
  <si>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</si>
  <si>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</si>
  <si>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</si>
  <si>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</si>
  <si>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</si>
  <si>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</si>
  <si>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</si>
  <si>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</si>
  <si>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</si>
  <si>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</si>
  <si>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</si>
  <si>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</si>
  <si>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</si>
  <si>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</si>
  <si>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</si>
  <si>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</si>
  <si>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</si>
  <si>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</si>
  <si>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</si>
  <si>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</si>
  <si>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</si>
  <si>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</si>
  <si>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</si>
  <si>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</si>
  <si>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</si>
  <si>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</si>
  <si>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</si>
  <si>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</si>
  <si>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</si>
  <si>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</si>
  <si>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</si>
  <si>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</si>
  <si>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</si>
  <si>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</si>
  <si>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</si>
  <si>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</si>
  <si>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</si>
  <si>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</si>
  <si>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</si>
  <si>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</si>
  <si>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</si>
  <si>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</si>
  <si>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</si>
  <si>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</si>
  <si>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</si>
  <si>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</si>
  <si>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</si>
  <si>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</si>
  <si>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</si>
  <si>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</si>
  <si>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</si>
  <si>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</si>
  <si>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</si>
  <si>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</si>
  <si>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</si>
  <si>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</si>
  <si>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</si>
  <si>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</si>
  <si>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</si>
  <si>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</si>
  <si>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</si>
  <si>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</si>
  <si>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</si>
  <si>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</si>
  <si>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</si>
  <si>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</si>
  <si>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</si>
  <si>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</si>
  <si>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</si>
  <si>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</si>
  <si>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</si>
  <si>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</si>
  <si>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</si>
  <si>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</si>
  <si>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</si>
  <si>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</si>
  <si>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</si>
  <si>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</si>
  <si>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</si>
  <si>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</si>
  <si>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</si>
  <si>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</si>
  <si>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</si>
  <si>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</si>
  <si>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</si>
  <si>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</si>
  <si>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</si>
  <si>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</si>
  <si>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</si>
  <si>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</si>
  <si>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</si>
  <si>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</si>
  <si>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</si>
  <si>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</si>
  <si>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</si>
  <si>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</si>
  <si>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</si>
  <si>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</si>
  <si>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</si>
  <si>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</si>
  <si>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</si>
  <si>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</si>
  <si>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</si>
  <si>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</si>
  <si>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</si>
  <si>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</si>
  <si>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</si>
  <si>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</si>
  <si>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</si>
  <si>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</si>
  <si>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</si>
  <si>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</si>
  <si>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</si>
  <si>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</si>
  <si>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</si>
  <si>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</si>
  <si>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</si>
  <si>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</si>
  <si>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</si>
  <si>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</si>
  <si>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</si>
  <si>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</si>
  <si>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</si>
  <si>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</si>
  <si>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</si>
  <si>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</si>
  <si>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</si>
  <si>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</si>
  <si>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</si>
  <si>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</si>
  <si>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</si>
  <si>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</si>
  <si>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</si>
  <si>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</si>
  <si>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</si>
  <si>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</si>
  <si>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</si>
  <si>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</si>
  <si>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</si>
  <si>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</si>
  <si>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</si>
  <si>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</si>
  <si>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</si>
  <si>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</si>
  <si>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</si>
  <si>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</si>
  <si>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</si>
  <si>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</si>
  <si>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</si>
  <si>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</si>
  <si>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</si>
  <si>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</si>
  <si>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</si>
  <si>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</si>
  <si>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</si>
  <si>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</si>
  <si>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</si>
  <si>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</si>
  <si>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</si>
  <si>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</si>
  <si>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</si>
  <si>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</si>
  <si>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</si>
  <si>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</si>
  <si>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</si>
  <si>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</si>
  <si>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</si>
  <si>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</si>
  <si>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</si>
  <si>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</si>
  <si>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</si>
  <si>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</si>
  <si>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</si>
  <si>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</si>
  <si>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</si>
  <si>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</si>
  <si>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</si>
  <si>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</si>
  <si>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</si>
  <si>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</si>
  <si>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</si>
  <si>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</si>
  <si>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</si>
  <si>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</si>
  <si>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</si>
  <si>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</si>
  <si>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</si>
  <si>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</si>
  <si>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</si>
  <si>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</si>
  <si>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</si>
  <si>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</si>
  <si>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</si>
  <si>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</si>
  <si>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</si>
  <si>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</si>
  <si>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</si>
  <si>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</si>
  <si>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</si>
  <si>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</si>
  <si>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</si>
  <si>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</si>
  <si>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</si>
  <si>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</si>
  <si>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</si>
  <si>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</si>
  <si>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</si>
  <si>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</si>
  <si>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</si>
  <si>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</si>
  <si>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</si>
  <si>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</si>
  <si>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</si>
  <si>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</si>
  <si>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</si>
  <si>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</si>
  <si>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</si>
  <si>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</si>
  <si>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</si>
  <si>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</si>
  <si>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</si>
  <si>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</si>
  <si>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</si>
  <si>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</si>
  <si>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</si>
  <si>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</si>
  <si>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</si>
  <si>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</si>
  <si>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</si>
  <si>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</si>
  <si>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</si>
  <si>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</si>
  <si>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</si>
  <si>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</si>
  <si>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</si>
  <si>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</si>
  <si>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</si>
  <si>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</si>
  <si>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</si>
  <si>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</si>
  <si>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</si>
  <si>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</si>
  <si>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</si>
  <si>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</si>
  <si>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</si>
  <si>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</si>
  <si>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</si>
  <si>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</si>
  <si>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</si>
  <si>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</si>
  <si>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</si>
  <si>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</si>
  <si>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</si>
  <si>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</si>
  <si>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</si>
  <si>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</si>
  <si>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</si>
  <si>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</si>
  <si>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</si>
  <si>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</si>
  <si>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</si>
  <si>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</si>
  <si>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</si>
  <si>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</si>
  <si>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</si>
  <si>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</si>
  <si>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</si>
  <si>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</si>
  <si>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</si>
  <si>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</si>
  <si>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</si>
  <si>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</si>
  <si>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</si>
  <si>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</si>
  <si>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</si>
  <si>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</si>
  <si>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</si>
  <si>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</si>
  <si>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</si>
  <si>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</si>
  <si>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</si>
  <si>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</si>
  <si>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</si>
  <si>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</si>
  <si>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</si>
  <si>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</si>
  <si>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</si>
  <si>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</si>
  <si>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</si>
  <si>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</si>
  <si>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</si>
  <si>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</si>
  <si>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</si>
  <si>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</si>
  <si>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</si>
  <si>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</si>
  <si>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</si>
  <si>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</si>
  <si>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</si>
  <si>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</si>
  <si>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</si>
  <si>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</si>
  <si>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</si>
  <si>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</si>
  <si>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</si>
  <si>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</si>
  <si>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</si>
  <si>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</si>
  <si>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</si>
  <si>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</si>
  <si>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</si>
  <si>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</si>
  <si>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</si>
  <si>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</si>
  <si>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</si>
  <si>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</si>
  <si>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</si>
  <si>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</si>
  <si>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</si>
  <si>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</si>
  <si>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</si>
  <si>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</si>
  <si>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</si>
  <si>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</si>
  <si>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</si>
  <si>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</si>
  <si>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</si>
  <si>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</si>
  <si>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</si>
  <si>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</si>
  <si>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</si>
  <si>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</si>
  <si>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</si>
  <si>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</si>
  <si>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</si>
  <si>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</si>
  <si>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</si>
  <si>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</si>
  <si>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</si>
  <si>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</si>
  <si>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</si>
  <si>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</si>
  <si>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</si>
  <si>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</si>
  <si>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</si>
  <si>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</si>
  <si>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</si>
  <si>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</si>
  <si>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</si>
  <si>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</si>
  <si>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</si>
  <si>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</si>
  <si>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</si>
  <si>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</si>
  <si>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</si>
  <si>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</si>
  <si>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</si>
  <si>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</si>
  <si>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</si>
  <si>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</si>
  <si>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</si>
  <si>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</si>
  <si>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</si>
  <si>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</si>
  <si>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</si>
  <si>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</si>
  <si>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</si>
  <si>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</si>
  <si>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</si>
  <si>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</si>
  <si>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</si>
  <si>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</si>
  <si>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</si>
  <si>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</si>
  <si>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</si>
  <si>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</si>
  <si>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</si>
  <si>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</si>
  <si>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</si>
  <si>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</si>
  <si>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</si>
  <si>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</si>
  <si>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</si>
  <si>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</si>
  <si>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</si>
  <si>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</si>
  <si>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</si>
  <si>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</si>
  <si>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</si>
  <si>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</si>
  <si>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</si>
  <si>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</si>
  <si>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</si>
  <si>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</si>
  <si>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</si>
  <si>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</si>
  <si>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</si>
  <si>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</si>
  <si>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</si>
  <si>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</si>
  <si>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</si>
  <si>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</si>
  <si>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</si>
  <si>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</si>
  <si>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</si>
  <si>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</si>
  <si>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</si>
  <si>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</si>
  <si>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</si>
  <si>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</si>
  <si>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</si>
  <si>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</si>
  <si>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</si>
  <si>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</si>
  <si>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</si>
  <si>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</si>
  <si>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</si>
  <si>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</si>
  <si>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</si>
  <si>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</si>
  <si>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</si>
  <si>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</si>
  <si>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</si>
  <si>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</si>
  <si>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</si>
  <si>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</si>
  <si>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</si>
  <si>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</si>
  <si>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</si>
  <si>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</si>
  <si>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</si>
  <si>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</si>
  <si>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</si>
  <si>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</si>
  <si>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</si>
  <si>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</si>
  <si>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</si>
  <si>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</si>
  <si>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</si>
  <si>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</si>
  <si>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</si>
  <si>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</si>
  <si>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</si>
  <si>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</si>
  <si>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</si>
  <si>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</si>
  <si>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</si>
  <si>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</si>
  <si>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</si>
  <si>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</si>
  <si>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</si>
  <si>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</si>
  <si>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</si>
  <si>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</si>
  <si>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</si>
  <si>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</si>
  <si>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</si>
  <si>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</si>
  <si>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</si>
  <si>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</si>
  <si>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</si>
  <si>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</si>
  <si>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</si>
  <si>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</si>
  <si>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</si>
  <si>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</si>
  <si>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</si>
  <si>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</si>
  <si>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</si>
  <si>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</si>
  <si>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</si>
  <si>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</si>
  <si>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</si>
  <si>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</si>
  <si>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</si>
  <si>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</si>
  <si>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</si>
  <si>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</si>
  <si>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</si>
  <si>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</si>
  <si>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</si>
  <si>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</si>
  <si>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</si>
  <si>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</si>
  <si>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</si>
  <si>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</si>
  <si>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</si>
  <si>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</si>
  <si>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</si>
  <si>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</si>
  <si>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</si>
  <si>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</si>
  <si>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</si>
  <si>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</si>
  <si>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</si>
  <si>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</si>
  <si>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</si>
  <si>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</si>
  <si>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</si>
  <si>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</si>
  <si>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</si>
  <si>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</si>
  <si>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</si>
  <si>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</si>
  <si>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</si>
  <si>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</si>
  <si>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</si>
  <si>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</si>
  <si>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</si>
  <si>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</si>
  <si>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</si>
  <si>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</si>
  <si>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</si>
  <si>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</si>
  <si>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</si>
  <si>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</si>
  <si>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</si>
  <si>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</si>
  <si>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</si>
  <si>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</si>
  <si>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</si>
  <si>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</si>
  <si>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</si>
  <si>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</si>
  <si>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</si>
  <si>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</si>
  <si>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</si>
  <si>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</si>
  <si>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</si>
  <si>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</si>
  <si>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</si>
  <si>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</si>
  <si>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</si>
  <si>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</si>
  <si>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</si>
  <si>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</si>
  <si>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</si>
  <si>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</si>
  <si>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</si>
  <si>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</si>
  <si>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</si>
  <si>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</si>
  <si>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</si>
  <si>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</si>
  <si>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</si>
  <si>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</si>
  <si>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</si>
  <si>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</si>
  <si>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</si>
  <si>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</si>
  <si>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</si>
  <si>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</si>
  <si>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</si>
  <si>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</si>
  <si>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</si>
  <si>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</si>
  <si>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</si>
  <si>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</si>
  <si>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</si>
  <si>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</si>
  <si>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</si>
  <si>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</si>
  <si>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</si>
  <si>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</si>
  <si>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</si>
  <si>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</si>
  <si>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</si>
  <si>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</si>
  <si>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</si>
  <si>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</si>
  <si>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</si>
  <si>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</si>
  <si>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</si>
  <si>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</si>
  <si>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</si>
  <si>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</si>
  <si>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</si>
  <si>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</si>
  <si>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</si>
  <si>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</si>
  <si>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</si>
  <si>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</si>
  <si>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</si>
  <si>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</si>
  <si>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</si>
  <si>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</si>
  <si>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</si>
  <si>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</si>
  <si>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</si>
  <si>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</si>
  <si>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</si>
  <si>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</si>
  <si>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</si>
  <si>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</si>
  <si>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</si>
  <si>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</si>
  <si>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</si>
  <si>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</si>
  <si>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</si>
  <si>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</si>
  <si>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</si>
  <si>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</si>
  <si>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</si>
  <si>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</si>
  <si>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</si>
  <si>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</si>
  <si>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</si>
  <si>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</si>
  <si>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</si>
  <si>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</si>
  <si>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</si>
  <si>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</si>
  <si>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</si>
  <si>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</si>
  <si>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</si>
  <si>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</si>
  <si>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</si>
  <si>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</si>
  <si>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</si>
  <si>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</si>
  <si>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</si>
  <si>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</si>
  <si>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</si>
  <si>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</si>
  <si>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</si>
  <si>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</si>
  <si>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</si>
  <si>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</si>
  <si>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</si>
  <si>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</si>
  <si>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</si>
  <si>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</si>
  <si>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</si>
  <si>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</si>
  <si>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</si>
  <si>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</si>
  <si>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</si>
  <si>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</si>
  <si>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</si>
  <si>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</si>
  <si>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</si>
  <si>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</si>
  <si>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</si>
  <si>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</si>
  <si>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</si>
  <si>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</si>
  <si>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</si>
  <si>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</si>
  <si>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</si>
  <si>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</si>
  <si>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</si>
  <si>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</si>
  <si>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</si>
  <si>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</si>
  <si>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</si>
  <si>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</si>
  <si>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</si>
  <si>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</si>
  <si>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</si>
  <si>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</si>
  <si>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</si>
  <si>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</si>
  <si>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</si>
  <si>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</si>
  <si>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</si>
  <si>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</si>
  <si>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</si>
  <si>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</si>
  <si>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</si>
  <si>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</si>
  <si>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</si>
  <si>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</si>
  <si>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</si>
  <si>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</si>
  <si>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</si>
  <si>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</si>
  <si>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</si>
  <si>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</si>
  <si>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</si>
  <si>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</si>
  <si>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</si>
  <si>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</si>
  <si>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</si>
  <si>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</si>
  <si>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</si>
  <si>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</si>
  <si>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</si>
  <si>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</si>
  <si>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</si>
  <si>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</si>
  <si>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</si>
  <si>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</si>
  <si>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</si>
  <si>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</si>
  <si>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</si>
  <si>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</si>
  <si>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</si>
  <si>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</si>
  <si>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</si>
  <si>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</si>
  <si>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</si>
  <si>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</si>
  <si>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</si>
  <si>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</si>
  <si>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</si>
  <si>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</si>
  <si>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</si>
  <si>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</si>
  <si>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</si>
  <si>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</si>
  <si>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</si>
  <si>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</si>
  <si>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</si>
  <si>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</si>
  <si>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</si>
  <si>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</si>
  <si>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</si>
  <si>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</si>
  <si>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</si>
  <si>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</si>
  <si>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</si>
  <si>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</si>
  <si>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</si>
  <si>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</si>
  <si>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</si>
  <si>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</si>
  <si>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</si>
  <si>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</si>
  <si>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</si>
  <si>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</si>
  <si>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</si>
  <si>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</si>
  <si>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</si>
  <si>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</si>
  <si>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</si>
  <si>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</si>
  <si>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</si>
  <si>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</si>
  <si>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</si>
  <si>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</si>
  <si>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</si>
  <si>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</si>
  <si>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</si>
  <si>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</si>
  <si>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</si>
  <si>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</si>
  <si>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</si>
  <si>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</si>
  <si>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</si>
  <si>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</si>
  <si>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</si>
  <si>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</si>
  <si>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</si>
  <si>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</si>
  <si>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</si>
  <si>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</si>
  <si>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</si>
  <si>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</si>
  <si>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</si>
  <si>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</si>
  <si>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</si>
  <si>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</si>
  <si>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</si>
  <si>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</si>
  <si>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</si>
  <si>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</si>
  <si>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</si>
  <si>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</si>
  <si>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</si>
  <si>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</si>
  <si>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</si>
  <si>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</si>
  <si>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</si>
  <si>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</si>
  <si>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</si>
  <si>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</si>
  <si>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</si>
  <si>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</si>
  <si>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</si>
  <si>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</si>
  <si>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</si>
  <si>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</si>
  <si>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</si>
  <si>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</si>
  <si>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</si>
  <si>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</si>
  <si>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</si>
  <si>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</si>
  <si>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</si>
  <si>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</si>
  <si>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</si>
  <si>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</si>
  <si>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</si>
  <si>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</si>
  <si>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</si>
  <si>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</si>
  <si>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</si>
  <si>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</si>
  <si>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</si>
  <si>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</si>
  <si>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</si>
  <si>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</si>
  <si>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</si>
  <si>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</si>
  <si>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</si>
  <si>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</si>
  <si>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</si>
  <si>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</si>
  <si>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</si>
  <si>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</si>
  <si>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</si>
  <si>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</si>
  <si>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</si>
  <si>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</si>
  <si>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</si>
  <si>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</si>
  <si>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</si>
  <si>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</si>
  <si>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</si>
  <si>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</si>
  <si>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</si>
  <si>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</si>
  <si>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</si>
  <si>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</si>
  <si>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</si>
  <si>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</si>
  <si>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</si>
  <si>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</si>
  <si>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</si>
  <si>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</si>
  <si>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</si>
  <si>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</si>
  <si>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</si>
  <si>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</si>
  <si>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</si>
  <si>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</si>
  <si>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</si>
  <si>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</si>
  <si>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</si>
  <si>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</si>
  <si>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</si>
  <si>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</si>
  <si>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</si>
  <si>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</si>
  <si>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</si>
  <si>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</si>
  <si>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</si>
  <si>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</si>
  <si>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</si>
  <si>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</si>
  <si>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</si>
  <si>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</si>
  <si>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</si>
  <si>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</si>
  <si>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</si>
  <si>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</si>
  <si>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</si>
  <si>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</si>
  <si>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</si>
  <si>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</si>
  <si>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</si>
  <si>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</si>
  <si>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</si>
  <si>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</si>
  <si>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</si>
  <si>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</si>
  <si>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</si>
  <si>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</si>
  <si>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</si>
  <si>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</si>
  <si>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</si>
  <si>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</si>
  <si>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</si>
  <si>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</si>
  <si>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</si>
  <si>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</si>
  <si>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</si>
  <si>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</si>
  <si>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</si>
  <si>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</si>
  <si>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</si>
  <si>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</si>
  <si>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</si>
  <si>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</si>
  <si>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</si>
  <si>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</si>
  <si>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</si>
  <si>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</si>
  <si>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</si>
  <si>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</si>
  <si>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</si>
  <si>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</si>
  <si>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</si>
  <si>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</si>
  <si>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</si>
  <si>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</si>
  <si>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</si>
  <si>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</si>
  <si>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</si>
  <si>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</si>
  <si>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</si>
  <si>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</si>
  <si>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</si>
  <si>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</si>
  <si>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</si>
  <si>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</si>
  <si>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</si>
  <si>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</si>
  <si>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</si>
  <si>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</si>
  <si>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</si>
  <si>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</si>
  <si>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</si>
  <si>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</si>
  <si>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</si>
  <si>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</si>
  <si>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</si>
  <si>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</si>
  <si>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</si>
  <si>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</si>
  <si>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</si>
  <si>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</si>
  <si>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</si>
  <si>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</si>
  <si>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</si>
  <si>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</si>
  <si>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</si>
  <si>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</si>
  <si>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</si>
  <si>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</si>
  <si>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</si>
  <si>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</si>
  <si>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</si>
  <si>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</si>
  <si>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</si>
  <si>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</si>
  <si>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</si>
  <si>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</si>
  <si>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</si>
  <si>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</si>
  <si>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</si>
  <si>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</si>
  <si>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</si>
  <si>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</si>
  <si>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</si>
  <si>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</si>
  <si>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</si>
  <si>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</si>
  <si>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</si>
  <si>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</si>
  <si>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</si>
  <si>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</si>
  <si>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</si>
  <si>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</si>
  <si>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</si>
  <si>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</si>
  <si>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</si>
  <si>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</si>
  <si>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</si>
  <si>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</si>
  <si>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</si>
  <si>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</si>
  <si>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</si>
  <si>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</si>
  <si>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</si>
  <si>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</si>
  <si>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</si>
  <si>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</si>
  <si>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</si>
  <si>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</si>
  <si>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</si>
  <si>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</si>
  <si>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</si>
  <si>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</si>
  <si>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</si>
  <si>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</si>
  <si>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</si>
  <si>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</si>
  <si>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</si>
  <si>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</si>
  <si>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</si>
  <si>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</si>
  <si>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</si>
  <si>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</si>
  <si>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</si>
  <si>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</si>
  <si>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</si>
  <si>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</si>
  <si>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</si>
  <si>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</si>
  <si>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</si>
  <si>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</si>
  <si>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</si>
  <si>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</si>
  <si>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</si>
  <si>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</si>
  <si>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</si>
  <si>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</si>
  <si>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</si>
  <si>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</si>
  <si>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</si>
  <si>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</si>
  <si>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</si>
  <si>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</si>
  <si>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</si>
  <si>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</si>
  <si>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</si>
  <si>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</si>
  <si>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</si>
  <si>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</si>
  <si>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</si>
  <si>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</si>
  <si>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</si>
  <si>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</si>
  <si>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</si>
  <si>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</si>
  <si>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</si>
  <si>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</si>
  <si>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</si>
  <si>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</si>
  <si>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</si>
  <si>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</si>
  <si>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</si>
  <si>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</si>
  <si>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</si>
  <si>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</si>
  <si>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</si>
  <si>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</si>
  <si>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</si>
  <si>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</si>
  <si>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</si>
  <si>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</si>
  <si>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</si>
  <si>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</si>
  <si>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</si>
  <si>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</si>
  <si>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</si>
  <si>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</si>
  <si>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</si>
  <si>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</si>
  <si>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</si>
  <si>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</si>
  <si>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</si>
  <si>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</si>
  <si>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</si>
  <si>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</si>
  <si>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</si>
  <si>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</si>
  <si>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</si>
  <si>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</si>
  <si>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</si>
  <si>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</si>
  <si>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</si>
  <si>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</si>
  <si>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</si>
  <si>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</si>
  <si>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</si>
  <si>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</si>
  <si>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</si>
  <si>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</si>
  <si>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</si>
  <si>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</si>
  <si>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</si>
  <si>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</si>
  <si>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</si>
  <si>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</si>
  <si>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</si>
  <si>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</si>
  <si>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</si>
  <si>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</si>
  <si>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</si>
  <si>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</si>
  <si>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</si>
  <si>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</si>
  <si>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</si>
  <si>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</si>
  <si>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</si>
  <si>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</si>
  <si>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</si>
  <si>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</si>
  <si>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</si>
  <si>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</si>
  <si>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</si>
  <si>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</si>
  <si>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</si>
  <si>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</si>
  <si>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</si>
  <si>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</si>
  <si>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</si>
  <si>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</si>
  <si>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</si>
  <si>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</si>
  <si>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</si>
  <si>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</si>
  <si>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</si>
  <si>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</si>
  <si>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</si>
  <si>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</si>
  <si>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</si>
  <si>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</si>
  <si>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</si>
  <si>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</si>
  <si>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</si>
  <si>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</si>
  <si>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</si>
  <si>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</si>
  <si>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</si>
  <si>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</si>
  <si>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</si>
  <si>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</si>
  <si>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</si>
  <si>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</si>
  <si>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</si>
  <si>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</si>
  <si>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</si>
  <si>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</si>
  <si>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</si>
  <si>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</si>
  <si>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</si>
  <si>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</si>
  <si>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</si>
  <si>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</si>
  <si>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</si>
  <si>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</si>
  <si>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</si>
  <si>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</si>
  <si>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</si>
  <si>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</si>
  <si>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</si>
  <si>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</si>
  <si>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</si>
  <si>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</si>
  <si>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</si>
  <si>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</si>
  <si>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</si>
  <si>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</si>
  <si>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</si>
  <si>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</si>
  <si>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</si>
  <si>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</si>
  <si>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</si>
  <si>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</si>
  <si>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</si>
  <si>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</si>
  <si>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</si>
  <si>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</si>
  <si>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</si>
  <si>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</si>
  <si>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</si>
  <si>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</si>
  <si>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</si>
  <si>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</si>
  <si>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</si>
  <si>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</si>
  <si>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</si>
  <si>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</si>
  <si>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</si>
  <si>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</si>
  <si>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</si>
  <si>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</si>
  <si>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</si>
  <si>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</si>
  <si>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</si>
  <si>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</si>
  <si>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</si>
  <si>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</si>
  <si>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</si>
  <si>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</si>
  <si>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</si>
  <si>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</si>
  <si>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</si>
  <si>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</si>
  <si>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</si>
  <si>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</si>
  <si>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</si>
  <si>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</si>
  <si>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</si>
  <si>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</si>
  <si>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</si>
  <si>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</si>
  <si>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</si>
  <si>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</si>
  <si>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</si>
  <si>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</si>
  <si>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</si>
  <si>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</si>
  <si>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</si>
  <si>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</si>
  <si>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</si>
  <si>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</si>
  <si>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</si>
  <si>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</si>
  <si>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</si>
  <si>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</si>
  <si>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</si>
  <si>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</si>
  <si>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</si>
  <si>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</si>
  <si>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</si>
  <si>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</si>
  <si>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</si>
  <si>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</si>
  <si>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</si>
  <si>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</si>
  <si>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</si>
  <si>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</si>
  <si>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</si>
  <si>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</si>
  <si>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</si>
  <si>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</si>
  <si>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</si>
  <si>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</si>
  <si>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</si>
  <si>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</si>
  <si>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</si>
  <si>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</si>
  <si>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</si>
  <si>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</si>
  <si>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</si>
  <si>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</si>
  <si>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</si>
  <si>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</si>
  <si>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</si>
  <si>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</si>
  <si>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</si>
  <si>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</si>
  <si>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</si>
  <si>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</si>
  <si>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</si>
  <si>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</si>
  <si>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</si>
  <si>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</si>
  <si>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</si>
  <si>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</si>
  <si>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</si>
  <si>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</si>
  <si>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</si>
  <si>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</si>
  <si>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</si>
  <si>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</si>
  <si>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</si>
  <si>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</si>
  <si>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</si>
  <si>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</si>
  <si>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</si>
  <si>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</si>
  <si>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</si>
  <si>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</si>
  <si>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</si>
  <si>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</si>
  <si>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</si>
  <si>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</si>
  <si>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</si>
  <si>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</si>
  <si>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</si>
  <si>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</si>
  <si>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</si>
  <si>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</si>
  <si>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</si>
  <si>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</si>
  <si>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</si>
  <si>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</si>
  <si>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</si>
  <si>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</si>
  <si>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</si>
  <si>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</si>
  <si>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</si>
  <si>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</si>
  <si>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</si>
  <si>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</si>
  <si>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</si>
  <si>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</si>
  <si>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</si>
  <si>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</si>
  <si>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</si>
  <si>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</si>
  <si>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</si>
  <si>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</si>
  <si>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</si>
  <si>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</si>
  <si>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</si>
  <si>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</si>
  <si>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</si>
  <si>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</si>
  <si>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</si>
  <si>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</si>
  <si>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</si>
  <si>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</si>
  <si>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</si>
  <si>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</si>
  <si>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</si>
  <si>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</si>
  <si>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</si>
  <si>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</si>
  <si>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</si>
  <si>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</si>
  <si>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</si>
  <si>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</si>
  <si>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</si>
  <si>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</si>
  <si>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</si>
  <si>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</si>
  <si>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</si>
  <si>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</si>
  <si>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</si>
  <si>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</si>
  <si>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</si>
  <si>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</si>
  <si>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</si>
  <si>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</si>
  <si>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</si>
  <si>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</si>
  <si>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</si>
  <si>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</si>
  <si>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</si>
  <si>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</si>
  <si>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</si>
  <si>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</si>
  <si>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</si>
  <si>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</si>
  <si>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</si>
  <si>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</si>
  <si>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</si>
  <si>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</si>
  <si>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</si>
  <si>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</si>
  <si>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</si>
  <si>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</si>
  <si>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</si>
  <si>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</si>
  <si>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</si>
  <si>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</si>
  <si>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</si>
  <si>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</si>
  <si>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</si>
  <si>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</si>
  <si>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</si>
  <si>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</si>
  <si>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</si>
  <si>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</si>
  <si>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</si>
  <si>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</si>
  <si>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</si>
  <si>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</si>
  <si>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</si>
  <si>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</si>
  <si>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</si>
  <si>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</si>
  <si>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</si>
  <si>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</si>
  <si>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</si>
  <si>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</si>
  <si>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</si>
  <si>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</si>
  <si>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</si>
  <si>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</si>
  <si>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</si>
  <si>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</si>
  <si>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</si>
  <si>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</si>
  <si>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</si>
  <si>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</si>
  <si>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</si>
  <si>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</si>
  <si>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</si>
  <si>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</si>
  <si>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</si>
  <si>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</si>
  <si>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</si>
  <si>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</si>
  <si>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</si>
  <si>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</si>
  <si>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</si>
  <si>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</si>
  <si>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</si>
  <si>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</si>
  <si>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</si>
  <si>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</si>
  <si>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</si>
  <si>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</si>
  <si>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</si>
  <si>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</si>
  <si>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</si>
  <si>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</si>
  <si>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</si>
  <si>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</si>
  <si>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</si>
  <si>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</si>
  <si>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</si>
  <si>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</si>
  <si>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</si>
  <si>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</si>
  <si>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</si>
  <si>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</si>
  <si>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</si>
  <si>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</si>
  <si>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</si>
  <si>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</si>
  <si>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</si>
  <si>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</si>
  <si>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</si>
  <si>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</si>
  <si>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</si>
  <si>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</si>
  <si>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</si>
  <si>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</si>
  <si>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</si>
  <si>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</si>
  <si>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</si>
  <si>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</si>
  <si>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</si>
  <si>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</si>
  <si>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</si>
  <si>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</si>
  <si>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</si>
  <si>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</si>
  <si>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</si>
  <si>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</si>
  <si>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</si>
  <si>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</si>
  <si>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</si>
  <si>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</si>
  <si>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</si>
  <si>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</si>
  <si>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</si>
  <si>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</si>
  <si>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</si>
  <si>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</si>
  <si>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</si>
  <si>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</si>
  <si>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</si>
  <si>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</si>
  <si>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</si>
  <si>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</si>
  <si>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</si>
  <si>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</si>
  <si>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</si>
  <si>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</si>
  <si>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</si>
  <si>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</si>
  <si>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</si>
  <si>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</si>
  <si>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</si>
  <si>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</si>
  <si>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</si>
  <si>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</si>
  <si>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</si>
  <si>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</si>
  <si>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</si>
  <si>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</si>
  <si>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</si>
  <si>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</si>
  <si>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</si>
  <si>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</si>
  <si>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</si>
  <si>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</si>
  <si>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</si>
  <si>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</si>
  <si>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</si>
  <si>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</si>
  <si>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</si>
  <si>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</si>
  <si>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</si>
  <si>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</si>
  <si>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</si>
  <si>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</si>
  <si>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</si>
  <si>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</si>
  <si>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</si>
  <si>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</si>
  <si>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</si>
  <si>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</si>
  <si>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</si>
  <si>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</si>
  <si>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</si>
  <si>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</si>
  <si>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</si>
  <si>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</si>
  <si>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</si>
  <si>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</si>
  <si>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</si>
  <si>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</si>
  <si>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</si>
  <si>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</si>
  <si>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</si>
  <si>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</si>
  <si>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</si>
  <si>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</si>
  <si>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</si>
  <si>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</si>
  <si>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</si>
  <si>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</si>
  <si>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</si>
  <si>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</si>
  <si>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</si>
  <si>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</si>
  <si>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</si>
  <si>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</si>
  <si>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</si>
  <si>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</si>
  <si>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</si>
  <si>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</si>
  <si>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</si>
  <si>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</si>
  <si>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</si>
  <si>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</si>
  <si>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</si>
  <si>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</si>
  <si>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</si>
  <si>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</si>
  <si>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</si>
  <si>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</si>
  <si>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</si>
  <si>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</si>
  <si>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</si>
  <si>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</si>
  <si>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</si>
  <si>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</si>
  <si>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</si>
  <si>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</si>
  <si>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</si>
  <si>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</si>
  <si>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</si>
  <si>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</si>
  <si>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</si>
  <si>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</si>
  <si>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</si>
  <si>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</si>
  <si>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</si>
  <si>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</si>
  <si>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</si>
  <si>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</si>
  <si>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</si>
  <si>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</si>
  <si>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</si>
  <si>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</si>
  <si>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</si>
  <si>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</si>
  <si>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</si>
  <si>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</si>
  <si>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</si>
  <si>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</si>
  <si>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</si>
  <si>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</si>
  <si>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</si>
  <si>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</si>
  <si>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</si>
  <si>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</si>
  <si>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</si>
  <si>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</si>
  <si>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</si>
  <si>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</si>
  <si>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</si>
  <si>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</si>
  <si>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</si>
  <si>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</si>
  <si>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</si>
  <si>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</si>
  <si>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</si>
  <si>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</si>
  <si>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</si>
  <si>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</si>
  <si>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</si>
  <si>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</si>
  <si>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</si>
  <si>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</si>
  <si>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</si>
  <si>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</si>
  <si>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</si>
  <si>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</si>
  <si>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</si>
  <si>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</si>
  <si>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</si>
  <si>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</si>
  <si>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</si>
  <si>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</si>
  <si>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</si>
  <si>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</si>
  <si>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</si>
  <si>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</si>
  <si>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</si>
  <si>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</si>
  <si>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</si>
  <si>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</si>
  <si>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</si>
  <si>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</si>
  <si>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</si>
  <si>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</si>
  <si>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</si>
  <si>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</si>
  <si>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</si>
  <si>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</si>
  <si>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</si>
  <si>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</si>
  <si>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</si>
  <si>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</si>
  <si>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</si>
  <si>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</si>
  <si>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</si>
  <si>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</si>
  <si>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</si>
  <si>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</si>
  <si>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</si>
  <si>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</si>
  <si>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</si>
  <si>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</si>
  <si>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</si>
  <si>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</si>
  <si>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</si>
  <si>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</si>
  <si>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</si>
  <si>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</si>
  <si>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</si>
  <si>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</si>
  <si>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</si>
  <si>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</si>
  <si>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</si>
  <si>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</si>
  <si>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</si>
  <si>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</si>
  <si>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</si>
  <si>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</si>
  <si>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</si>
  <si>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</si>
  <si>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</si>
  <si>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</si>
  <si>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</si>
  <si>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</si>
  <si>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</si>
  <si>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</si>
  <si>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</si>
  <si>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</si>
  <si>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</si>
  <si>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</si>
  <si>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</si>
  <si>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</si>
  <si>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</si>
  <si>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</si>
  <si>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</si>
  <si>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</si>
  <si>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</si>
  <si>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</si>
  <si>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</si>
  <si>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</si>
  <si>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</si>
  <si>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</si>
  <si>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</si>
  <si>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</si>
  <si>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</si>
  <si>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</si>
  <si>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</si>
  <si>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</si>
  <si>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</si>
  <si>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</si>
  <si>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</si>
  <si>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</si>
  <si>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</si>
  <si>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</si>
  <si>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</si>
  <si>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</si>
  <si>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</si>
  <si>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</si>
  <si>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</si>
  <si>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</si>
  <si>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</si>
  <si>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</si>
  <si>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</si>
  <si>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</si>
  <si>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</si>
  <si>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</si>
  <si>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</si>
  <si>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</si>
  <si>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</si>
  <si>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</si>
  <si>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</si>
  <si>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</si>
  <si>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</si>
  <si>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</si>
  <si>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</si>
  <si>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</si>
  <si>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</si>
  <si>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</si>
  <si>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</si>
  <si>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</si>
  <si>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</si>
  <si>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</si>
  <si>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</si>
  <si>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</si>
  <si>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</si>
  <si>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</si>
  <si>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</si>
  <si>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</si>
  <si>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</si>
  <si>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</si>
  <si>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</si>
  <si>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</si>
  <si>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</si>
  <si>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</si>
  <si>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</si>
  <si>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</si>
  <si>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</si>
  <si>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</si>
  <si>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</si>
  <si>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</si>
  <si>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</si>
  <si>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</si>
  <si>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</si>
  <si>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</si>
  <si>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</si>
  <si>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</si>
  <si>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</si>
  <si>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</si>
  <si>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</si>
  <si>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</si>
  <si>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</si>
  <si>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</si>
  <si>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</si>
  <si>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</si>
  <si>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</si>
  <si>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</si>
  <si>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</si>
  <si>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</si>
  <si>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</si>
  <si>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</si>
  <si>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</si>
  <si>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</si>
  <si>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</si>
  <si>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</si>
  <si>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</si>
  <si>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</si>
  <si>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</si>
  <si>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</si>
  <si>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</si>
  <si>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</si>
  <si>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</si>
  <si>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</si>
  <si>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</si>
  <si>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</si>
  <si>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</si>
  <si>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</si>
  <si>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</si>
  <si>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</si>
  <si>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</si>
  <si>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</si>
  <si>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</si>
  <si>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</si>
  <si>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</si>
  <si>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</si>
  <si>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</si>
  <si>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</si>
  <si>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</si>
  <si>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</si>
  <si>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</si>
  <si>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</si>
  <si>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</si>
  <si>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</si>
  <si>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</si>
  <si>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</si>
  <si>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</si>
  <si>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</si>
  <si>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</si>
  <si>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</si>
  <si>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</si>
  <si>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</si>
  <si>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</si>
  <si>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</si>
  <si>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</si>
  <si>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</si>
  <si>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</si>
  <si>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</si>
  <si>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</si>
  <si>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</si>
  <si>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</si>
  <si>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</si>
  <si>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</si>
  <si>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</si>
  <si>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</si>
  <si>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</si>
  <si>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</si>
  <si>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</si>
  <si>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</si>
  <si>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</si>
  <si>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</si>
  <si>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</si>
  <si>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</si>
  <si>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</si>
  <si>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</si>
  <si>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</si>
  <si>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</si>
  <si>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</si>
  <si>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</si>
  <si>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</si>
  <si>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</si>
  <si>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</si>
  <si>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</si>
  <si>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</si>
  <si>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</si>
  <si>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</si>
  <si>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</si>
  <si>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</si>
  <si>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</si>
  <si>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</si>
  <si>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</si>
  <si>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</si>
  <si>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</si>
  <si>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</si>
  <si>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</si>
  <si>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</si>
  <si>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</si>
  <si>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</si>
  <si>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</si>
  <si>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</si>
  <si>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</si>
  <si>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</si>
  <si>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</si>
  <si>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</si>
  <si>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</si>
  <si>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</si>
  <si>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</si>
  <si>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</si>
  <si>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</si>
  <si>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</si>
  <si>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</si>
  <si>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</si>
  <si>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</si>
  <si>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</si>
  <si>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</si>
  <si>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</si>
  <si>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</si>
  <si>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</si>
  <si>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</si>
  <si>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</si>
  <si>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</si>
  <si>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</si>
  <si>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</si>
  <si>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</si>
  <si>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</si>
  <si>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</si>
  <si>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</si>
  <si>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</si>
  <si>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</si>
  <si>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</si>
  <si>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</si>
  <si>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</si>
  <si>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</si>
  <si>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</si>
  <si>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</si>
  <si>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</si>
  <si>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</si>
  <si>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</si>
  <si>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</si>
  <si>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</si>
  <si>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</si>
  <si>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</si>
  <si>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</si>
  <si>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</si>
  <si>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</si>
  <si>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</si>
  <si>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</si>
  <si>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</si>
  <si>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</si>
  <si>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</si>
  <si>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</si>
  <si>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</si>
  <si>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</si>
  <si>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</si>
  <si>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</si>
  <si>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</si>
  <si>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</si>
  <si>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</si>
  <si>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</si>
  <si>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</si>
  <si>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</si>
  <si>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</si>
  <si>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</si>
  <si>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</si>
  <si>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</si>
  <si>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</si>
  <si>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</si>
  <si>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</si>
  <si>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</si>
  <si>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</si>
  <si>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</si>
  <si>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</si>
  <si>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</si>
  <si>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</si>
  <si>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</si>
  <si>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</si>
  <si>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</si>
  <si>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</si>
  <si>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</si>
  <si>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</si>
  <si>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</si>
  <si>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</si>
  <si>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</si>
  <si>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</si>
  <si>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</si>
  <si>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</si>
  <si>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</si>
  <si>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</si>
  <si>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</si>
  <si>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</si>
  <si>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</si>
  <si>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</si>
  <si>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</si>
  <si>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</si>
  <si>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</si>
  <si>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</si>
  <si>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</si>
  <si>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</si>
  <si>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</si>
  <si>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</si>
  <si>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</si>
  <si>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</si>
  <si>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</si>
  <si>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</si>
  <si>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</si>
  <si>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</si>
  <si>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</si>
  <si>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</si>
  <si>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</si>
  <si>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</si>
  <si>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</si>
  <si>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</si>
  <si>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</si>
  <si>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</si>
  <si>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</si>
  <si>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</si>
  <si>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</si>
  <si>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</si>
  <si>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</si>
  <si>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</si>
  <si>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</si>
  <si>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</si>
  <si>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</si>
  <si>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</si>
  <si>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</si>
  <si>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</si>
  <si>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</si>
  <si>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</si>
  <si>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</si>
  <si>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</si>
  <si>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</si>
  <si>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</si>
  <si>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</si>
  <si>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</si>
  <si>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</si>
  <si>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</si>
  <si>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</si>
  <si>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</si>
  <si>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</si>
  <si>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</si>
  <si>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</si>
  <si>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</si>
  <si>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</si>
  <si>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</si>
  <si>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</si>
  <si>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</si>
  <si>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</si>
  <si>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</si>
  <si>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</si>
  <si>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</si>
  <si>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</si>
  <si>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</si>
  <si>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</si>
  <si>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</si>
  <si>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</si>
  <si>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</si>
  <si>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</si>
  <si>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</si>
  <si>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</si>
  <si>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</si>
  <si>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</si>
  <si>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</si>
  <si>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</si>
  <si>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</si>
  <si>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</si>
  <si>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</si>
  <si>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</si>
  <si>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</si>
  <si>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</si>
  <si>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</si>
  <si>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</si>
  <si>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</si>
  <si>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</si>
  <si>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</si>
  <si>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</si>
  <si>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</si>
  <si>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</si>
  <si>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</si>
  <si>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</si>
  <si>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</si>
  <si>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</si>
  <si>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</si>
  <si>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</si>
  <si>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</si>
  <si>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</si>
  <si>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</si>
  <si>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</si>
  <si>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</si>
  <si>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</si>
  <si>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</si>
  <si>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</si>
  <si>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</si>
  <si>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</si>
  <si>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</si>
  <si>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</si>
  <si>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</si>
  <si>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</si>
  <si>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</si>
  <si>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</si>
  <si>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</si>
  <si>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</si>
  <si>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</si>
  <si>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</si>
  <si>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</si>
  <si>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</si>
  <si>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</si>
  <si>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</si>
  <si>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</si>
  <si>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</si>
  <si>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</si>
  <si>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</si>
  <si>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</si>
  <si>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</si>
  <si>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陈颖</t>
  </si>
  <si>
    <t>核定资产</t>
  </si>
  <si>
    <t>房地产市场价值</t>
  </si>
  <si>
    <t>地上</t>
  </si>
  <si>
    <t>是</t>
  </si>
  <si>
    <t>住宅</t>
    <phoneticPr fontId="7" type="noConversion"/>
  </si>
  <si>
    <t>成新度</t>
  </si>
  <si>
    <t>自定义容积率</t>
  </si>
  <si>
    <t>按公示增长率计算</t>
  </si>
  <si>
    <t>不临65条商业街</t>
  </si>
  <si>
    <t>有</t>
  </si>
  <si>
    <t>与级别开发程度一致</t>
  </si>
  <si>
    <t>较好</t>
  </si>
  <si>
    <t>较差</t>
  </si>
  <si>
    <t>好</t>
  </si>
  <si>
    <t>一般</t>
  </si>
  <si>
    <t>收益法 (元)</t>
  </si>
  <si>
    <t>押一</t>
  </si>
  <si>
    <t>未包含在土地购买价格中</t>
  </si>
  <si>
    <t>已包含在土地取得成本中</t>
  </si>
  <si>
    <t>比较法-住宅</t>
  </si>
  <si>
    <t>砖混</t>
  </si>
  <si>
    <t>非生产用房</t>
  </si>
  <si>
    <t>否</t>
  </si>
  <si>
    <t>单套模式</t>
  </si>
  <si>
    <t>售价</t>
  </si>
  <si>
    <t>正常</t>
  </si>
  <si>
    <t>住宅</t>
    <phoneticPr fontId="24" type="noConversion"/>
  </si>
  <si>
    <t>序号</t>
  </si>
  <si>
    <t>协议号</t>
  </si>
  <si>
    <t>委托方</t>
  </si>
  <si>
    <t>区县</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</si>
  <si>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</si>
  <si>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</si>
  <si>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</si>
  <si>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</si>
  <si>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</si>
  <si>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</si>
  <si>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</si>
  <si>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</si>
  <si>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</si>
  <si>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</si>
  <si>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</si>
  <si>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</si>
  <si>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</si>
  <si>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</si>
  <si>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北京市朝阳区</t>
  </si>
  <si>
    <t>商品房</t>
  </si>
  <si>
    <t>房改房（成本价）</t>
  </si>
  <si>
    <t>中信银行北京分行</t>
  </si>
  <si>
    <t>李维琛</t>
  </si>
  <si>
    <t>楼层</t>
    <phoneticPr fontId="24" type="noConversion"/>
  </si>
  <si>
    <t>南北</t>
  </si>
  <si>
    <t>南北</t>
    <phoneticPr fontId="24" type="noConversion"/>
  </si>
  <si>
    <t>1/6</t>
    <phoneticPr fontId="24" type="noConversion"/>
  </si>
  <si>
    <t>南北东</t>
    <phoneticPr fontId="24" type="noConversion"/>
  </si>
  <si>
    <t>南北西</t>
    <phoneticPr fontId="24" type="noConversion"/>
  </si>
  <si>
    <t>东南</t>
    <phoneticPr fontId="24" type="noConversion"/>
  </si>
  <si>
    <t>西南</t>
    <phoneticPr fontId="24" type="noConversion"/>
  </si>
  <si>
    <t>南</t>
    <phoneticPr fontId="24" type="noConversion"/>
  </si>
  <si>
    <t>东西</t>
  </si>
  <si>
    <t>东西</t>
    <phoneticPr fontId="24" type="noConversion"/>
  </si>
  <si>
    <t>混合</t>
  </si>
  <si>
    <t>混合</t>
    <phoneticPr fontId="24" type="noConversion"/>
  </si>
  <si>
    <t>一般装修</t>
  </si>
  <si>
    <t>一般装修</t>
    <phoneticPr fontId="24" type="noConversion"/>
  </si>
  <si>
    <t>七通</t>
    <phoneticPr fontId="24" type="noConversion"/>
  </si>
  <si>
    <t>平层</t>
    <phoneticPr fontId="24" type="noConversion"/>
  </si>
  <si>
    <t>一般装修</t>
    <phoneticPr fontId="24" type="noConversion"/>
  </si>
  <si>
    <t>简单装修</t>
  </si>
  <si>
    <t>简单装修</t>
    <phoneticPr fontId="24" type="noConversion"/>
  </si>
  <si>
    <t>多层板楼</t>
  </si>
  <si>
    <t>多层板楼</t>
    <phoneticPr fontId="24" type="noConversion"/>
  </si>
  <si>
    <t>无</t>
  </si>
  <si>
    <t>500-1000米</t>
  </si>
  <si>
    <t>中心城区</t>
  </si>
  <si>
    <t>自然人</t>
  </si>
  <si>
    <t>北京市</t>
  </si>
  <si>
    <t>朝阳区南太平庄北巷7号楼5层5门552号</t>
    <phoneticPr fontId="3" type="noConversion"/>
  </si>
  <si>
    <t>时间</t>
  </si>
  <si>
    <t>户型</t>
  </si>
  <si>
    <t>面积(㎡)</t>
  </si>
  <si>
    <t>楼层</t>
  </si>
  <si>
    <t>朝向</t>
  </si>
  <si>
    <t>挂牌价(万)</t>
  </si>
  <si>
    <t>挂牌时间</t>
  </si>
  <si>
    <t>成交价(万)</t>
  </si>
  <si>
    <t>2室1厅1卫</t>
  </si>
  <si>
    <t>南</t>
  </si>
  <si>
    <t>0000-00-00</t>
  </si>
  <si>
    <t>2室1厅</t>
  </si>
  <si>
    <t>底层(共6层)</t>
  </si>
  <si>
    <t>南 北</t>
  </si>
  <si>
    <t>1室1厅1卫</t>
  </si>
  <si>
    <t>东</t>
  </si>
  <si>
    <t>低楼层(共6层)</t>
  </si>
  <si>
    <t>中楼层(共6层)</t>
  </si>
  <si>
    <t>1室1厅</t>
  </si>
  <si>
    <t>中楼层(共7层)</t>
  </si>
  <si>
    <t>3室1厅</t>
  </si>
  <si>
    <t>高楼层(共6层)</t>
  </si>
  <si>
    <t>顶层(共6层)</t>
  </si>
  <si>
    <t>东 西</t>
  </si>
  <si>
    <t>东南</t>
  </si>
  <si>
    <t>中楼层(共5层)</t>
  </si>
  <si>
    <t>北</t>
  </si>
  <si>
    <t>2室2厅1卫</t>
  </si>
  <si>
    <t>低楼层(共7层)</t>
  </si>
  <si>
    <t>西南</t>
  </si>
  <si>
    <t>3室2厅</t>
  </si>
  <si>
    <t>地下室(共6层)</t>
  </si>
  <si>
    <t>底层(共5层)</t>
  </si>
  <si>
    <t>东 西 北</t>
  </si>
  <si>
    <t>底层(共7层)</t>
  </si>
  <si>
    <t>/</t>
  </si>
  <si>
    <t>低楼层/6层</t>
  </si>
  <si>
    <t>北 南</t>
  </si>
  <si>
    <t>1室0厅</t>
  </si>
  <si>
    <t>中楼层/6层</t>
  </si>
  <si>
    <t>顶层(共7层)</t>
  </si>
  <si>
    <t>1室厅卫</t>
  </si>
  <si>
    <t>高楼层/7层</t>
  </si>
  <si>
    <t>南西北</t>
  </si>
  <si>
    <t>4室2厅</t>
  </si>
  <si>
    <t>1室2厅</t>
  </si>
  <si>
    <t>2室2厅</t>
  </si>
  <si>
    <t>高楼层/6层</t>
  </si>
  <si>
    <t>低楼层/7层</t>
  </si>
  <si>
    <t>顶层 共6层</t>
  </si>
  <si>
    <t>东北</t>
  </si>
  <si>
    <t>中楼层 共6层</t>
  </si>
  <si>
    <t>高楼层 共6层</t>
  </si>
  <si>
    <t>低楼层 共6层</t>
  </si>
  <si>
    <t>顶层 共5层</t>
  </si>
  <si>
    <t>底层 共6层</t>
  </si>
  <si>
    <t>3室1厅1卫</t>
  </si>
  <si>
    <t>中楼层/7层</t>
  </si>
  <si>
    <t>地下室 共6层</t>
  </si>
  <si>
    <t>中楼层 共7层</t>
  </si>
  <si>
    <t>高楼层 共7层</t>
  </si>
  <si>
    <t>西 东北</t>
  </si>
  <si>
    <t>0000-00-01</t>
  </si>
  <si>
    <t>顶层 共7层</t>
  </si>
  <si>
    <t>南 北 西</t>
  </si>
  <si>
    <t>底层 共7层</t>
  </si>
  <si>
    <t>中楼层 共5层</t>
  </si>
  <si>
    <t>低楼层 共7层</t>
  </si>
  <si>
    <t>东 南 西</t>
  </si>
  <si>
    <t>东南 北</t>
  </si>
  <si>
    <t>南 西 北</t>
  </si>
  <si>
    <t>地下室 共7层</t>
  </si>
  <si>
    <t>3室2厅2卫</t>
  </si>
  <si>
    <t>顶层/6层</t>
  </si>
  <si>
    <t>2室1厅1厨1卫</t>
  </si>
  <si>
    <t>2室2厅2卫</t>
  </si>
  <si>
    <t>底层/6层</t>
  </si>
  <si>
    <t>西北</t>
  </si>
  <si>
    <t>顶层/7层</t>
  </si>
  <si>
    <t>地下室/6层</t>
  </si>
  <si>
    <t>1室2厅1卫</t>
  </si>
  <si>
    <t>5室厅1卫</t>
  </si>
  <si>
    <t>3室2厅1卫</t>
  </si>
  <si>
    <t>低楼层/8层</t>
  </si>
  <si>
    <t>地下室/7层</t>
  </si>
  <si>
    <t>3室0厅</t>
  </si>
  <si>
    <t>东 南 西 北</t>
  </si>
  <si>
    <t>底层/7层</t>
  </si>
  <si>
    <t>南 西</t>
  </si>
  <si>
    <t>低楼层/5层</t>
  </si>
  <si>
    <t>中楼层/5层</t>
  </si>
  <si>
    <t>东 南 北</t>
  </si>
  <si>
    <t>西</t>
  </si>
  <si>
    <t>西 南</t>
  </si>
  <si>
    <t>东 南</t>
  </si>
  <si>
    <t>   </t>
  </si>
  <si>
    <t>证明年代</t>
  </si>
  <si>
    <t>土地证号</t>
  </si>
  <si>
    <t>  </t>
  </si>
  <si>
    <t>2026-3-00665-RB</t>
  </si>
  <si>
    <t>中国光大银行股份有限公司北京分行</t>
  </si>
  <si>
    <t>南太平庄北巷20号楼2层5-202</t>
  </si>
  <si>
    <t>南太平庄北巷</t>
  </si>
  <si>
    <t>2025-3-48360-RB</t>
  </si>
  <si>
    <t>朱思慧</t>
  </si>
  <si>
    <t>南太平庄北巷18号楼1层5-102</t>
  </si>
  <si>
    <t>2025-3-38268-RB</t>
  </si>
  <si>
    <t>南太平庄北巷20号楼2层3-202</t>
  </si>
  <si>
    <t>2025-3-28244-RB</t>
  </si>
  <si>
    <t>吴劲菲</t>
  </si>
  <si>
    <t>南太平庄北巷1号楼3层4单元301</t>
  </si>
  <si>
    <t>2025-3-22839-RB</t>
  </si>
  <si>
    <t>熊雨蔚</t>
  </si>
  <si>
    <t>南太平庄北巷21号楼3层2单元302</t>
  </si>
  <si>
    <t>2025-3-22467-RB</t>
  </si>
  <si>
    <t>付春丽、高潞</t>
  </si>
  <si>
    <t>南太平庄北巷17号楼4层7-401</t>
  </si>
  <si>
    <t>2025-3-17877-RB</t>
  </si>
  <si>
    <t>邓拓</t>
  </si>
  <si>
    <t>南太平庄北巷6号楼4层1门402</t>
  </si>
  <si>
    <t>竣工1985，登记表1988，谨慎出1985</t>
  </si>
  <si>
    <t>2025-3-15053-RA</t>
  </si>
  <si>
    <t>中启建业(北京)建设工程有限公司</t>
  </si>
  <si>
    <t>南太平庄北巷9号楼2层2单元203</t>
  </si>
  <si>
    <t>南太平庄北巷</t>
    <phoneticPr fontId="24" type="noConversion"/>
  </si>
  <si>
    <t>5/6</t>
    <phoneticPr fontId="24" type="noConversion"/>
  </si>
  <si>
    <t>2/6</t>
    <phoneticPr fontId="24" type="noConversion"/>
  </si>
  <si>
    <t>东西</t>
    <phoneticPr fontId="134" type="noConversion"/>
  </si>
  <si>
    <t>南北</t>
    <phoneticPr fontId="134" type="noConversion"/>
  </si>
  <si>
    <t>北</t>
    <phoneticPr fontId="134" type="noConversion"/>
  </si>
  <si>
    <t>南北</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</si>
</sst>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7"/>
      <color rgb="FF000000"/>
      <name val="Microsoft YaHei"/>
      <family val="2"/>
      <charset val="134"/>
    </font>
    <font>
      <sz val="7"/>
      <color rgb="FF333333"/>
      <name val="Microsoft YaHei"/>
      <family val="2"/>
      <charset val="134"/>
    </font>
    <font>
      <sz val="10"/>
      <color rgb="FF333333"/>
      <name val="Microsoft YaHei"/>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EAF6FC"/>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128" fillId="0" borderId="0">
      <alignment vertical="center"/>
    </xf>
  </cellStyleXfs>
  <cellXfs count="35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28" fillId="0" borderId="51" xfId="0" applyFont="1" applyBorder="1" applyAlignment="1" applyProtection="1">
      <alignment horizontal="center" vertical="center" wrapText="1"/>
      <protection locked="0"/>
    </xf>
    <xf numFmtId="0" fontId="273" fillId="12" borderId="176" xfId="0" applyFont="1" applyFill="1" applyBorder="1" applyAlignment="1">
      <alignment horizontal="center" vertical="center" wrapText="1"/>
    </xf>
    <xf numFmtId="31" fontId="273" fillId="12" borderId="176" xfId="0" applyNumberFormat="1" applyFont="1" applyFill="1" applyBorder="1" applyAlignment="1">
      <alignment horizontal="center" vertical="center" wrapText="1"/>
    </xf>
    <xf numFmtId="0" fontId="273" fillId="22" borderId="176" xfId="0" applyFont="1" applyFill="1" applyBorder="1" applyAlignment="1">
      <alignment horizontal="center" vertical="center" wrapText="1"/>
    </xf>
    <xf numFmtId="31" fontId="273" fillId="22" borderId="176" xfId="0" applyNumberFormat="1" applyFont="1" applyFill="1" applyBorder="1" applyAlignment="1">
      <alignment horizontal="center" vertical="center" wrapText="1"/>
    </xf>
    <xf numFmtId="0" fontId="128" fillId="0" borderId="5" xfId="0" applyFont="1" applyBorder="1" applyAlignment="1" applyProtection="1">
      <alignment horizontal="center" vertical="center" wrapText="1"/>
      <protection locked="0"/>
    </xf>
    <xf numFmtId="58" fontId="128" fillId="0" borderId="41" xfId="0" applyNumberFormat="1"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84" fontId="47" fillId="12" borderId="0" xfId="0" applyNumberFormat="1" applyFont="1" applyFill="1" applyProtection="1">
      <alignment vertical="center"/>
      <protection locked="0"/>
    </xf>
    <xf numFmtId="182" fontId="47" fillId="12" borderId="0" xfId="0" applyNumberFormat="1" applyFont="1" applyFill="1" applyProtection="1">
      <alignment vertical="center"/>
      <protection locked="0"/>
    </xf>
    <xf numFmtId="0" fontId="128" fillId="0" borderId="0" xfId="19">
      <alignment vertical="center"/>
    </xf>
    <xf numFmtId="14" fontId="128" fillId="0" borderId="0" xfId="19" applyNumberFormat="1">
      <alignment vertical="center"/>
    </xf>
    <xf numFmtId="0" fontId="274" fillId="12" borderId="176" xfId="0" applyFont="1" applyFill="1" applyBorder="1" applyAlignment="1">
      <alignment horizontal="center" vertical="center" wrapText="1"/>
    </xf>
    <xf numFmtId="0" fontId="274" fillId="22" borderId="176" xfId="0" applyFont="1" applyFill="1" applyBorder="1" applyAlignment="1">
      <alignment horizontal="center" vertical="center" wrapText="1"/>
    </xf>
    <xf numFmtId="0" fontId="273" fillId="23" borderId="176" xfId="0" applyFont="1" applyFill="1" applyBorder="1" applyAlignment="1">
      <alignment horizontal="center" vertical="center" wrapText="1"/>
    </xf>
    <xf numFmtId="0" fontId="274" fillId="23" borderId="176" xfId="0" applyFont="1" applyFill="1" applyBorder="1" applyAlignment="1">
      <alignment horizontal="center" vertical="center" wrapText="1"/>
    </xf>
    <xf numFmtId="31" fontId="273" fillId="23" borderId="176" xfId="0" applyNumberFormat="1" applyFont="1" applyFill="1" applyBorder="1" applyAlignment="1">
      <alignment horizontal="center" vertical="center" wrapText="1"/>
    </xf>
    <xf numFmtId="0" fontId="272" fillId="22" borderId="177" xfId="0" applyFont="1" applyFill="1" applyBorder="1" applyAlignment="1">
      <alignment horizontal="center" vertical="center" wrapText="1"/>
    </xf>
    <xf numFmtId="0" fontId="273" fillId="5" borderId="176" xfId="0" applyFont="1" applyFill="1" applyBorder="1" applyAlignment="1">
      <alignment horizontal="center" vertical="center" wrapText="1"/>
    </xf>
    <xf numFmtId="0" fontId="274" fillId="5" borderId="176" xfId="0" applyFont="1" applyFill="1" applyBorder="1" applyAlignment="1">
      <alignment horizontal="center" vertical="center" wrapText="1"/>
    </xf>
    <xf numFmtId="31" fontId="273" fillId="5" borderId="176" xfId="0" applyNumberFormat="1" applyFont="1" applyFill="1" applyBorder="1" applyAlignment="1">
      <alignment horizontal="center" vertical="center" wrapText="1"/>
    </xf>
    <xf numFmtId="14" fontId="128" fillId="5" borderId="0" xfId="19" applyNumberFormat="1" applyFill="1">
      <alignment vertical="center"/>
    </xf>
    <xf numFmtId="0" fontId="128" fillId="5" borderId="0" xfId="19"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22"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77" fontId="47" fillId="9" borderId="1" xfId="1" applyNumberFormat="1" applyFont="1" applyFill="1" applyBorder="1" applyAlignment="1" applyProtection="1">
      <alignment horizontal="center" vertical="center"/>
      <protection locked="0"/>
    </xf>
    <xf numFmtId="183" fontId="47" fillId="9" borderId="1" xfId="0" applyNumberFormat="1" applyFont="1" applyFill="1" applyBorder="1" applyAlignment="1" applyProtection="1">
      <alignment horizontal="center" vertical="center" shrinkToFit="1"/>
      <protection locked="0"/>
    </xf>
    <xf numFmtId="181" fontId="47" fillId="9" borderId="53" xfId="0" applyNumberFormat="1" applyFont="1" applyFill="1" applyBorder="1" applyAlignment="1">
      <alignment horizontal="center" vertical="center"/>
    </xf>
    <xf numFmtId="9" fontId="44" fillId="9" borderId="37" xfId="0" applyNumberFormat="1" applyFont="1" applyFill="1" applyBorder="1" applyAlignment="1" applyProtection="1">
      <alignment horizontal="center" vertical="center" wrapText="1"/>
      <protection locked="0"/>
    </xf>
    <xf numFmtId="0" fontId="44" fillId="9" borderId="24" xfId="0" applyFont="1" applyFill="1" applyBorder="1" applyAlignment="1">
      <alignment horizontal="center" vertical="center" wrapText="1"/>
    </xf>
    <xf numFmtId="0" fontId="44" fillId="9" borderId="5" xfId="0" applyFont="1" applyFill="1" applyBorder="1" applyAlignment="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83</xdr:row>
      <xdr:rowOff>160020</xdr:rowOff>
    </xdr:from>
    <xdr:to>
      <xdr:col>20</xdr:col>
      <xdr:colOff>59374</xdr:colOff>
      <xdr:row>93</xdr:row>
      <xdr:rowOff>150268</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17564100"/>
          <a:ext cx="12685714" cy="1819048"/>
        </a:xfrm>
        <a:prstGeom prst="rect">
          <a:avLst/>
        </a:prstGeom>
      </xdr:spPr>
    </xdr:pic>
    <xdr:clientData/>
  </xdr:twoCellAnchor>
  <xdr:twoCellAnchor editAs="oneCell">
    <xdr:from>
      <xdr:col>0</xdr:col>
      <xdr:colOff>0</xdr:colOff>
      <xdr:row>79</xdr:row>
      <xdr:rowOff>129540</xdr:rowOff>
    </xdr:from>
    <xdr:to>
      <xdr:col>7</xdr:col>
      <xdr:colOff>422269</xdr:colOff>
      <xdr:row>83</xdr:row>
      <xdr:rowOff>102782</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0" y="16802100"/>
          <a:ext cx="5123809" cy="704762"/>
        </a:xfrm>
        <a:prstGeom prst="rect">
          <a:avLst/>
        </a:prstGeom>
      </xdr:spPr>
    </xdr:pic>
    <xdr:clientData/>
  </xdr:twoCellAnchor>
  <xdr:twoCellAnchor editAs="oneCell">
    <xdr:from>
      <xdr:col>0</xdr:col>
      <xdr:colOff>0</xdr:colOff>
      <xdr:row>37</xdr:row>
      <xdr:rowOff>91440</xdr:rowOff>
    </xdr:from>
    <xdr:to>
      <xdr:col>15</xdr:col>
      <xdr:colOff>564517</xdr:colOff>
      <xdr:row>47</xdr:row>
      <xdr:rowOff>119783</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0" y="9083040"/>
          <a:ext cx="10142857" cy="1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 ca="1">'预评函-封皮'!B46</f>
        <v>陈颖（注册号：0)、（注册号：0)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估价对象为北京市房地产，为所有。根据《国有土地使用证》[]，估价对象（分摊）出让国有建设用地使用权面积为0平方米，建筑面积为53.77平方米。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估价对象为北京市房地产,属开发建设的，该项目尚在开发建设中。根据《国有土地使用证》[]，估价对象（分摊）出让国有建设用地使用权面积为0平方米，规划建筑面积为53.77平方米。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2025年12月25日</v>
      </c>
    </row>
    <row r="13" spans="1:2">
      <c r="A13" s="1119" t="s">
        <v>529</v>
      </c>
      <c r="B13" s="1120" t="str">
        <f>'预评函-1'!A18</f>
        <v>本次估价的“房地产价值”是指在正常市场情况下，在价值时点2025年12月25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53.77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陈颖</v>
      </c>
    </row>
    <row r="71" spans="1:2">
      <c r="A71" s="1119" t="s">
        <v>563</v>
      </c>
      <c r="B71" s="1120">
        <f ca="1">'预评函-4'!B4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7"/>
      <c r="B54" s="1447" t="s">
        <v>385</v>
      </c>
      <c r="C54" s="1445" t="s">
        <v>583</v>
      </c>
    </row>
    <row r="55" spans="1:4">
      <c r="A55" s="3237"/>
      <c r="B55" s="1447" t="s">
        <v>386</v>
      </c>
      <c r="C55" s="1445" t="s">
        <v>584</v>
      </c>
    </row>
    <row r="56" spans="1:4">
      <c r="A56" s="3237"/>
      <c r="B56" s="1447" t="s">
        <v>387</v>
      </c>
      <c r="C56" s="1445" t="s">
        <v>588</v>
      </c>
    </row>
    <row r="57" spans="1:4">
      <c r="A57" s="323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38" t="s">
        <v>2580</v>
      </c>
      <c r="J2" s="3238"/>
      <c r="K2" s="3238"/>
      <c r="L2" s="3238"/>
      <c r="M2" s="3238"/>
      <c r="N2" s="3238"/>
      <c r="O2" s="3238"/>
      <c r="P2" s="3238"/>
      <c r="Q2" s="3238"/>
      <c r="R2" s="3238"/>
    </row>
    <row r="3" spans="1:18">
      <c r="A3" s="2763" t="s">
        <v>2501</v>
      </c>
      <c r="B3" s="2764">
        <f>项目基本情况!D3</f>
        <v>46016</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0.98</v>
      </c>
      <c r="D5" s="2768">
        <f>IF(ISERROR(ROUND(POWER(1+E5,A5-C5)*(POWER(1+E5,C5)-1)/(POWER(1+E5,A5)-1),3)),0,ROUND(POWER(1+E5,A5-C5)*(POWER(1+E5,C5)-1)/(POWER(1+E5,A5)-1),4))</f>
        <v>4.7600000000000003E-2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10.99</v>
      </c>
      <c r="D6" s="2768">
        <f>IF(ISERROR(ROUND(POWER(1+E6,A6-C6)*(POWER(1+E6,C6)-1)/(POWER(1+E6,A6)-1),3)),0,ROUND(POWER(1+E6,A6-C6)*(POWER(1+E6,C6)-1)/(POWER(1+E6,A6)-1),4))</f>
        <v>0.40749999999999997</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v>
      </c>
      <c r="D7" s="2768">
        <f>IF(ISERROR(ROUND(POWER(1+E7,A7-C7)*(POWER(1+E7,C7)-1)/(POWER(1+E7,A7)-1),3)),0,ROUND(POWER(1+E7,A7-C7)*(POWER(1+E7,C7)-1)/(POWER(1+E7,A7)-1),4))</f>
        <v>0.75180000000000002</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C13" sqref="C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9" t="str">
        <f>IF(B10="北京市","北京市",C10)&amp;F10&amp;IF(结果表!G1="在建","出让国有建设用地使用权及在建建筑物",IF(结果表!G1="土地","出让国有建设用地使用权",))&amp;B9&amp;"预评估"</f>
        <v>北京市房地产市场价值预评估</v>
      </c>
      <c r="C1" s="3240"/>
      <c r="D1" s="3240"/>
      <c r="E1" s="3240"/>
      <c r="F1" s="3240"/>
      <c r="G1" s="3240"/>
      <c r="H1" s="3240"/>
      <c r="I1" s="324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46016</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3417</v>
      </c>
      <c r="C4" s="2188">
        <f ca="1">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陈颖（注册号：0)、（注册号：0)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3418</v>
      </c>
      <c r="C8" s="2201"/>
      <c r="D8" s="3242" t="s">
        <v>2177</v>
      </c>
      <c r="E8" s="2202"/>
      <c r="F8" s="2203"/>
      <c r="G8" s="2442"/>
      <c r="H8" s="2442"/>
      <c r="I8" s="2442"/>
      <c r="J8" s="2245"/>
      <c r="K8" s="2400"/>
      <c r="L8" s="2399"/>
      <c r="M8" s="2399"/>
      <c r="N8" s="2245"/>
      <c r="O8" s="1670"/>
      <c r="P8" s="2245"/>
      <c r="Q8" s="2245"/>
      <c r="R8" s="2245"/>
    </row>
    <row r="9" spans="1:30" ht="13.5" thickBot="1">
      <c r="A9" s="2204" t="s">
        <v>2178</v>
      </c>
      <c r="B9" s="2205" t="s">
        <v>3419</v>
      </c>
      <c r="C9" s="2206"/>
      <c r="D9" s="3243"/>
      <c r="E9" s="2205"/>
      <c r="F9" s="2207"/>
      <c r="G9" s="2443"/>
      <c r="H9" s="2443"/>
      <c r="I9" s="2443"/>
      <c r="J9" s="2245"/>
      <c r="K9" s="2402"/>
      <c r="L9" s="2399"/>
      <c r="M9" s="2399"/>
      <c r="N9" s="2245"/>
      <c r="O9" s="1670"/>
      <c r="P9" s="2245"/>
      <c r="Q9" s="2245"/>
      <c r="R9" s="2245"/>
    </row>
    <row r="10" spans="1:30" ht="13.5" thickTop="1">
      <c r="A10" s="2208" t="s">
        <v>2179</v>
      </c>
      <c r="B10" s="2209" t="s">
        <v>3494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3493</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3330</v>
      </c>
      <c r="B13" s="2218" t="s">
        <v>2190</v>
      </c>
      <c r="C13" s="3537">
        <v>66655</v>
      </c>
      <c r="D13" s="803"/>
      <c r="E13" s="803"/>
      <c r="F13" s="803"/>
      <c r="G13" s="803"/>
      <c r="H13" s="803"/>
      <c r="I13" s="803"/>
      <c r="J13" s="2803"/>
      <c r="K13" s="2399"/>
      <c r="L13" s="2399"/>
      <c r="M13" s="2245"/>
      <c r="N13" s="1670"/>
      <c r="O13" s="2245"/>
      <c r="P13" s="2245"/>
      <c r="Q13" s="2245"/>
      <c r="AD13" s="1618"/>
    </row>
    <row r="14" spans="1:30">
      <c r="A14" s="1018"/>
      <c r="B14" s="2218" t="s">
        <v>2191</v>
      </c>
      <c r="C14" s="2219">
        <v>70</v>
      </c>
      <c r="D14" s="2219"/>
      <c r="E14" s="2219"/>
      <c r="F14" s="2219"/>
      <c r="G14" s="2219"/>
      <c r="H14" s="2219"/>
      <c r="I14" s="2219"/>
      <c r="J14" s="2804"/>
      <c r="K14" s="2399"/>
      <c r="L14" s="2399"/>
      <c r="M14" s="2245"/>
      <c r="N14" s="1670"/>
      <c r="O14" s="2245"/>
      <c r="P14" s="2245"/>
      <c r="Q14" s="2245"/>
      <c r="AD14" s="1618"/>
    </row>
    <row r="15" spans="1:30">
      <c r="A15" s="312"/>
      <c r="B15" s="2220" t="s">
        <v>2192</v>
      </c>
      <c r="C15" s="2221">
        <f>IF(A13="出让",IF(C13="","",ROUNDDOWN(MIN((C13-$D$3)/365,C14),2)),C14)</f>
        <v>56.54</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49"/>
      <c r="C16" s="3250"/>
      <c r="D16" s="3251"/>
      <c r="E16" s="2222" t="s">
        <v>2194</v>
      </c>
      <c r="F16" s="3252"/>
      <c r="G16" s="3253"/>
      <c r="H16" s="3253"/>
      <c r="I16" s="3254"/>
      <c r="J16" s="2245"/>
      <c r="K16" s="2403"/>
      <c r="L16" s="1670"/>
      <c r="M16" s="1670"/>
      <c r="N16" s="2245"/>
      <c r="O16" s="1670"/>
      <c r="P16" s="2245"/>
      <c r="Q16" s="2245"/>
      <c r="R16" s="2245"/>
    </row>
    <row r="17" spans="1:28">
      <c r="A17" s="305" t="s">
        <v>2195</v>
      </c>
      <c r="B17" s="294" t="s">
        <v>2196</v>
      </c>
      <c r="C17" s="8">
        <f>'数据-汇总表'!E3</f>
        <v>53.77</v>
      </c>
      <c r="D17" s="1256" t="s">
        <v>2197</v>
      </c>
      <c r="E17" s="3255" t="s">
        <v>2198</v>
      </c>
      <c r="F17" s="3256"/>
      <c r="G17" s="3256"/>
      <c r="H17" s="3256"/>
      <c r="I17" s="3257"/>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58" t="s">
        <v>2202</v>
      </c>
      <c r="F18" s="3259"/>
      <c r="G18" s="3259"/>
      <c r="H18" s="3259"/>
      <c r="I18" s="3260"/>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45" t="s">
        <v>2206</v>
      </c>
      <c r="C20" s="3246"/>
      <c r="D20" s="3247" t="s">
        <v>2207</v>
      </c>
      <c r="E20" s="3248"/>
      <c r="F20" s="2430" t="s">
        <v>1056</v>
      </c>
      <c r="G20" s="2442"/>
      <c r="H20" s="2442"/>
      <c r="I20" s="2442"/>
      <c r="J20" s="2245"/>
      <c r="K20" s="324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4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4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62"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62"/>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62"/>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63"/>
      <c r="B30" s="294" t="s">
        <v>2218</v>
      </c>
      <c r="C30" s="3264"/>
      <c r="D30" s="3265"/>
      <c r="E30" s="2442"/>
      <c r="F30" s="2442"/>
      <c r="G30" s="2442"/>
      <c r="H30" s="2442"/>
      <c r="I30" s="2442"/>
      <c r="J30" s="2245"/>
      <c r="K30" s="2402"/>
      <c r="L30" s="2399"/>
      <c r="M30" s="2399"/>
      <c r="N30" s="2245"/>
      <c r="O30" s="1670"/>
      <c r="P30" s="2245"/>
      <c r="Q30" s="2245"/>
      <c r="R30" s="2245"/>
      <c r="S30" s="2245"/>
      <c r="T30" s="2245"/>
      <c r="U30" s="2245"/>
      <c r="V30" s="2245"/>
    </row>
    <row r="31" spans="1:28">
      <c r="A31" s="3266"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67"/>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67"/>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61" t="s">
        <v>2228</v>
      </c>
      <c r="T34" s="315" t="str">
        <f>NUMBERSTRING(7-K34,1)&amp;"通"</f>
        <v>七通</v>
      </c>
      <c r="U34" s="2245"/>
      <c r="V34" s="2245"/>
    </row>
    <row r="35" spans="1:30">
      <c r="A35" s="2236"/>
      <c r="B35" s="3261" t="s">
        <v>2229</v>
      </c>
      <c r="C35" s="3261"/>
      <c r="D35" s="3261"/>
      <c r="E35" s="3261"/>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1"/>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t="s">
        <v>296</v>
      </c>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t="s">
        <v>236</v>
      </c>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53.77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53.77</v>
      </c>
      <c r="H5" s="13">
        <f t="shared" ref="H5:AT5" si="0">SUM(H13:H656)</f>
        <v>53.77</v>
      </c>
      <c r="I5" s="13">
        <f t="shared" si="0"/>
        <v>53.77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53.77</v>
      </c>
      <c r="BA5" s="15">
        <f t="shared" si="1"/>
        <v>53.77</v>
      </c>
      <c r="BB5" s="15">
        <f t="shared" si="1"/>
        <v>53.77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3420</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3421</v>
      </c>
      <c r="E13" s="13">
        <f>IF($C$3="是",ROUND($A$3*G13/$B$3,2),ROUND($A$3*(G13-AT13)/$B$3,2))</f>
        <v>0</v>
      </c>
      <c r="F13" s="29"/>
      <c r="G13" s="30">
        <f>H13+AC13+AT13</f>
        <v>53.77</v>
      </c>
      <c r="H13" s="17">
        <f>SUMIF(I$12:AB$12,"总值",I13:AB13)</f>
        <v>53.77</v>
      </c>
      <c r="I13" s="1514">
        <v>53.77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53.77</v>
      </c>
      <c r="BA13" s="13">
        <f>SUM(BB13:BK13)</f>
        <v>53.77</v>
      </c>
      <c r="BB13" s="13">
        <f>IF($D13="是",I13-J13,0)</f>
        <v>53.77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H44" sqref="H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7" t="s">
        <v>1131</v>
      </c>
      <c r="B2" s="3277"/>
      <c r="C2" s="3277"/>
      <c r="D2" s="748" t="s">
        <v>1107</v>
      </c>
      <c r="E2" s="1523" t="s">
        <v>1108</v>
      </c>
      <c r="F2" s="2439"/>
      <c r="G2" s="2432"/>
      <c r="H2" s="2433"/>
      <c r="I2" s="2146" t="s">
        <v>1132</v>
      </c>
      <c r="J2" s="2439"/>
      <c r="K2" s="2439"/>
      <c r="L2" s="2439"/>
      <c r="M2" s="2439"/>
      <c r="N2" s="2440"/>
      <c r="O2" s="2439"/>
      <c r="P2" s="2439"/>
    </row>
    <row r="3" spans="1:16" ht="15.75" thickBot="1">
      <c r="A3" s="3278" t="s">
        <v>1105</v>
      </c>
      <c r="B3" s="3278"/>
      <c r="C3" s="3278"/>
      <c r="D3" s="41">
        <f>'数据-基础表'!AY6</f>
        <v>0</v>
      </c>
      <c r="E3" s="41">
        <f>'数据-基础表'!AZ5</f>
        <v>53.77</v>
      </c>
      <c r="F3" s="2439"/>
      <c r="G3" s="42"/>
      <c r="H3" s="43" t="s">
        <v>1106</v>
      </c>
      <c r="I3" s="802" t="e">
        <f>ROUND('数据-基础表'!B3/'数据-基础表'!A3,2)</f>
        <v>#DIV/0!</v>
      </c>
      <c r="J3" s="2439"/>
      <c r="K3" s="2439"/>
      <c r="L3" s="2439"/>
      <c r="M3" s="2439"/>
      <c r="N3" s="2440"/>
      <c r="O3" s="2439"/>
      <c r="P3" s="2439"/>
    </row>
    <row r="4" spans="1:16" ht="15">
      <c r="A4" s="3279"/>
      <c r="B4" s="3280"/>
      <c r="C4" s="3281"/>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82" t="s">
        <v>1110</v>
      </c>
      <c r="C5" s="3282"/>
      <c r="D5" s="43">
        <f>ROUND($D$3*E5/$E$3,2)</f>
        <v>0</v>
      </c>
      <c r="E5" s="44">
        <f>SUMIF('数据-基础表'!$11:$11,"住宅",'数据-基础表'!$5:$5)</f>
        <v>53.77</v>
      </c>
      <c r="F5" s="2439"/>
      <c r="G5" s="42"/>
      <c r="H5" s="43" t="s">
        <v>1106</v>
      </c>
      <c r="I5" s="802" t="e">
        <f>ROUND(E31/D31,2)</f>
        <v>#DIV/0!</v>
      </c>
      <c r="J5" s="2439"/>
      <c r="K5" s="2439"/>
      <c r="L5" s="2439"/>
      <c r="M5" s="2439"/>
      <c r="N5" s="2439"/>
      <c r="O5" s="2439"/>
      <c r="P5" s="2439"/>
    </row>
    <row r="6" spans="1:16" ht="15" thickBot="1">
      <c r="A6" s="1527"/>
      <c r="B6" s="3282" t="s">
        <v>1111</v>
      </c>
      <c r="C6" s="3282"/>
      <c r="D6" s="43">
        <f>ROUND($D$3*E6/$E$3,2)</f>
        <v>0</v>
      </c>
      <c r="E6" s="44">
        <f>E3-E5</f>
        <v>0</v>
      </c>
      <c r="F6" s="2439"/>
      <c r="G6" s="1529" t="s">
        <v>1112</v>
      </c>
      <c r="H6" s="45" t="s">
        <v>1113</v>
      </c>
      <c r="I6" s="2435" t="e">
        <f>ROUND(F31/D31,2)</f>
        <v>#DIV/0!</v>
      </c>
      <c r="J6" s="2439"/>
      <c r="K6" s="2439"/>
      <c r="L6" s="2439"/>
      <c r="M6" s="2439"/>
      <c r="N6" s="2439"/>
      <c r="O6" s="2439"/>
      <c r="P6" s="2439"/>
    </row>
    <row r="7" spans="1:16" ht="15.75" thickBot="1">
      <c r="A7" s="3274"/>
      <c r="B7" s="3275"/>
      <c r="C7" s="3276"/>
      <c r="D7" s="1524" t="s">
        <v>1107</v>
      </c>
      <c r="E7" s="1528" t="s">
        <v>1114</v>
      </c>
      <c r="F7" s="2439"/>
      <c r="G7" s="2436" t="s">
        <v>1115</v>
      </c>
      <c r="H7" s="95"/>
      <c r="I7" s="2437">
        <v>1.5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53.77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53.77</v>
      </c>
      <c r="F16" s="2439"/>
      <c r="G16" s="2439"/>
      <c r="H16" s="1531" t="s">
        <v>1135</v>
      </c>
      <c r="I16" s="1532"/>
      <c r="J16" s="1071"/>
      <c r="K16" s="3271" t="s">
        <v>1135</v>
      </c>
      <c r="L16" s="3272"/>
      <c r="M16" s="3272"/>
      <c r="N16" s="3272"/>
      <c r="O16" s="3272"/>
      <c r="P16" s="3273"/>
    </row>
    <row r="17" spans="1:19" ht="15">
      <c r="A17" s="1533" t="s">
        <v>1136</v>
      </c>
      <c r="B17" s="1534" t="s">
        <v>1137</v>
      </c>
      <c r="C17" s="1535" t="s">
        <v>1138</v>
      </c>
      <c r="D17" s="1536" t="s">
        <v>1126</v>
      </c>
      <c r="E17" s="1537" t="s">
        <v>1127</v>
      </c>
      <c r="F17" s="1538"/>
      <c r="G17" s="1539"/>
      <c r="H17" s="1540" t="s">
        <v>1139</v>
      </c>
      <c r="I17" s="1541" t="s">
        <v>1124</v>
      </c>
      <c r="J17" s="1071"/>
      <c r="K17" s="3268" t="s">
        <v>1140</v>
      </c>
      <c r="L17" s="3269"/>
      <c r="M17" s="3270"/>
      <c r="N17" s="3268" t="s">
        <v>1141</v>
      </c>
      <c r="O17" s="3269"/>
      <c r="P17" s="327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3422</v>
      </c>
      <c r="D19" s="43">
        <f>ROUND($D$3*E19/$E$3,2)</f>
        <v>0</v>
      </c>
      <c r="E19" s="51">
        <f t="shared" ref="E19:E26" si="1">SUM(F19:G19)</f>
        <v>53.77</v>
      </c>
      <c r="F19" s="2558">
        <f>'数据-基础表'!I13</f>
        <v>53.77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53.77</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53.77</v>
      </c>
      <c r="F27" s="1072">
        <f>IF(SUM(F19:F26)=E8,SUM(F19:F26),"地上面积有误")</f>
        <v>53.77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53.77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53.77</v>
      </c>
      <c r="F31" s="644">
        <f>F27+F30</f>
        <v>53.77</v>
      </c>
      <c r="G31" s="645">
        <f>G27+G30</f>
        <v>0</v>
      </c>
      <c r="H31" s="2439"/>
      <c r="I31" s="2439"/>
      <c r="J31" s="2439"/>
      <c r="K31" s="2439"/>
      <c r="L31" s="2439"/>
      <c r="M31" s="2439"/>
      <c r="N31" s="2439"/>
      <c r="O31" s="2439"/>
      <c r="P31" s="2439"/>
    </row>
    <row r="32" spans="1:19">
      <c r="A32" s="1526"/>
      <c r="B32" s="1526" t="s">
        <v>1159</v>
      </c>
      <c r="C32" s="1526"/>
      <c r="D32" s="1526"/>
      <c r="E32" s="990">
        <f>SUMIF(C19:C26,"*住宅*",E19:E26)</f>
        <v>53.77</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46016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3402</v>
      </c>
      <c r="D6" s="805">
        <f>SUMIF(项目基本情况!C$12:I$12,C6,项目基本情况!C$14:I$14)</f>
        <v>70</v>
      </c>
      <c r="E6" s="804">
        <f>IF(B6="","",SUMIF(项目基本情况!C$12:I$12,C6,项目基本情况!C$13:I$13))</f>
        <v>66655</v>
      </c>
      <c r="F6" s="61">
        <f>SUMIF(项目基本情况!C$12:I$12,C6,项目基本情况!C$15:I$15)</f>
        <v>56.54</v>
      </c>
      <c r="G6" s="62">
        <f>IF(ISERROR(ROUND(POWER(1+H6,D6-F6)*(POWER(1+H6,F6)-1)/(POWER(1+H6,D6)-1),3)),0,ROUND(POWER(1+H6,D6-F6)*(POWER(1+H6,F6)-1)/(POWER(1+H6,D6)-1),3))</f>
        <v>0.92900000000000005</v>
      </c>
      <c r="H6" s="691">
        <v>0.03</v>
      </c>
      <c r="I6" s="691">
        <v>0.03</v>
      </c>
      <c r="J6" s="63">
        <v>0.06</v>
      </c>
      <c r="K6" s="970">
        <f>SUMIF('数据-汇总表'!C$19:C$33,A6,'数据-汇总表'!E$19:E$33)</f>
        <v>53.77</v>
      </c>
      <c r="L6" s="3536">
        <v>2200</v>
      </c>
      <c r="M6" s="64">
        <f t="shared" ref="M6:M14" si="0">ROUND(K6*L6/10000,0)</f>
        <v>12</v>
      </c>
      <c r="N6" s="690">
        <v>0.65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72</v>
      </c>
      <c r="V6" s="67">
        <v>0.02</v>
      </c>
      <c r="W6" s="67">
        <v>0.05</v>
      </c>
      <c r="X6" s="979"/>
      <c r="Y6" s="68">
        <f>N6</f>
        <v>0.65</v>
      </c>
      <c r="Z6" s="69"/>
      <c r="AA6" s="63"/>
      <c r="AB6" s="63"/>
      <c r="AC6" s="979"/>
      <c r="AD6" s="70"/>
      <c r="AE6" s="980">
        <f ca="1">IF(AN6="",0,SUMIF(INDIRECT("'"&amp;AN6&amp;"'"&amp;"!E:E"),$AE$5,INDIRECT("'"&amp;AN6&amp;"'"&amp;"!F:F")))</f>
        <v>56.54</v>
      </c>
      <c r="AF6" s="74"/>
      <c r="AG6" s="130">
        <f>IF(AF6="",0,AE6-AF6)</f>
        <v>0</v>
      </c>
      <c r="AH6" s="71">
        <v>1</v>
      </c>
      <c r="AI6" s="73">
        <v>365</v>
      </c>
      <c r="AJ6" s="74"/>
      <c r="AK6" s="75">
        <v>2E-3</v>
      </c>
      <c r="AL6" s="76">
        <v>1E-3</v>
      </c>
      <c r="AM6" s="77">
        <v>0.01</v>
      </c>
      <c r="AN6" s="1589" t="s">
        <v>3433</v>
      </c>
      <c r="AO6" s="50">
        <f ca="1">SUMIF(INDIRECT("'"&amp;AN6&amp;"'"&amp;"!A:A"),"总价",INDIRECT("'"&amp;AN6&amp;"'"&amp;"!B:B"))</f>
        <v>100.352</v>
      </c>
      <c r="AP6" s="1590">
        <f>IF(C6="住宅",K6*L6,0)</f>
        <v>118294</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0.92900000000000005</v>
      </c>
      <c r="H16" s="84">
        <f>ROUND(SUMPRODUCT(H6:H13,K6:K13)/SUMPRODUCT((H6:H13&gt;0)*(K6:K13)),3)</f>
        <v>0.03</v>
      </c>
      <c r="I16" s="85"/>
      <c r="J16" s="85"/>
      <c r="K16" s="86">
        <f>SUM(K6:K15)</f>
        <v>53.77</v>
      </c>
      <c r="L16" s="87">
        <f>ROUND(M16*10000/SUM(K6:K14),0)</f>
        <v>2232</v>
      </c>
      <c r="M16" s="87">
        <f>SUM(M6:M14)</f>
        <v>12</v>
      </c>
      <c r="N16" s="88">
        <f>ROUND(SUMPRODUCT(M6:M14,N6:N14)/M16,3)</f>
        <v>0.65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3182">
        <f>1-(1-2%)*29/50</f>
        <v>0.43159999999999998</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3183">
        <f>1-(1-2%)*5/50</f>
        <v>0.90200000000000002</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0.01</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0.03</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83" t="s">
        <v>2286</v>
      </c>
      <c r="B1" s="3284"/>
      <c r="C1" s="3284"/>
      <c r="D1" s="3284"/>
      <c r="E1" s="3284"/>
      <c r="F1" s="3284"/>
      <c r="G1" s="328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30" sqref="E30"/>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53.77</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46016</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161.31</v>
      </c>
      <c r="C5" s="2300" t="e">
        <f ca="1">IF(B5=D14,结果表!H102,ROUND(B5*10000/$B$1,0))</f>
        <v>#REF!</v>
      </c>
      <c r="D5" s="2300" t="e">
        <f ca="1">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项目基本情况!C17</f>
        <v>53.77</v>
      </c>
      <c r="C14" s="2306"/>
      <c r="D14" s="2306">
        <f ca="1">B14*E14/10000</f>
        <v>161.31</v>
      </c>
      <c r="E14" s="2306">
        <f ca="1">结果表!G20</f>
        <v>30000</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8" sqref="G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3402</v>
      </c>
      <c r="D1" s="646"/>
      <c r="E1" s="646"/>
      <c r="F1" s="1621" t="s">
        <v>1263</v>
      </c>
      <c r="G1" s="1453"/>
      <c r="H1" s="1621" t="str">
        <f>IF(G1="现房","——","估价对象范围")</f>
        <v>估价对象范围</v>
      </c>
      <c r="I1" s="1622"/>
    </row>
    <row r="2" spans="1:12" ht="21.75" customHeight="1" thickBot="1">
      <c r="A2" s="3352" t="str">
        <f>项目基本情况!S2</f>
        <v>北京市房地产</v>
      </c>
      <c r="B2" s="3353"/>
      <c r="C2" s="3353"/>
      <c r="D2" s="3353"/>
      <c r="E2" s="3353"/>
      <c r="F2" s="3353"/>
      <c r="G2" s="3353"/>
      <c r="H2" s="3353"/>
      <c r="I2" s="3354"/>
    </row>
    <row r="3" spans="1:12" ht="12.75">
      <c r="A3" s="3356" t="s">
        <v>1264</v>
      </c>
      <c r="B3" s="3357"/>
      <c r="C3" s="3357"/>
      <c r="D3" s="3357"/>
      <c r="E3" s="3357"/>
      <c r="F3" s="3357"/>
      <c r="G3" s="3357"/>
      <c r="H3" s="3357"/>
      <c r="I3" s="3357"/>
    </row>
    <row r="4" spans="1:12" ht="14.25">
      <c r="A4" s="1624" t="s">
        <v>1265</v>
      </c>
      <c r="B4" s="1625" t="s">
        <v>1266</v>
      </c>
      <c r="C4" s="1626" t="s">
        <v>3437</v>
      </c>
      <c r="D4" s="1626" t="s">
        <v>3433</v>
      </c>
      <c r="E4" s="3361" t="s">
        <v>1267</v>
      </c>
      <c r="F4" s="3362"/>
      <c r="G4" s="3362"/>
      <c r="H4" s="3362"/>
      <c r="I4" s="336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00" t="s">
        <v>1268</v>
      </c>
      <c r="B5" s="3355">
        <v>25</v>
      </c>
      <c r="C5" s="3358">
        <v>8</v>
      </c>
      <c r="D5" s="3346">
        <f>10-C5</f>
        <v>2</v>
      </c>
      <c r="E5" s="123" t="s">
        <v>1269</v>
      </c>
      <c r="F5" s="1627"/>
      <c r="G5" s="1627"/>
      <c r="H5" s="1627"/>
      <c r="I5" s="1281"/>
    </row>
    <row r="6" spans="1:12" ht="12.75">
      <c r="A6" s="3300"/>
      <c r="B6" s="3355"/>
      <c r="C6" s="3360"/>
      <c r="D6" s="3346"/>
      <c r="E6" s="123" t="s">
        <v>1270</v>
      </c>
      <c r="F6" s="1627"/>
      <c r="G6" s="1627"/>
      <c r="H6" s="1627"/>
      <c r="I6" s="1281"/>
    </row>
    <row r="7" spans="1:12" ht="12.75">
      <c r="A7" s="3300"/>
      <c r="B7" s="3355"/>
      <c r="C7" s="3359"/>
      <c r="D7" s="3346"/>
      <c r="E7" s="123" t="s">
        <v>1271</v>
      </c>
      <c r="F7" s="1627"/>
      <c r="G7" s="1627"/>
      <c r="H7" s="1627"/>
      <c r="I7" s="1281"/>
    </row>
    <row r="8" spans="1:12" ht="12.75">
      <c r="A8" s="3300" t="s">
        <v>1272</v>
      </c>
      <c r="B8" s="3355">
        <v>15</v>
      </c>
      <c r="C8" s="3358"/>
      <c r="D8" s="3346"/>
      <c r="E8" s="123" t="s">
        <v>1273</v>
      </c>
      <c r="F8" s="1627"/>
      <c r="G8" s="1627"/>
      <c r="H8" s="1627"/>
      <c r="I8" s="1281"/>
    </row>
    <row r="9" spans="1:12" ht="12.75">
      <c r="A9" s="3300"/>
      <c r="B9" s="3355"/>
      <c r="C9" s="3359"/>
      <c r="D9" s="3346"/>
      <c r="E9" s="123" t="s">
        <v>1274</v>
      </c>
      <c r="F9" s="1627"/>
      <c r="G9" s="1627"/>
      <c r="H9" s="1627"/>
      <c r="I9" s="1281"/>
    </row>
    <row r="10" spans="1:12" ht="12.75">
      <c r="A10" s="3300" t="s">
        <v>1275</v>
      </c>
      <c r="B10" s="3355">
        <v>15</v>
      </c>
      <c r="C10" s="3358"/>
      <c r="D10" s="3346"/>
      <c r="E10" s="123" t="s">
        <v>1276</v>
      </c>
      <c r="F10" s="1627"/>
      <c r="G10" s="1627"/>
      <c r="H10" s="1627"/>
      <c r="I10" s="1281"/>
    </row>
    <row r="11" spans="1:12" ht="12.75">
      <c r="A11" s="3300"/>
      <c r="B11" s="3355"/>
      <c r="C11" s="3359"/>
      <c r="D11" s="3346"/>
      <c r="E11" s="123" t="s">
        <v>1277</v>
      </c>
      <c r="F11" s="1627"/>
      <c r="G11" s="1627"/>
      <c r="H11" s="1627"/>
      <c r="I11" s="1281"/>
    </row>
    <row r="12" spans="1:12" ht="12.75">
      <c r="A12" s="3300" t="s">
        <v>1278</v>
      </c>
      <c r="B12" s="3355">
        <v>15</v>
      </c>
      <c r="C12" s="3358"/>
      <c r="D12" s="3346"/>
      <c r="E12" s="123" t="s">
        <v>1279</v>
      </c>
      <c r="F12" s="1627"/>
      <c r="G12" s="1627"/>
      <c r="H12" s="1627"/>
      <c r="I12" s="1281"/>
    </row>
    <row r="13" spans="1:12" ht="12.75">
      <c r="A13" s="3300"/>
      <c r="B13" s="3355"/>
      <c r="C13" s="3359"/>
      <c r="D13" s="3346"/>
      <c r="E13" s="123" t="s">
        <v>1280</v>
      </c>
      <c r="F13" s="1627"/>
      <c r="G13" s="1627"/>
      <c r="H13" s="1627"/>
      <c r="I13" s="1281"/>
    </row>
    <row r="14" spans="1:12" ht="12.75">
      <c r="A14" s="3300" t="s">
        <v>1281</v>
      </c>
      <c r="B14" s="3355">
        <v>30</v>
      </c>
      <c r="C14" s="3358"/>
      <c r="D14" s="3346"/>
      <c r="E14" s="123" t="s">
        <v>1282</v>
      </c>
      <c r="F14" s="1627"/>
      <c r="G14" s="1627"/>
      <c r="H14" s="1627"/>
      <c r="I14" s="1281"/>
    </row>
    <row r="15" spans="1:12" ht="12.75">
      <c r="A15" s="3300"/>
      <c r="B15" s="3355"/>
      <c r="C15" s="3360"/>
      <c r="D15" s="3346"/>
      <c r="E15" s="123" t="s">
        <v>1283</v>
      </c>
      <c r="F15" s="1627"/>
      <c r="G15" s="1627"/>
      <c r="H15" s="1627"/>
      <c r="I15" s="1281"/>
    </row>
    <row r="16" spans="1:12" ht="12.75">
      <c r="A16" s="3300"/>
      <c r="B16" s="3355"/>
      <c r="C16" s="3359"/>
      <c r="D16" s="3346"/>
      <c r="E16" s="123" t="s">
        <v>1284</v>
      </c>
      <c r="F16" s="1627"/>
      <c r="G16" s="1627"/>
      <c r="H16" s="1627"/>
      <c r="I16" s="1281"/>
    </row>
    <row r="17" spans="1:36" ht="15">
      <c r="A17" s="1628" t="s">
        <v>1285</v>
      </c>
      <c r="B17" s="54"/>
      <c r="C17" s="124">
        <f>SUM(C5:C16)</f>
        <v>8</v>
      </c>
      <c r="D17" s="124">
        <f>SUM(D5:D16)</f>
        <v>2</v>
      </c>
      <c r="E17" s="121"/>
      <c r="F17" s="121"/>
      <c r="G17" s="121"/>
      <c r="H17" s="121"/>
      <c r="I17" s="121"/>
      <c r="K17" s="294"/>
      <c r="L17" s="294" t="s">
        <v>1286</v>
      </c>
      <c r="M17" s="294" t="s">
        <v>1287</v>
      </c>
    </row>
    <row r="18" spans="1:36" ht="31.9" customHeight="1" thickBot="1">
      <c r="A18" s="1629" t="s">
        <v>1288</v>
      </c>
      <c r="B18" s="1542"/>
      <c r="C18" s="125">
        <f>ROUND(C17/SUM(C17:D17),2)</f>
        <v>0.8</v>
      </c>
      <c r="D18" s="125">
        <f>1-C18</f>
        <v>0.19999999999999996</v>
      </c>
      <c r="E18" s="3377" t="s">
        <v>2131</v>
      </c>
      <c r="F18" s="3378"/>
      <c r="G18" s="3378"/>
      <c r="H18" s="3378"/>
      <c r="I18" s="3378"/>
      <c r="K18" s="294" t="s">
        <v>1289</v>
      </c>
      <c r="L18" s="294">
        <f>IF(C1="",'数据-汇总表'!E3,SUMIF(项目类型,C1,'数据-汇总表'!E17:E26)+SUMIF(项目类型,C1,'数据-汇总表'!I17:I26))</f>
        <v>53.77</v>
      </c>
      <c r="M18" s="294">
        <f>IF(C1="",'数据-汇总表'!E3,SUMIF(项目类型,C1,'数据-汇总表'!E17:E26))</f>
        <v>53.77</v>
      </c>
    </row>
    <row r="19" spans="1:36" ht="15">
      <c r="A19" s="1630" t="s">
        <v>1290</v>
      </c>
      <c r="B19" s="1631" t="s">
        <v>1291</v>
      </c>
      <c r="C19" s="126">
        <f ca="1">SUMIF(INDIRECT("'"&amp;C4&amp;"'"&amp;"!A:A"),结果表!B19,INDIRECT("'"&amp;C4&amp;"'"&amp;"!B:B"))</f>
        <v>176.54839999999999</v>
      </c>
      <c r="D19" s="127">
        <f ca="1">SUMIF(INDIRECT("'"&amp;D4&amp;"'"&amp;"!A:A"),结果表!B19,INDIRECT("'"&amp;D4&amp;"'"&amp;"!B:B"))</f>
        <v>100.352</v>
      </c>
      <c r="E19" s="1630" t="s">
        <v>1292</v>
      </c>
      <c r="F19" s="1631" t="s">
        <v>1291</v>
      </c>
      <c r="G19" s="128">
        <f ca="1">ROUND(C19*$C$18+D19*$D$18,0)</f>
        <v>161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32834</v>
      </c>
      <c r="D20" s="130">
        <f ca="1">SUMIF(INDIRECT("'"&amp;D4&amp;"'"&amp;"!A:A"),结果表!B20,INDIRECT("'"&amp;D4&amp;"'"&amp;"!B:B"))</f>
        <v>18663</v>
      </c>
      <c r="E20" s="1633"/>
      <c r="F20" s="43" t="s">
        <v>1295</v>
      </c>
      <c r="G20" s="131">
        <f ca="1">ROUND(C20*$C$18+D20*$D$18,0)</f>
        <v>30000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0.75929129464285694</v>
      </c>
      <c r="E22" s="121"/>
      <c r="F22" s="121"/>
      <c r="G22" s="121"/>
      <c r="H22" s="121"/>
      <c r="I22" s="121"/>
    </row>
    <row r="23" spans="1:36" ht="13.5" thickBot="1">
      <c r="A23" s="646"/>
      <c r="B23" s="646"/>
      <c r="C23" s="646"/>
      <c r="D23" s="646"/>
      <c r="E23" s="121"/>
      <c r="F23" s="121"/>
      <c r="G23" s="121"/>
      <c r="H23" s="121"/>
      <c r="I23" s="121"/>
    </row>
    <row r="24" spans="1:36" ht="14.25">
      <c r="A24" s="3370" t="s">
        <v>1299</v>
      </c>
      <c r="B24" s="1631" t="s">
        <v>1291</v>
      </c>
      <c r="C24" s="128">
        <f>IF(B30=0,0,D30)</f>
        <v>0</v>
      </c>
      <c r="D24" s="1637"/>
      <c r="E24" s="121"/>
      <c r="F24" s="121"/>
      <c r="G24" s="121"/>
      <c r="H24" s="121"/>
      <c r="I24" s="121"/>
    </row>
    <row r="25" spans="1:36" ht="14.25">
      <c r="A25" s="337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30000</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47" t="s">
        <v>1312</v>
      </c>
      <c r="B36" s="1652" t="s">
        <v>1313</v>
      </c>
      <c r="C36" s="137"/>
      <c r="D36" s="1653"/>
      <c r="E36" s="1567"/>
      <c r="F36" s="1654"/>
      <c r="G36" s="121"/>
      <c r="H36" s="121"/>
      <c r="I36" s="121"/>
    </row>
    <row r="37" spans="1:15" ht="15.75" thickBot="1">
      <c r="A37" s="3348"/>
      <c r="B37" s="1555" t="s">
        <v>1314</v>
      </c>
      <c r="C37" s="139"/>
      <c r="D37" s="1071"/>
      <c r="E37" s="1071"/>
      <c r="F37" s="1654"/>
      <c r="G37" s="121"/>
      <c r="H37" s="121"/>
      <c r="I37" s="121"/>
    </row>
    <row r="38" spans="1:15" ht="15.75" thickBot="1">
      <c r="A38" s="334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67" t="s">
        <v>1326</v>
      </c>
      <c r="B45" s="3368"/>
      <c r="C45" s="3369"/>
      <c r="D45" s="147" t="e">
        <f ca="1">ROUND(H101*F45,0)</f>
        <v>#REF!</v>
      </c>
      <c r="E45" s="148" t="s">
        <v>1327</v>
      </c>
      <c r="F45" s="149">
        <v>1</v>
      </c>
      <c r="G45" s="150" t="s">
        <v>1328</v>
      </c>
      <c r="H45" s="121"/>
      <c r="I45" s="121"/>
      <c r="J45" s="3287" t="s">
        <v>1329</v>
      </c>
      <c r="K45" s="3287"/>
      <c r="L45" s="3287"/>
      <c r="M45" s="3287"/>
      <c r="N45" s="3287"/>
      <c r="O45" s="3287"/>
    </row>
    <row r="46" spans="1:15" ht="14.25" customHeight="1">
      <c r="A46" s="3364" t="s">
        <v>1330</v>
      </c>
      <c r="B46" s="3365"/>
      <c r="C46" s="3365"/>
      <c r="D46" s="3365"/>
      <c r="E46" s="3365"/>
      <c r="F46" s="3365"/>
      <c r="G46" s="3366"/>
      <c r="H46" s="1668"/>
      <c r="I46" s="151"/>
      <c r="J46" s="2310">
        <v>1</v>
      </c>
      <c r="K46" s="3288" t="s">
        <v>1331</v>
      </c>
      <c r="L46" s="3288"/>
      <c r="M46" s="3289"/>
      <c r="N46" s="3289"/>
      <c r="O46" s="3289"/>
    </row>
    <row r="47" spans="1:15" ht="12" customHeight="1">
      <c r="A47" s="152" t="s">
        <v>1332</v>
      </c>
      <c r="B47" s="153"/>
      <c r="C47" s="154"/>
      <c r="D47" s="1024" t="s">
        <v>1333</v>
      </c>
      <c r="E47" s="294" t="s">
        <v>1334</v>
      </c>
      <c r="F47" s="155" t="s">
        <v>1335</v>
      </c>
      <c r="G47" s="2333" t="s">
        <v>1336</v>
      </c>
      <c r="H47" s="2334"/>
      <c r="I47" s="151"/>
      <c r="J47" s="2310">
        <v>2</v>
      </c>
      <c r="K47" s="3288" t="s">
        <v>1337</v>
      </c>
      <c r="L47" s="3288"/>
      <c r="M47" s="3290">
        <f>'数据-取费表'!B2</f>
        <v>46016</v>
      </c>
      <c r="N47" s="3290"/>
      <c r="O47" s="3290"/>
    </row>
    <row r="48" spans="1:15" ht="25.5">
      <c r="A48" s="3350" t="s">
        <v>1338</v>
      </c>
      <c r="B48" s="3351"/>
      <c r="C48" s="3351"/>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88" t="s">
        <v>1340</v>
      </c>
      <c r="L48" s="3288"/>
      <c r="M48" s="3291" t="e">
        <f ca="1">H101</f>
        <v>#REF!</v>
      </c>
      <c r="N48" s="3291"/>
      <c r="O48" s="3291"/>
    </row>
    <row r="49" spans="1:35" ht="25.5" customHeight="1">
      <c r="A49" s="2152" t="s">
        <v>1341</v>
      </c>
      <c r="B49" s="3336" t="s">
        <v>1342</v>
      </c>
      <c r="C49" s="3336"/>
      <c r="D49" s="1478">
        <v>0</v>
      </c>
      <c r="E49" s="316" t="s">
        <v>1343</v>
      </c>
      <c r="F49" s="2233" t="s">
        <v>28</v>
      </c>
      <c r="G49" s="3319"/>
      <c r="H49" s="2134" t="s">
        <v>2134</v>
      </c>
      <c r="I49" s="2135"/>
      <c r="J49" s="2310">
        <v>4</v>
      </c>
      <c r="K49" s="3288" t="str">
        <f>IF(项目基本情况!E8="房地产抵押价值","房地产抵押价值","抵押担保权已注销时的房地产抵押价值")</f>
        <v>抵押担保权已注销时的房地产抵押价值</v>
      </c>
      <c r="L49" s="3288"/>
      <c r="M49" s="3291" t="str">
        <f>IF(项目基本情况!E8="房地产抵押价值",H107,H109)</f>
        <v>——</v>
      </c>
      <c r="N49" s="3291"/>
      <c r="O49" s="3291"/>
    </row>
    <row r="50" spans="1:35" ht="25.5" customHeight="1">
      <c r="A50" s="2338"/>
      <c r="B50" s="3336" t="s">
        <v>1344</v>
      </c>
      <c r="C50" s="3336"/>
      <c r="D50" s="2189"/>
      <c r="E50" s="323"/>
      <c r="F50" s="2233"/>
      <c r="G50" s="3320"/>
      <c r="H50" s="2136" t="s">
        <v>2135</v>
      </c>
      <c r="I50" s="2135"/>
      <c r="J50" s="3287" t="s">
        <v>1345</v>
      </c>
      <c r="K50" s="3287"/>
      <c r="L50" s="3287"/>
      <c r="M50" s="3287"/>
      <c r="N50" s="3287"/>
      <c r="O50" s="3287"/>
    </row>
    <row r="51" spans="1:35" ht="20.45" customHeight="1">
      <c r="A51" s="2339"/>
      <c r="B51" s="3336" t="s">
        <v>1346</v>
      </c>
      <c r="C51" s="3336"/>
      <c r="D51" s="1024"/>
      <c r="E51" s="319"/>
      <c r="F51" s="2233"/>
      <c r="G51" s="3321"/>
      <c r="H51" s="2136" t="s">
        <v>2136</v>
      </c>
      <c r="I51" s="2135"/>
      <c r="J51" s="2311" t="s">
        <v>1347</v>
      </c>
      <c r="K51" s="3288" t="s">
        <v>1348</v>
      </c>
      <c r="L51" s="3288"/>
      <c r="M51" s="2311" t="s">
        <v>1349</v>
      </c>
      <c r="N51" s="2311" t="s">
        <v>1350</v>
      </c>
      <c r="O51" s="2311" t="s">
        <v>1351</v>
      </c>
    </row>
    <row r="52" spans="1:35" ht="24" customHeight="1">
      <c r="A52" s="2153" t="s">
        <v>1352</v>
      </c>
      <c r="B52" s="3336" t="s">
        <v>1353</v>
      </c>
      <c r="C52" s="3336"/>
      <c r="D52" s="1024" t="e">
        <f ca="1">ROUND(D45*'数据-取费表'!B41/(1+'数据-取费表'!C42),0)</f>
        <v>#REF!</v>
      </c>
      <c r="E52" s="1256" t="s">
        <v>1354</v>
      </c>
      <c r="F52" s="2340">
        <f>'数据-取费表'!B41</f>
        <v>5.6000000000000001E-2</v>
      </c>
      <c r="G52" s="2341"/>
      <c r="H52" s="2331"/>
      <c r="I52" s="1669"/>
      <c r="J52" s="2310">
        <v>1</v>
      </c>
      <c r="K52" s="3313" t="s">
        <v>1355</v>
      </c>
      <c r="L52" s="3313"/>
      <c r="M52" s="2312" t="b">
        <f>D48</f>
        <v>0</v>
      </c>
      <c r="N52" s="2310" t="str">
        <f>E48</f>
        <v>销售额×税（费）率</v>
      </c>
      <c r="O52" s="2313">
        <f>F48</f>
        <v>5.6000000000000001E-2</v>
      </c>
    </row>
    <row r="53" spans="1:35" ht="12" customHeight="1">
      <c r="A53" s="2153" t="s">
        <v>1356</v>
      </c>
      <c r="B53" s="3337" t="s">
        <v>2291</v>
      </c>
      <c r="C53" s="3338"/>
      <c r="D53" s="1024" t="e">
        <f ca="1">ROUND(D45*'数据-取费表'!B41/(1+'数据-取费表'!C42),0)</f>
        <v>#REF!</v>
      </c>
      <c r="E53" s="1256" t="s">
        <v>1354</v>
      </c>
      <c r="F53" s="2340">
        <f>'数据-取费表'!B41</f>
        <v>5.6000000000000001E-2</v>
      </c>
      <c r="G53" s="2341"/>
      <c r="H53" s="2331"/>
      <c r="I53" s="1669"/>
      <c r="J53" s="2310">
        <v>2</v>
      </c>
      <c r="K53" s="3313" t="s">
        <v>1357</v>
      </c>
      <c r="L53" s="3313"/>
      <c r="M53" s="2312" t="e">
        <f t="shared" ref="M53:O54" ca="1" si="0">D55</f>
        <v>#REF!</v>
      </c>
      <c r="N53" s="2310" t="str">
        <f t="shared" si="0"/>
        <v>销售额×税（费）率</v>
      </c>
      <c r="O53" s="2313" t="str">
        <f t="shared" si="0"/>
        <v>免征</v>
      </c>
    </row>
    <row r="54" spans="1:35" ht="12" customHeight="1">
      <c r="A54" s="2153" t="s">
        <v>1358</v>
      </c>
      <c r="B54" s="3337" t="s">
        <v>2292</v>
      </c>
      <c r="C54" s="3338"/>
      <c r="D54" s="1024" t="e">
        <f ca="1">C68</f>
        <v>#REF!</v>
      </c>
      <c r="E54" s="319" t="s">
        <v>1359</v>
      </c>
      <c r="F54" s="2340">
        <f>'数据-取费表'!B41</f>
        <v>5.6000000000000001E-2</v>
      </c>
      <c r="G54" s="2341"/>
      <c r="H54" s="2342"/>
      <c r="I54" s="1669"/>
      <c r="J54" s="2310">
        <v>3</v>
      </c>
      <c r="K54" s="3313" t="s">
        <v>1360</v>
      </c>
      <c r="L54" s="3313"/>
      <c r="M54" s="2312" t="e">
        <f t="shared" ca="1" si="0"/>
        <v>#REF!</v>
      </c>
      <c r="N54" s="2310" t="str">
        <f t="shared" si="0"/>
        <v>增值额×税（费）率</v>
      </c>
      <c r="O54" s="2314" t="str">
        <f t="shared" si="0"/>
        <v>免征</v>
      </c>
    </row>
    <row r="55" spans="1:35" ht="24" customHeight="1">
      <c r="A55" s="3373" t="s">
        <v>1361</v>
      </c>
      <c r="B55" s="3351"/>
      <c r="C55" s="3351"/>
      <c r="D55" s="12" t="e">
        <f ca="1">IF(H55="个人住宅",0,ROUND(D45*I55,0))</f>
        <v>#REF!</v>
      </c>
      <c r="E55" s="1256" t="s">
        <v>1362</v>
      </c>
      <c r="F55" s="2340" t="str">
        <f>IF(H55="正常",I55,"免征")</f>
        <v>免征</v>
      </c>
      <c r="G55" s="2341"/>
      <c r="H55" s="2337"/>
      <c r="I55" s="157">
        <f>'数据-取费表'!B49</f>
        <v>5.0000000000000001E-4</v>
      </c>
      <c r="J55" s="2310">
        <f>IF(H59="非个人房产","",4)</f>
        <v>4</v>
      </c>
      <c r="K55" s="3313" t="str">
        <f>IF(H59="非个人房产","——","个人所得税")</f>
        <v>个人所得税</v>
      </c>
      <c r="L55" s="3313"/>
      <c r="M55" s="2315" t="e">
        <f ca="1">D59</f>
        <v>#REF!</v>
      </c>
      <c r="N55" s="1883" t="str">
        <f>E59</f>
        <v>差额计税</v>
      </c>
      <c r="O55" s="2316">
        <f>F59</f>
        <v>0.01</v>
      </c>
    </row>
    <row r="56" spans="1:35" ht="24.75">
      <c r="A56" s="3373" t="s">
        <v>1363</v>
      </c>
      <c r="B56" s="3351"/>
      <c r="C56" s="3351"/>
      <c r="D56" s="12" t="e">
        <f ca="1">IF(H56="个人住宅",D57,D58)</f>
        <v>#REF!</v>
      </c>
      <c r="E56" s="1256" t="s">
        <v>1364</v>
      </c>
      <c r="F56" s="2340" t="str">
        <f>IF(H56="正常",F58,"免征")</f>
        <v>免征</v>
      </c>
      <c r="G56" s="2343" t="s">
        <v>1365</v>
      </c>
      <c r="H56" s="2344"/>
      <c r="I56" s="1670"/>
      <c r="J56" s="2310" t="str">
        <f>IF(项目基本情况!K6="上海银行",IF(J55="",4,J55+1),"")</f>
        <v/>
      </c>
      <c r="K56" s="3294" t="str">
        <f>IF(项目基本情况!K6="上海银行","其他处置费用","")</f>
        <v/>
      </c>
      <c r="L56" s="3295"/>
      <c r="M56" s="2312" t="str">
        <f>IF(项目基本情况!K6="上海银行",M69,"")</f>
        <v/>
      </c>
      <c r="N56" s="3294" t="str">
        <f>IF(项目基本情况!K6="上海银行","包含处置中涉及的律师、诉讼、拍卖、评估等费用","")</f>
        <v/>
      </c>
      <c r="O56" s="3297"/>
    </row>
    <row r="57" spans="1:35" ht="12.75">
      <c r="A57" s="2153" t="s">
        <v>1341</v>
      </c>
      <c r="B57" s="3337" t="s">
        <v>1366</v>
      </c>
      <c r="C57" s="3338"/>
      <c r="D57" s="1478">
        <v>0</v>
      </c>
      <c r="E57" s="316" t="s">
        <v>1343</v>
      </c>
      <c r="F57" s="294"/>
      <c r="G57" s="2341"/>
      <c r="H57" s="2345"/>
      <c r="I57" s="1670"/>
      <c r="J57" s="3313">
        <f>IF(AND(J55="",J56=""),4,IF(项目基本情况!K6="上海银行",结果表!J56+1,结果表!J55+1))</f>
        <v>5</v>
      </c>
      <c r="K57" s="3313" t="s">
        <v>1367</v>
      </c>
      <c r="L57" s="2317" t="s">
        <v>1368</v>
      </c>
      <c r="M57" s="2318"/>
      <c r="N57" s="2319">
        <f ca="1">SUMIF(M52:M56,"&lt;9e307")</f>
        <v>0</v>
      </c>
      <c r="O57" s="2320"/>
      <c r="P57" s="2465" t="e">
        <f ca="1">N57/M49</f>
        <v>#VALUE!</v>
      </c>
    </row>
    <row r="58" spans="1:35" ht="24.75">
      <c r="A58" s="2153" t="s">
        <v>1352</v>
      </c>
      <c r="B58" s="3337" t="s">
        <v>1369</v>
      </c>
      <c r="C58" s="3336"/>
      <c r="D58" s="12" t="e">
        <f ca="1">IF(H58="转让取得",C81,C97)</f>
        <v>#REF!</v>
      </c>
      <c r="E58" s="1256" t="s">
        <v>1364</v>
      </c>
      <c r="F58" s="294" t="s">
        <v>28</v>
      </c>
      <c r="G58" s="2341"/>
      <c r="H58" s="2344"/>
      <c r="I58" s="1670"/>
      <c r="J58" s="3313"/>
      <c r="K58" s="3313"/>
      <c r="L58" s="2317" t="s">
        <v>1370</v>
      </c>
      <c r="M58" s="2321"/>
      <c r="N58" s="2322" t="str">
        <f ca="1">NUMBERSTRING(INT(N57*10000),2)&amp;"元整"</f>
        <v>零元整</v>
      </c>
      <c r="O58" s="2323"/>
    </row>
    <row r="59" spans="1:35" ht="24.75" thickBot="1">
      <c r="A59" s="3317" t="s">
        <v>1371</v>
      </c>
      <c r="B59" s="3318"/>
      <c r="C59" s="3318"/>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5">
        <f>J57+1</f>
        <v>6</v>
      </c>
      <c r="K59" s="3313" t="s">
        <v>1372</v>
      </c>
      <c r="L59" s="2310" t="s">
        <v>1368</v>
      </c>
      <c r="M59" s="2324"/>
      <c r="N59" s="2325" t="e">
        <f ca="1">M49-N57</f>
        <v>#VALUE!</v>
      </c>
      <c r="O59" s="2326"/>
    </row>
    <row r="60" spans="1:35" ht="12" customHeight="1">
      <c r="A60" s="1671"/>
      <c r="B60" s="646"/>
      <c r="C60" s="646"/>
      <c r="D60" s="646"/>
      <c r="E60" s="1466"/>
      <c r="F60" s="1670"/>
      <c r="G60" s="1670"/>
      <c r="H60" s="151"/>
      <c r="I60" s="121"/>
      <c r="J60" s="3316"/>
      <c r="K60" s="3313"/>
      <c r="L60" s="2317" t="s">
        <v>1370</v>
      </c>
      <c r="M60" s="2321"/>
      <c r="N60" s="2322" t="e">
        <f ca="1">NUMBERSTRING(INT(N59*10000),2)&amp;"元整"</f>
        <v>#VALUE!</v>
      </c>
      <c r="O60" s="2323"/>
    </row>
    <row r="61" spans="1:35" ht="13.5" thickBot="1">
      <c r="A61" s="3372" t="s">
        <v>1373</v>
      </c>
      <c r="B61" s="3372"/>
      <c r="C61" s="3372"/>
      <c r="D61" s="3372"/>
      <c r="E61" s="3372"/>
      <c r="F61" s="1670"/>
      <c r="G61" s="1670"/>
      <c r="H61" s="151"/>
      <c r="I61" s="121"/>
      <c r="J61" s="2310">
        <f>J59+1</f>
        <v>7</v>
      </c>
      <c r="K61" s="3313" t="s">
        <v>1374</v>
      </c>
      <c r="L61" s="3313"/>
      <c r="M61" s="2327"/>
      <c r="N61" s="2328" t="e">
        <f ca="1">ROUND(N59*10000/'数据-汇总表'!E3,0)</f>
        <v>#VALUE!</v>
      </c>
      <c r="O61" s="2329"/>
    </row>
    <row r="62" spans="1:35" ht="12.75">
      <c r="A62" s="3332" t="s">
        <v>1375</v>
      </c>
      <c r="B62" s="3333"/>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96"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9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96"/>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96"/>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9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296"/>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96"/>
      <c r="K69" s="1245" t="s">
        <v>1393</v>
      </c>
      <c r="L69" s="1245"/>
      <c r="M69" s="294" t="e">
        <f>ROUND(SUM(M63:M68),0)</f>
        <v>#VALUE!</v>
      </c>
      <c r="N69" s="2332" t="e">
        <f>M69/M49</f>
        <v>#VALUE!</v>
      </c>
      <c r="Z69" s="1623"/>
      <c r="AI69" s="1561"/>
    </row>
    <row r="70" spans="1:35" s="642" customFormat="1" ht="15" thickBot="1">
      <c r="A70" s="3340" t="s">
        <v>1394</v>
      </c>
      <c r="B70" s="3341"/>
      <c r="C70" s="3341"/>
      <c r="D70" s="3341"/>
      <c r="E70" s="3341"/>
      <c r="F70" s="3341"/>
      <c r="G70" s="3341"/>
      <c r="H70" s="334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2" t="s">
        <v>1375</v>
      </c>
      <c r="B71" s="333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37" t="s">
        <v>1402</v>
      </c>
      <c r="F76" s="3336"/>
      <c r="G76" s="3336"/>
      <c r="H76" s="333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29" t="s">
        <v>1406</v>
      </c>
      <c r="F78" s="3330"/>
      <c r="G78" s="3330"/>
      <c r="H78" s="333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40" t="s">
        <v>1410</v>
      </c>
      <c r="B83" s="3341"/>
      <c r="C83" s="3341"/>
      <c r="D83" s="3341"/>
      <c r="E83" s="3341"/>
      <c r="F83" s="3341"/>
      <c r="G83" s="3341"/>
      <c r="H83" s="334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2" t="s">
        <v>1375</v>
      </c>
      <c r="B84" s="333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98" t="s">
        <v>2129</v>
      </c>
      <c r="H90" s="329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29" t="s">
        <v>1419</v>
      </c>
      <c r="F91" s="3330"/>
      <c r="G91" s="333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29" t="s">
        <v>1422</v>
      </c>
      <c r="F92" s="3330"/>
      <c r="G92" s="3330"/>
      <c r="H92" s="3331"/>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29" t="s">
        <v>1406</v>
      </c>
      <c r="F93" s="3330"/>
      <c r="G93" s="3330"/>
      <c r="H93" s="333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74" t="s">
        <v>1426</v>
      </c>
      <c r="F94" s="3375"/>
      <c r="G94" s="3375"/>
      <c r="H94" s="337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9" t="s">
        <v>1428</v>
      </c>
      <c r="B100" s="3280"/>
      <c r="C100" s="3280"/>
      <c r="D100" s="3314"/>
      <c r="E100" s="3280" t="s">
        <v>1429</v>
      </c>
      <c r="F100" s="3280"/>
      <c r="G100" s="3280"/>
      <c r="H100" s="3314"/>
      <c r="I100" s="121"/>
    </row>
    <row r="101" spans="1:35" ht="18.75" customHeight="1">
      <c r="A101" s="3322" t="s">
        <v>1430</v>
      </c>
      <c r="B101" s="3323"/>
      <c r="C101" s="2371" t="str">
        <f>C4</f>
        <v>比较法-住宅</v>
      </c>
      <c r="D101" s="2372" t="str">
        <f>D4</f>
        <v>收益法 (元)</v>
      </c>
      <c r="E101" s="3292" t="s">
        <v>1431</v>
      </c>
      <c r="F101" s="3293"/>
      <c r="G101" s="1687" t="s">
        <v>1432</v>
      </c>
      <c r="H101" s="2381" t="e">
        <f ca="1">H118</f>
        <v>#REF!</v>
      </c>
      <c r="I101" s="121"/>
    </row>
    <row r="102" spans="1:35" ht="18.75" customHeight="1">
      <c r="A102" s="3324" t="s">
        <v>1433</v>
      </c>
      <c r="B102" s="2370" t="s">
        <v>1432</v>
      </c>
      <c r="C102" s="2371">
        <f ca="1">IF(D32="楼面单价",ROUND(C19,0),C19)</f>
        <v>176.54839999999999</v>
      </c>
      <c r="D102" s="2372">
        <f ca="1">IF(D32="楼面单价",ROUND(D19,0),D19)</f>
        <v>100.352</v>
      </c>
      <c r="E102" s="3292"/>
      <c r="F102" s="3293"/>
      <c r="G102" s="1687" t="s">
        <v>1434</v>
      </c>
      <c r="H102" s="2341" t="e">
        <f ca="1">I118</f>
        <v>#REF!</v>
      </c>
      <c r="I102" s="121"/>
    </row>
    <row r="103" spans="1:35" ht="42.75" customHeight="1">
      <c r="A103" s="3324"/>
      <c r="B103" s="2370" t="s">
        <v>1434</v>
      </c>
      <c r="C103" s="2373">
        <f ca="1">C20</f>
        <v>32834</v>
      </c>
      <c r="D103" s="2374">
        <f ca="1">D20</f>
        <v>18663</v>
      </c>
      <c r="E103" s="3285" t="s">
        <v>1435</v>
      </c>
      <c r="F103" s="3286"/>
      <c r="G103" s="1688" t="s">
        <v>1436</v>
      </c>
      <c r="H103" s="2381">
        <f>IF(D36="正常操作",H104+H105+H106,H105+H106)</f>
        <v>0</v>
      </c>
      <c r="I103" s="121"/>
    </row>
    <row r="104" spans="1:35" ht="18.75" customHeight="1">
      <c r="A104" s="3324"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34"/>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25" t="str">
        <f>IF(项目基本情况!E8="已注销","——","3.房地产抵押价值")</f>
        <v>3.房地产抵押价值</v>
      </c>
      <c r="F107" s="3293"/>
      <c r="G107" s="1687" t="s">
        <v>1432</v>
      </c>
      <c r="H107" s="2381" t="e">
        <f ca="1">IF(E107="——","——",H101-H103)</f>
        <v>#REF!</v>
      </c>
      <c r="I107" s="121"/>
    </row>
    <row r="108" spans="1:35" ht="18.75" customHeight="1">
      <c r="A108" s="121"/>
      <c r="B108" s="121"/>
      <c r="C108" s="121"/>
      <c r="D108" s="121"/>
      <c r="E108" s="3325"/>
      <c r="F108" s="3293"/>
      <c r="G108" s="1687" t="s">
        <v>1434</v>
      </c>
      <c r="H108" s="2341">
        <f ca="1">IF(H107=H101,H102,ROUND(H107*10000/'数据-汇总表'!E3,0))</f>
        <v>0</v>
      </c>
      <c r="I108" s="121"/>
    </row>
    <row r="109" spans="1:35" ht="18.75" customHeight="1">
      <c r="A109" s="121"/>
      <c r="B109" s="121"/>
      <c r="C109" s="121"/>
      <c r="D109" s="121"/>
      <c r="E109" s="3325" t="str">
        <f>IF(项目基本情况!E8="已注销及未注销","4.抵押担保权已注销时的房地产抵押价值",IF(项目基本情况!E8="已注销","3.抵押担保权已注销时的房地产抵押价值","——"))</f>
        <v>——</v>
      </c>
      <c r="F109" s="3293"/>
      <c r="G109" s="1687" t="s">
        <v>1432</v>
      </c>
      <c r="H109" s="2384" t="str">
        <f>IF(E109="——","——",H101-H105-H106)</f>
        <v>——</v>
      </c>
      <c r="I109" s="121"/>
    </row>
    <row r="110" spans="1:35" ht="18.75" customHeight="1">
      <c r="A110" s="121"/>
      <c r="B110" s="121"/>
      <c r="C110" s="121"/>
      <c r="D110" s="121"/>
      <c r="E110" s="3325"/>
      <c r="F110" s="3293"/>
      <c r="G110" s="1687" t="s">
        <v>1434</v>
      </c>
      <c r="H110" s="2341" t="str">
        <f>IF(H109="——","——",ROUND(H109*10000/'数据-汇总表'!E3,0))</f>
        <v>——</v>
      </c>
      <c r="I110" s="121"/>
    </row>
    <row r="111" spans="1:35" ht="18.75" customHeight="1">
      <c r="A111" s="121"/>
      <c r="B111" s="121"/>
      <c r="C111" s="121"/>
      <c r="D111" s="121"/>
      <c r="E111" s="3326" t="str">
        <f>IF(项目基本情况!E9="抵押净值",IF(OR(项目基本情况!E8="已注销",项目基本情况!E8="房地产抵押价值"),"4.抵押净值","5.抵押净值"),"——")</f>
        <v>——</v>
      </c>
      <c r="F111" s="3312"/>
      <c r="G111" s="1687" t="s">
        <v>1432</v>
      </c>
      <c r="H111" s="2381" t="str">
        <f>IF(E111="——","——",N59)</f>
        <v>——</v>
      </c>
      <c r="I111" s="121"/>
    </row>
    <row r="112" spans="1:35" ht="18.75" customHeight="1" thickBot="1">
      <c r="A112" s="121"/>
      <c r="B112" s="121"/>
      <c r="C112" s="121"/>
      <c r="D112" s="121"/>
      <c r="E112" s="3327"/>
      <c r="F112" s="3328"/>
      <c r="G112" s="1690" t="s">
        <v>1434</v>
      </c>
      <c r="H112" s="2385" t="str">
        <f>IF(E111="——","——",N61)</f>
        <v>——</v>
      </c>
      <c r="I112" s="121"/>
    </row>
    <row r="113" spans="1:27" ht="18.75" customHeight="1">
      <c r="A113" s="121"/>
      <c r="B113" s="121"/>
      <c r="C113" s="121"/>
      <c r="D113" s="121"/>
      <c r="E113" s="3335" t="s">
        <v>1440</v>
      </c>
      <c r="F113" s="3335"/>
      <c r="G113" s="3335"/>
      <c r="H113" s="3335"/>
      <c r="I113" s="121"/>
    </row>
    <row r="114" spans="1:27" ht="3.75" customHeight="1">
      <c r="A114" s="646"/>
      <c r="B114" s="646"/>
      <c r="C114" s="646"/>
      <c r="D114" s="646"/>
      <c r="E114" s="1671"/>
      <c r="F114" s="1671"/>
      <c r="G114" s="1671"/>
      <c r="H114" s="1671"/>
      <c r="I114" s="646"/>
    </row>
    <row r="115" spans="1:27" ht="18.75" customHeight="1">
      <c r="A115" s="3343" t="s">
        <v>1442</v>
      </c>
      <c r="B115" s="3344"/>
      <c r="C115" s="3344"/>
      <c r="D115" s="3344"/>
      <c r="E115" s="3344"/>
      <c r="F115" s="3344"/>
      <c r="G115" s="3344"/>
      <c r="H115" s="3344"/>
      <c r="I115" s="3345"/>
    </row>
    <row r="116" spans="1:27" ht="27" customHeight="1">
      <c r="A116" s="3300" t="s">
        <v>1443</v>
      </c>
      <c r="B116" s="3304" t="s">
        <v>1444</v>
      </c>
      <c r="C116" s="3304" t="s">
        <v>1445</v>
      </c>
      <c r="D116" s="3310" t="s">
        <v>1446</v>
      </c>
      <c r="E116" s="3311"/>
      <c r="F116" s="3342" t="s">
        <v>1447</v>
      </c>
      <c r="G116" s="3342"/>
      <c r="H116" s="3300" t="s">
        <v>1448</v>
      </c>
      <c r="I116" s="3300"/>
    </row>
    <row r="117" spans="1:27" ht="18.75" customHeight="1">
      <c r="A117" s="3300"/>
      <c r="B117" s="3305"/>
      <c r="C117" s="3305"/>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53.77</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00" t="s">
        <v>1452</v>
      </c>
      <c r="B119" s="3300"/>
      <c r="C119" s="3300"/>
      <c r="D119" s="3306" t="e">
        <f ca="1">NUMBERSTRING(INT(D118*10000),2)&amp;"元整"</f>
        <v>#REF!</v>
      </c>
      <c r="E119" s="3307"/>
      <c r="F119" s="3306" t="e">
        <f ca="1">NUMBERSTRING(INT(F118*10000),2)&amp;"元整"</f>
        <v>#REF!</v>
      </c>
      <c r="G119" s="3307"/>
      <c r="H119" s="3306" t="e">
        <f ca="1">NUMBERSTRING(INT(H118*10000),2)&amp;"元整"</f>
        <v>#REF!</v>
      </c>
      <c r="I119" s="3307"/>
    </row>
    <row r="120" spans="1:27" ht="18.75" customHeight="1">
      <c r="A120" s="3301" t="str">
        <f>IF(项目基本情况!B9="房地产市场价值","",MID(E103,3,LEN(E103)-2))</f>
        <v/>
      </c>
      <c r="B120" s="3302"/>
      <c r="C120" s="3303"/>
      <c r="D120" s="3301">
        <f>H103</f>
        <v>0</v>
      </c>
      <c r="E120" s="3302"/>
      <c r="F120" s="3302"/>
      <c r="G120" s="3302"/>
      <c r="H120" s="3302"/>
      <c r="I120" s="3303"/>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06" t="s">
        <v>1452</v>
      </c>
      <c r="B121" s="3308"/>
      <c r="C121" s="3307"/>
      <c r="D121" s="3306" t="str">
        <f>IF(D120=0,"零元整",NUMBERSTRING(INT(D120*10000),2)&amp;"元整")</f>
        <v>零元整</v>
      </c>
      <c r="E121" s="3308"/>
      <c r="F121" s="3308"/>
      <c r="G121" s="3308"/>
      <c r="H121" s="3308"/>
      <c r="I121" s="3307"/>
      <c r="AA121" s="684"/>
    </row>
    <row r="122" spans="1:27" ht="18.75" customHeight="1">
      <c r="A122" s="3312" t="str">
        <f>IF(项目基本情况!B9="房地产市场价值","",MID(E107,3,LEN(E107)-2))</f>
        <v/>
      </c>
      <c r="B122" s="3312"/>
      <c r="C122" s="3312"/>
      <c r="D122" s="3301" t="e">
        <f ca="1">H107</f>
        <v>#REF!</v>
      </c>
      <c r="E122" s="3302"/>
      <c r="F122" s="3302"/>
      <c r="G122" s="3302"/>
      <c r="H122" s="3302"/>
      <c r="I122" s="3303"/>
      <c r="AA122" s="684"/>
    </row>
    <row r="123" spans="1:27" ht="18.75" customHeight="1">
      <c r="A123" s="3300" t="s">
        <v>1452</v>
      </c>
      <c r="B123" s="3300"/>
      <c r="C123" s="3300"/>
      <c r="D123" s="3306" t="e">
        <f ca="1">NUMBERSTRING(INT(D122*10000),2)&amp;"元整"</f>
        <v>#REF!</v>
      </c>
      <c r="E123" s="3308"/>
      <c r="F123" s="3308"/>
      <c r="G123" s="3308"/>
      <c r="H123" s="3308"/>
      <c r="I123" s="3307"/>
      <c r="AA123" s="684"/>
    </row>
    <row r="124" spans="1:27" ht="18.75" customHeight="1">
      <c r="A124" s="3312" t="str">
        <f>IF(项目基本情况!B9="房地产市场价值","",MID(E109,3,LEN(E109)-2))</f>
        <v/>
      </c>
      <c r="B124" s="3312"/>
      <c r="C124" s="3312"/>
      <c r="D124" s="3301" t="str">
        <f>H109</f>
        <v>——</v>
      </c>
      <c r="E124" s="3302"/>
      <c r="F124" s="3302"/>
      <c r="G124" s="3302"/>
      <c r="H124" s="3302"/>
      <c r="I124" s="3303"/>
      <c r="AA124" s="684"/>
    </row>
    <row r="125" spans="1:27" ht="18.75" customHeight="1">
      <c r="A125" s="3300" t="s">
        <v>1452</v>
      </c>
      <c r="B125" s="3300"/>
      <c r="C125" s="3300"/>
      <c r="D125" s="3306" t="e">
        <f>NUMBERSTRING(INT(D124*10000),2)&amp;"元整"</f>
        <v>#VALUE!</v>
      </c>
      <c r="E125" s="3308"/>
      <c r="F125" s="3308"/>
      <c r="G125" s="3308"/>
      <c r="H125" s="3308"/>
      <c r="I125" s="3307"/>
      <c r="AA125" s="684"/>
    </row>
    <row r="126" spans="1:27" ht="18.75" customHeight="1">
      <c r="A126" s="3312" t="str">
        <f>IF(项目基本情况!B9="房地产市场价值","",MID(E111,3,LEN(E111)-2))</f>
        <v/>
      </c>
      <c r="B126" s="3312"/>
      <c r="C126" s="3312"/>
      <c r="D126" s="3301" t="str">
        <f>H111</f>
        <v>——</v>
      </c>
      <c r="E126" s="3302"/>
      <c r="F126" s="3302"/>
      <c r="G126" s="3302"/>
      <c r="H126" s="3302"/>
      <c r="I126" s="3303"/>
      <c r="AA126" s="684"/>
    </row>
    <row r="127" spans="1:27" ht="18.75" customHeight="1">
      <c r="A127" s="3300" t="s">
        <v>1452</v>
      </c>
      <c r="B127" s="3300"/>
      <c r="C127" s="3300"/>
      <c r="D127" s="3306" t="e">
        <f>NUMBERSTRING(INT(D126*10000),2)&amp;"元整"</f>
        <v>#VALUE!</v>
      </c>
      <c r="E127" s="3308"/>
      <c r="F127" s="3308"/>
      <c r="G127" s="3308"/>
      <c r="H127" s="3308"/>
      <c r="I127" s="3307"/>
      <c r="AA127" s="684"/>
    </row>
    <row r="128" spans="1:27" ht="21.75" customHeight="1">
      <c r="A128" s="3309" t="s">
        <v>1453</v>
      </c>
      <c r="B128" s="3309"/>
      <c r="C128" s="3309"/>
      <c r="D128" s="3309"/>
      <c r="E128" s="3309"/>
      <c r="F128" s="3309"/>
      <c r="G128" s="3309"/>
      <c r="H128" s="3309"/>
      <c r="I128" s="330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2418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53.77</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53.77</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12</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53.77</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79" t="s">
        <v>1544</v>
      </c>
    </row>
    <row r="43" spans="1:7" ht="13.5" customHeight="1">
      <c r="A43" s="734" t="s">
        <v>347</v>
      </c>
      <c r="B43" s="207" t="s">
        <v>1545</v>
      </c>
      <c r="C43" s="230">
        <f ca="1">ROUND(IF('数据-取费表'!B22&lt;=1,C39*F22*'数据-取费表'!B21/2,C39*(POWER((1+F22),'数据-取费表'!B21/2)-1)),0)</f>
        <v>0</v>
      </c>
      <c r="D43" s="230"/>
      <c r="E43" s="230"/>
      <c r="F43" s="231"/>
      <c r="G43" s="3380"/>
    </row>
    <row r="44" spans="1:7" ht="13.5" customHeight="1">
      <c r="A44" s="734" t="s">
        <v>348</v>
      </c>
      <c r="B44" s="207" t="s">
        <v>1546</v>
      </c>
      <c r="C44" s="230">
        <f ca="1">ROUND(IF('数据-取费表'!B22&lt;=1,C40*F22*'数据-取费表'!B21/2,C40*(POWER((1+F22),'数据-取费表'!B21/2)-1)),4)</f>
        <v>2.9999999999999997E-4</v>
      </c>
      <c r="D44" s="230"/>
      <c r="E44" s="230"/>
      <c r="F44" s="231"/>
      <c r="G44" s="3381"/>
    </row>
    <row r="45" spans="1:7" s="206" customFormat="1" ht="13.5" customHeight="1">
      <c r="A45" s="247" t="s">
        <v>1547</v>
      </c>
      <c r="B45" s="236" t="s">
        <v>1513</v>
      </c>
      <c r="C45" s="237">
        <f ca="1">C46</f>
        <v>2</v>
      </c>
      <c r="D45" s="227">
        <f ca="1">C47</f>
        <v>3.0000000000000001E-3</v>
      </c>
      <c r="E45" s="228" t="s">
        <v>1539</v>
      </c>
      <c r="F45" s="238">
        <f ca="1">F27</f>
        <v>0.15</v>
      </c>
      <c r="G45" s="239" t="s">
        <v>1548</v>
      </c>
    </row>
    <row r="46" spans="1:7" s="206" customFormat="1" ht="13.5" customHeight="1">
      <c r="A46" s="734" t="s">
        <v>346</v>
      </c>
      <c r="B46" s="240" t="s">
        <v>1549</v>
      </c>
      <c r="C46" s="241">
        <f ca="1">ROUND((C33+C39)*F27,0)</f>
        <v>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v>
      </c>
      <c r="D49" s="224"/>
      <c r="E49" s="224"/>
      <c r="F49" s="256"/>
      <c r="G49" s="226" t="s">
        <v>1554</v>
      </c>
    </row>
    <row r="50" spans="1:7" s="250" customFormat="1" ht="24">
      <c r="A50" s="247" t="s">
        <v>1555</v>
      </c>
      <c r="B50" s="202" t="s">
        <v>1556</v>
      </c>
      <c r="C50" s="224"/>
      <c r="D50" s="224"/>
      <c r="E50" s="224"/>
      <c r="F50" s="256">
        <f>IF('数据-取费表'!B24=0,'数据-取费表'!N16,1)</f>
        <v>0.65</v>
      </c>
      <c r="G50" s="239" t="s">
        <v>1557</v>
      </c>
    </row>
    <row r="51" spans="1:7" ht="16.5" customHeight="1">
      <c r="A51" s="247" t="s">
        <v>1558</v>
      </c>
      <c r="B51" s="202" t="s">
        <v>1559</v>
      </c>
      <c r="C51" s="224">
        <f ca="1">ROUND(C49*F50,0)</f>
        <v>12</v>
      </c>
      <c r="D51" s="224"/>
      <c r="E51" s="224"/>
      <c r="F51" s="256"/>
      <c r="G51" s="226" t="s">
        <v>1560</v>
      </c>
    </row>
    <row r="52" spans="1:7" s="200" customFormat="1" ht="16.5" thickBot="1">
      <c r="A52" s="257" t="s">
        <v>1561</v>
      </c>
      <c r="B52" s="258"/>
      <c r="C52" s="259">
        <f ca="1">C31+C51</f>
        <v>13</v>
      </c>
      <c r="D52" s="258"/>
      <c r="E52" s="258"/>
      <c r="F52" s="258"/>
      <c r="G52" s="260"/>
    </row>
    <row r="55" spans="1:7" ht="15">
      <c r="B55" s="262" t="s">
        <v>1562</v>
      </c>
      <c r="C55" s="263"/>
    </row>
    <row r="56" spans="1:7">
      <c r="B56" s="265" t="s">
        <v>802</v>
      </c>
      <c r="C56" s="267">
        <f ca="1">1-C57</f>
        <v>7.6999999999999957E-2</v>
      </c>
    </row>
    <row r="57" spans="1:7">
      <c r="B57" s="265" t="s">
        <v>803</v>
      </c>
      <c r="C57" s="266">
        <f ca="1">ROUND(C51/C52,3)</f>
        <v>0.92300000000000004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7" t="str">
        <f>项目基本情况!B1</f>
        <v>北京市房地产市场价值预评估</v>
      </c>
      <c r="C37" s="3197"/>
      <c r="D37" s="3197"/>
      <c r="E37" s="3197"/>
      <c r="F37" s="3197"/>
      <c r="G37" s="3197"/>
      <c r="H37" s="3197"/>
      <c r="I37" s="319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陈颖（注册号：0)、（注册号：0)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85" zoomScaleNormal="70" zoomScaleSheetLayoutView="85" workbookViewId="0">
      <selection activeCell="K10" sqref="K10"/>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3402</v>
      </c>
      <c r="C1" s="1717" t="s">
        <v>1563</v>
      </c>
      <c r="D1" s="190"/>
      <c r="E1" s="190"/>
      <c r="F1" s="190"/>
      <c r="G1" s="1062">
        <f>MATCH(B1,'数据-取费表'!A6:A16,0)+5</f>
        <v>6</v>
      </c>
      <c r="H1" s="998" t="str">
        <f>IF(ISERROR(FIND("住宅",B1)),"非住宅","住宅")</f>
        <v>住宅</v>
      </c>
    </row>
    <row r="2" spans="1:8" s="192" customFormat="1" ht="18" customHeight="1">
      <c r="A2" s="193" t="s">
        <v>1462</v>
      </c>
      <c r="B2" s="3123">
        <f ca="1">ROUND(IF(D2="——",C52/10000,C52/10000-E2),4)</f>
        <v>292.50869999999998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54400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2174689.8400000003</v>
      </c>
      <c r="D5" s="203" t="s">
        <v>1469</v>
      </c>
      <c r="E5" s="204" t="s">
        <v>1470</v>
      </c>
      <c r="F5" s="204" t="s">
        <v>1471</v>
      </c>
      <c r="G5" s="205"/>
    </row>
    <row r="6" spans="1:8" s="206" customFormat="1" ht="13.5" customHeight="1">
      <c r="A6" s="732" t="s">
        <v>1472</v>
      </c>
      <c r="B6" s="207" t="s">
        <v>1473</v>
      </c>
      <c r="C6" s="208">
        <f>基准地价修正!C33*基准地价修正!D33</f>
        <v>2101976.8400000003</v>
      </c>
      <c r="D6" s="209"/>
      <c r="E6" s="210"/>
      <c r="F6" s="210"/>
      <c r="G6" s="211"/>
    </row>
    <row r="7" spans="1:8" s="206" customFormat="1" ht="13.5" customHeight="1">
      <c r="A7" s="732" t="s">
        <v>1474</v>
      </c>
      <c r="B7" s="207" t="s">
        <v>1475</v>
      </c>
      <c r="C7" s="212">
        <f>ROUND(C6*F7,0)</f>
        <v>64110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8603</v>
      </c>
      <c r="D8" s="214"/>
      <c r="E8" s="212"/>
      <c r="F8" s="213"/>
      <c r="G8" s="1714" t="s">
        <v>3435</v>
      </c>
    </row>
    <row r="9" spans="1:8" s="206" customFormat="1" ht="13.5" customHeight="1">
      <c r="A9" s="733" t="s">
        <v>355</v>
      </c>
      <c r="B9" s="216" t="s">
        <v>1478</v>
      </c>
      <c r="C9" s="217">
        <f ca="1">ROUND(D9*E9,0)</f>
        <v>8603</v>
      </c>
      <c r="D9" s="795">
        <f ca="1">IF(B1="",'数据-汇总表'!E5,IF(INDIRECT("'数据-取费表'!c"&amp;$G$1)="住宅",INDIRECT("'数据-取费表'!k"&amp;$G$1),0))</f>
        <v>53.77</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53.77</v>
      </c>
      <c r="E19" s="203">
        <f>'数据-取费表'!B31</f>
        <v>200</v>
      </c>
      <c r="F19" s="223"/>
      <c r="G19" s="1714" t="s">
        <v>3436</v>
      </c>
    </row>
    <row r="20" spans="1:7" s="206" customFormat="1" ht="13.5" customHeight="1">
      <c r="A20" s="247" t="s">
        <v>1574</v>
      </c>
      <c r="B20" s="202" t="s">
        <v>1575</v>
      </c>
      <c r="C20" s="224">
        <f ca="1">ROUND((C5+C19)*F20,0)</f>
        <v>21747</v>
      </c>
      <c r="D20" s="224"/>
      <c r="E20" s="224"/>
      <c r="F20" s="225">
        <f>'数据-取费表'!B37</f>
        <v>0.01</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65567</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65241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326</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329466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329466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2806443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143244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118294</v>
      </c>
      <c r="D34" s="209"/>
      <c r="E34" s="212"/>
      <c r="F34" s="249"/>
      <c r="G34" s="211"/>
    </row>
    <row r="35" spans="1:7" ht="13.5" customHeight="1">
      <c r="A35" s="734" t="s">
        <v>351</v>
      </c>
      <c r="B35" s="207" t="s">
        <v>1527</v>
      </c>
      <c r="C35" s="212">
        <f ca="1">ROUND(C34*F35,0)</f>
        <v>5915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5915</v>
      </c>
      <c r="D36" s="212"/>
      <c r="E36" s="212"/>
      <c r="F36" s="251">
        <f>'数据-取费表'!B34</f>
        <v>0.05</v>
      </c>
      <c r="G36" s="252" t="s">
        <v>1530</v>
      </c>
    </row>
    <row r="37" spans="1:7" s="250" customFormat="1" ht="13.5" customHeight="1">
      <c r="A37" s="734" t="s">
        <v>353</v>
      </c>
      <c r="B37" s="207" t="s">
        <v>1531</v>
      </c>
      <c r="C37" s="241">
        <f ca="1">ROUND(E37*D37,0)</f>
        <v>10754</v>
      </c>
      <c r="D37" s="209">
        <f ca="1">D19</f>
        <v>53.77</v>
      </c>
      <c r="E37" s="241">
        <f>'数据-取费表'!B35</f>
        <v>200</v>
      </c>
      <c r="F37" s="251"/>
      <c r="G37" s="253"/>
    </row>
    <row r="38" spans="1:7" ht="13.5" customHeight="1">
      <c r="A38" s="734" t="s">
        <v>354</v>
      </c>
      <c r="B38" s="207" t="s">
        <v>1533</v>
      </c>
      <c r="C38" s="212">
        <f ca="1">ROUND(C34*F38,0)</f>
        <v>2366</v>
      </c>
      <c r="D38" s="212"/>
      <c r="E38" s="212"/>
      <c r="F38" s="251">
        <f>'数据-取费表'!B36</f>
        <v>0.02</v>
      </c>
      <c r="G38" s="211" t="s">
        <v>1528</v>
      </c>
    </row>
    <row r="39" spans="1:7" s="206" customFormat="1" ht="13.5" customHeight="1">
      <c r="A39" s="247" t="s">
        <v>1534</v>
      </c>
      <c r="B39" s="202" t="s">
        <v>1535</v>
      </c>
      <c r="C39" s="224">
        <f ca="1">ROUND(C33*F20,0)</f>
        <v>1432</v>
      </c>
      <c r="D39" s="224"/>
      <c r="E39" s="224"/>
      <c r="F39" s="225">
        <f>F20</f>
        <v>0.01</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2170</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2149</v>
      </c>
      <c r="D42" s="230"/>
      <c r="E42" s="230"/>
      <c r="F42" s="231"/>
      <c r="G42" s="3379" t="s">
        <v>1591</v>
      </c>
    </row>
    <row r="43" spans="1:7" ht="13.5" customHeight="1">
      <c r="A43" s="734" t="s">
        <v>347</v>
      </c>
      <c r="B43" s="207" t="s">
        <v>1545</v>
      </c>
      <c r="C43" s="230">
        <f ca="1">ROUND(IF('数据-取费表'!B22&lt;=1,C39*F22*'数据-取费表'!B20/2,C39*(POWER((1+F22),'数据-取费表'!B20/2)-1)),0)</f>
        <v>21</v>
      </c>
      <c r="D43" s="230"/>
      <c r="E43" s="230"/>
      <c r="F43" s="231"/>
      <c r="G43" s="3380"/>
    </row>
    <row r="44" spans="1:7" ht="13.5" customHeight="1">
      <c r="A44" s="734" t="s">
        <v>348</v>
      </c>
      <c r="B44" s="207" t="s">
        <v>1546</v>
      </c>
      <c r="C44" s="230">
        <f ca="1">ROUND(IF('数据-取费表'!B22&lt;=1,C40*F22*'数据-取费表'!B20/2,C40*(POWER((1+F22),'数据-取费表'!B20/2)-1)),4)</f>
        <v>2.9999999999999997E-4</v>
      </c>
      <c r="D44" s="230"/>
      <c r="E44" s="230"/>
      <c r="F44" s="231"/>
      <c r="G44" s="3381"/>
    </row>
    <row r="45" spans="1:7" s="206" customFormat="1" ht="13.5" customHeight="1">
      <c r="A45" s="247" t="s">
        <v>1547</v>
      </c>
      <c r="B45" s="236" t="s">
        <v>1513</v>
      </c>
      <c r="C45" s="237">
        <f ca="1">C46</f>
        <v>21701</v>
      </c>
      <c r="D45" s="227">
        <f ca="1">C47</f>
        <v>3.0000000000000001E-3</v>
      </c>
      <c r="E45" s="228" t="s">
        <v>1539</v>
      </c>
      <c r="F45" s="238">
        <f ca="1">F27</f>
        <v>0.15</v>
      </c>
      <c r="G45" s="239" t="s">
        <v>1548</v>
      </c>
    </row>
    <row r="46" spans="1:7" s="206" customFormat="1" ht="13.5" customHeight="1">
      <c r="A46" s="734" t="s">
        <v>346</v>
      </c>
      <c r="B46" s="240" t="s">
        <v>1549</v>
      </c>
      <c r="C46" s="241">
        <f ca="1">ROUND((C33+C39)*F27,0)</f>
        <v>21701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182529</v>
      </c>
      <c r="D49" s="224"/>
      <c r="E49" s="224"/>
      <c r="F49" s="256"/>
      <c r="G49" s="226" t="s">
        <v>1554</v>
      </c>
    </row>
    <row r="50" spans="1:7" s="250" customFormat="1">
      <c r="A50" s="247" t="s">
        <v>1555</v>
      </c>
      <c r="B50" s="202" t="s">
        <v>1556</v>
      </c>
      <c r="C50" s="224"/>
      <c r="D50" s="224"/>
      <c r="E50" s="224"/>
      <c r="F50" s="256">
        <f>IF('数据-取费表'!B24=0,'数据-取费表'!N16,1)</f>
        <v>0.65</v>
      </c>
      <c r="G50" s="239"/>
    </row>
    <row r="51" spans="1:7" ht="16.5" customHeight="1">
      <c r="A51" s="247" t="s">
        <v>1558</v>
      </c>
      <c r="B51" s="202" t="s">
        <v>1593</v>
      </c>
      <c r="C51" s="224">
        <f ca="1">ROUND(C49*F50,0)</f>
        <v>118644</v>
      </c>
      <c r="D51" s="224"/>
      <c r="E51" s="224"/>
      <c r="F51" s="256"/>
      <c r="G51" s="226" t="s">
        <v>1560</v>
      </c>
    </row>
    <row r="52" spans="1:7" s="200" customFormat="1" ht="16.5" thickBot="1">
      <c r="A52" s="257" t="s">
        <v>1561</v>
      </c>
      <c r="B52" s="258"/>
      <c r="C52" s="259">
        <f ca="1">C31+C51</f>
        <v>2925087</v>
      </c>
      <c r="D52" s="258"/>
      <c r="E52" s="258"/>
      <c r="F52" s="258"/>
      <c r="G52" s="260"/>
    </row>
    <row r="55" spans="1:7" ht="15">
      <c r="B55" s="262" t="s">
        <v>1562</v>
      </c>
      <c r="C55" s="263"/>
    </row>
    <row r="56" spans="1:7">
      <c r="B56" s="265" t="s">
        <v>802</v>
      </c>
      <c r="C56" s="267">
        <f ca="1">1-C57</f>
        <v>0.95899999999999996</v>
      </c>
    </row>
    <row r="57" spans="1:7">
      <c r="B57" s="265" t="s">
        <v>803</v>
      </c>
      <c r="C57" s="266">
        <f ca="1">ROUND(C51/C52,3)</f>
        <v>4.1000000000000002E-2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v>
      </c>
      <c r="C2" s="268" t="s">
        <v>1595</v>
      </c>
      <c r="D2" s="268"/>
      <c r="E2" s="2568"/>
      <c r="F2" s="2568"/>
      <c r="G2" s="2568"/>
      <c r="H2" s="2568"/>
      <c r="I2" s="2568"/>
      <c r="J2" s="2568"/>
      <c r="K2" s="2568"/>
    </row>
    <row r="3" spans="1:33" ht="18" customHeight="1" thickBot="1">
      <c r="A3" s="195" t="s">
        <v>1464</v>
      </c>
      <c r="B3" s="196">
        <f ca="1">ROUND(B2*10000/IF(C1="",'数据-汇总表'!E3,INDIRECT("'数据-取费表'!K"&amp;$K$1)),0)</f>
        <v>-186</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53.77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53.77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53.77</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4" t="s">
        <v>694</v>
      </c>
      <c r="C6" s="1011">
        <f ca="1">ROUND(F6*F8*F7*(1-F9)/10000,0)</f>
        <v>0</v>
      </c>
      <c r="D6" s="147" t="s">
        <v>2109</v>
      </c>
      <c r="E6" s="294" t="s">
        <v>696</v>
      </c>
      <c r="F6" s="295">
        <f ca="1">INDIRECT("'数据-取费表'!u"&amp;$G$1)</f>
        <v>0</v>
      </c>
      <c r="G6" s="1292"/>
      <c r="H6" s="1006" t="s">
        <v>398</v>
      </c>
      <c r="I6" s="3384" t="s">
        <v>694</v>
      </c>
      <c r="J6" s="293">
        <f ca="1">ROUND(M6*M8*M7*(1-M9)/10000,0)</f>
        <v>0</v>
      </c>
      <c r="K6" s="147" t="s">
        <v>2108</v>
      </c>
      <c r="L6" s="294" t="s">
        <v>696</v>
      </c>
      <c r="M6" s="295">
        <f ca="1">INDIRECT("'数据-取费表'!z"&amp;$G$1)</f>
        <v>0</v>
      </c>
    </row>
    <row r="7" spans="1:37" ht="18" customHeight="1">
      <c r="A7" s="1010"/>
      <c r="B7" s="3385"/>
      <c r="C7" s="1012"/>
      <c r="D7" s="299"/>
      <c r="E7" s="1013" t="s">
        <v>697</v>
      </c>
      <c r="F7" s="295">
        <f ca="1">IF(INDIRECT("'数据-取费表'!ah"&amp;$G$1)="",INDIRECT("'数据-取费表'!k"&amp;$G$1),INDIRECT("'数据-取费表'!ah"&amp;$G$1))</f>
        <v>0</v>
      </c>
      <c r="G7" s="1292"/>
      <c r="H7" s="296"/>
      <c r="I7" s="3385"/>
      <c r="J7" s="298"/>
      <c r="K7" s="299"/>
      <c r="L7" s="294" t="s">
        <v>697</v>
      </c>
      <c r="M7" s="295">
        <f ca="1">F7</f>
        <v>0</v>
      </c>
    </row>
    <row r="8" spans="1:37" ht="18" customHeight="1">
      <c r="A8" s="296"/>
      <c r="B8" s="3385"/>
      <c r="C8" s="298"/>
      <c r="D8" s="299"/>
      <c r="E8" s="294" t="s">
        <v>698</v>
      </c>
      <c r="F8" s="295">
        <f ca="1">INDIRECT("'数据-取费表'!ai"&amp;$G$1)</f>
        <v>0</v>
      </c>
      <c r="G8" s="1292"/>
      <c r="H8" s="296"/>
      <c r="I8" s="3385"/>
      <c r="J8" s="298"/>
      <c r="K8" s="299"/>
      <c r="L8" s="294" t="s">
        <v>698</v>
      </c>
      <c r="M8" s="295">
        <f ca="1">INDIRECT("'数据-取费表'!ai"&amp;$G$1)</f>
        <v>0</v>
      </c>
    </row>
    <row r="9" spans="1:37" ht="18" customHeight="1">
      <c r="A9" s="296"/>
      <c r="B9" s="3386"/>
      <c r="C9" s="298"/>
      <c r="D9" s="299"/>
      <c r="E9" s="294" t="s">
        <v>699</v>
      </c>
      <c r="F9" s="304">
        <f ca="1">INDIRECT("'数据-取费表'!w"&amp;$G$1)</f>
        <v>0</v>
      </c>
      <c r="G9" s="1292"/>
      <c r="H9" s="296"/>
      <c r="I9" s="338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82" t="s">
        <v>837</v>
      </c>
      <c r="L53" s="3383"/>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4" zoomScaleNormal="80" zoomScaleSheetLayoutView="100" workbookViewId="0">
      <selection activeCell="K10" sqref="K1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53.77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210</v>
      </c>
      <c r="C2" s="1846" t="s">
        <v>1935</v>
      </c>
      <c r="D2" s="162" t="s">
        <v>1936</v>
      </c>
      <c r="E2" s="3121" t="s">
        <v>3402</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Ⅲ—16</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52188</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39055</v>
      </c>
      <c r="C3" s="1846" t="s">
        <v>1941</v>
      </c>
      <c r="D3" s="162" t="s">
        <v>1942</v>
      </c>
      <c r="E3" s="3119" t="s">
        <v>3410</v>
      </c>
      <c r="F3" s="1848" t="s">
        <v>3424</v>
      </c>
      <c r="G3" s="708">
        <f>IF(F3="宗地容积率",'数据-汇总表'!I4,IF(F3="估价对象容积率",'数据-汇总表'!I6,'数据-汇总表'!I7))</f>
        <v>1.5</v>
      </c>
      <c r="H3" s="162" t="s">
        <v>1943</v>
      </c>
      <c r="I3" s="729"/>
      <c r="J3" s="1842" t="s">
        <v>1944</v>
      </c>
      <c r="K3" s="1056"/>
      <c r="L3" s="1847" t="s">
        <v>1945</v>
      </c>
      <c r="M3" s="811">
        <f>SUMPRODUCT((区片价!B30:B54=I2)*(区片价!C3:G3=E2)*(区片价!C30:G54))</f>
        <v>28000</v>
      </c>
      <c r="N3" s="813">
        <f>SUMPRODUCT((因素修正幅度!B30:B54=I2)*(因素修正幅度!C3:G3=E2)*(因素修正幅度!C30:G54))</f>
        <v>9.5000000000000001E-2</v>
      </c>
      <c r="O3" s="1056"/>
      <c r="P3" s="1056"/>
      <c r="Q3" s="1056"/>
      <c r="R3" s="1129">
        <v>2</v>
      </c>
      <c r="S3" s="3064">
        <f>ROUND(SUMPRODUCT((B106:B110=R3)*(C105:N105=G2)*(C106:N110)),4)</f>
        <v>1.1838</v>
      </c>
      <c r="T3" s="3064">
        <f t="shared" si="0"/>
        <v>41135</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94"/>
      <c r="B4" s="3395"/>
      <c r="C4" s="3395"/>
      <c r="D4" s="3396"/>
      <c r="E4" s="3396"/>
      <c r="F4" s="3396"/>
      <c r="G4" s="3396"/>
      <c r="H4" s="3396"/>
      <c r="I4" s="3396"/>
      <c r="J4" s="339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34766</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32340</v>
      </c>
      <c r="D5" s="1252">
        <f>ROUND(C6*C17+C20,0)</f>
        <v>28000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30662</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28000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29466</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三级</v>
      </c>
      <c r="Y7" s="1131" t="s">
        <v>1956</v>
      </c>
      <c r="Z7" s="1132">
        <f>G3</f>
        <v>1.5</v>
      </c>
      <c r="AA7" s="1133"/>
      <c r="AB7" s="1133"/>
      <c r="AC7" s="1134"/>
      <c r="AD7" s="1135"/>
      <c r="AE7" s="1135"/>
      <c r="AF7" s="1135"/>
      <c r="AG7" s="1135"/>
      <c r="AH7" s="1135"/>
      <c r="AI7" s="1135"/>
      <c r="AJ7" s="1136"/>
    </row>
    <row r="8" spans="1:36" ht="25.5">
      <c r="A8" s="3010"/>
      <c r="B8" s="162" t="s">
        <v>1957</v>
      </c>
      <c r="C8" s="1870" t="s">
        <v>3426</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91" t="s">
        <v>1960</v>
      </c>
      <c r="X8" s="339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93"/>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9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1.155</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t="s">
        <v>3427</v>
      </c>
      <c r="D15" s="1887" t="s">
        <v>3490</v>
      </c>
      <c r="E15" s="1888" t="s">
        <v>3491</v>
      </c>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v>1.1000000000000001</v>
      </c>
      <c r="D16" s="3025">
        <v>1</v>
      </c>
      <c r="E16" s="3025">
        <v>1.05</v>
      </c>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0.96709999999999996</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98" t="s">
        <v>3254</v>
      </c>
      <c r="B20" s="159" t="s">
        <v>1994</v>
      </c>
      <c r="C20" s="3032">
        <f>ROUND(IF(F21="与级别开发程度一致",0,(G21-E21)/C21),0)</f>
        <v>0</v>
      </c>
      <c r="D20" s="3047" t="s">
        <v>1998</v>
      </c>
      <c r="E20" s="3048"/>
      <c r="F20" s="3404" t="s">
        <v>1995</v>
      </c>
      <c r="G20" s="340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99"/>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3428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1.0647</v>
      </c>
      <c r="D23" s="1896" t="s">
        <v>2002</v>
      </c>
      <c r="E23" s="717">
        <v>44197</v>
      </c>
      <c r="F23" s="1896" t="s">
        <v>2003</v>
      </c>
      <c r="G23" s="718">
        <f>'数据-取费表'!B2</f>
        <v>46016</v>
      </c>
      <c r="H23" s="3049" t="s">
        <v>3425</v>
      </c>
      <c r="I23" s="3050" t="str">
        <f>IF(H23="季度增幅（自定义）",SUMIF(N25:N28,E2,O25:O28),"")</f>
        <v/>
      </c>
      <c r="J23" s="3142" t="s">
        <v>3492</v>
      </c>
      <c r="K23" s="1061"/>
      <c r="L23" s="1897" t="s">
        <v>2004</v>
      </c>
      <c r="M23" s="1241">
        <f>ROUND(SUMIF(地价!B2:G2,E2,地价!B16:G16),0)</f>
        <v>687</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0.96840000000000004</v>
      </c>
      <c r="D24" s="1902" t="s">
        <v>2007</v>
      </c>
      <c r="E24" s="1248">
        <f>存贷款利率!E28/100</f>
        <v>4.3499999999999997E-2</v>
      </c>
      <c r="F24" s="1902" t="s">
        <v>1999</v>
      </c>
      <c r="G24" s="724">
        <f>SUMIF(M30:Q30,E2,M33:Q33)</f>
        <v>0.05</v>
      </c>
      <c r="H24" s="1902" t="s">
        <v>2008</v>
      </c>
      <c r="I24" s="725">
        <f>SUMIF('数据-取费表'!C6:C15,E2,'数据-取费表'!F6:F15)/COUNTIF('数据-取费表'!C6:C15,E2)</f>
        <v>56.54</v>
      </c>
      <c r="J24" s="726">
        <f>IF(E2="住宅",70,IF(E2="商业",40,50))</f>
        <v>70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1.125</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1.125</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1.125</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1.125</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1.0421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210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39092</v>
      </c>
      <c r="D33" s="1940">
        <f>'数据-汇总表'!F19</f>
        <v>53.77</v>
      </c>
      <c r="E33" s="727">
        <f>ROUND(C33*D33/10000,0)</f>
        <v>210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9773</v>
      </c>
      <c r="D34" s="1945"/>
      <c r="E34" s="727">
        <f>ROUND(IF(B25="楼层修正",SUM(V2:V16)*M40,C34*D34/10000),0)</f>
        <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02"/>
      <c r="B37" s="1955" t="s">
        <v>2036</v>
      </c>
      <c r="C37" s="167">
        <f>ROUND(D5*C22*C23*C24*C28*F37,0)</f>
        <v>18051</v>
      </c>
      <c r="D37" s="1940"/>
      <c r="E37" s="163">
        <f>ROUND(C37*D37/10000,0)</f>
        <v>0</v>
      </c>
      <c r="F37" s="163">
        <f>SUMIF(修正!A59:A70,G2,修正!B59:B70)</f>
        <v>0.6</v>
      </c>
      <c r="G37" s="163">
        <f>ROUND(IF(E2="工业",C37*$M$42,C37*$M$41),0)</f>
        <v>4513</v>
      </c>
      <c r="H37" s="163">
        <f>D37</f>
        <v>0</v>
      </c>
      <c r="I37" s="163">
        <f>ROUND(G37*H37/10000,0)</f>
        <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03"/>
      <c r="B38" s="1884" t="s">
        <v>2037</v>
      </c>
      <c r="C38" s="167">
        <f>ROUND(D5*C22*C23*C24*C28*F38,0)</f>
        <v>9025</v>
      </c>
      <c r="D38" s="1940"/>
      <c r="E38" s="163">
        <f t="shared" ref="E38:E42" si="4">ROUND(C38*D38/10000,0)</f>
        <v>0</v>
      </c>
      <c r="F38" s="163">
        <f>SUMIF(修正!A59:A70,G2,修正!C59:C70)</f>
        <v>0.3</v>
      </c>
      <c r="G38" s="163">
        <f>ROUND(IF(E2="工业",C38*$M$42,C38*$M$41),0)</f>
        <v>2256</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03"/>
      <c r="B39" s="1884" t="s">
        <v>3257</v>
      </c>
      <c r="C39" s="167">
        <f>ROUND(D5*C22*C23*C24*C28*F39,0)</f>
        <v>7521</v>
      </c>
      <c r="D39" s="1940"/>
      <c r="E39" s="163">
        <f t="shared" si="4"/>
        <v>0</v>
      </c>
      <c r="F39" s="163">
        <f>SUMIF(修正!A59:A70,G2,修正!D59:D70)</f>
        <v>0.25</v>
      </c>
      <c r="G39" s="163">
        <f>ROUND(IF(E2="工业",C39*$M$42,C39*$M$41),0)</f>
        <v>1880</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7521</v>
      </c>
      <c r="D40" s="1940"/>
      <c r="E40" s="163">
        <f t="shared" si="4"/>
        <v>0</v>
      </c>
      <c r="F40" s="167">
        <f>SUMIF(修正!A59:A70,G2,修正!E59:E70)</f>
        <v>0.25</v>
      </c>
      <c r="G40" s="163">
        <f>ROUND(IF(E2="工业",C40*$M$42,C40*$M$41),0)</f>
        <v>1880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1.0421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t="s">
        <v>3429</v>
      </c>
      <c r="D72" s="1002">
        <f t="shared" ref="D72:D80" si="17">SUMIF($J$71:$N$71,C72,J72:N72)</f>
        <v>9.4999999999999998E-3</v>
      </c>
      <c r="E72" s="702">
        <f>ROUND(SUM(D72:D80),4)</f>
        <v>4.2099999999999999E-2</v>
      </c>
      <c r="F72" s="1675">
        <f>IF(E2="住宅",SUMIF(L1:L12,G2,N1:N12),"——")</f>
        <v>9.5000000000000001E-2</v>
      </c>
      <c r="G72" s="1000">
        <v>9.4999999999999998E-3</v>
      </c>
      <c r="H72" s="1003">
        <f t="shared" ref="H72:H80" si="18">IFERROR(ROUNDDOWN($F$72*I72/2,4),"——")</f>
        <v>9.4999999999999998E-3</v>
      </c>
      <c r="I72" s="3069">
        <v>0.2</v>
      </c>
      <c r="J72" s="1001">
        <f t="shared" ref="J72:J80" si="19">K72+$G72</f>
        <v>1.9E-2</v>
      </c>
      <c r="K72" s="1001">
        <f t="shared" ref="K72:K80" si="20">$L72+$G72</f>
        <v>9.4999999999999998E-3</v>
      </c>
      <c r="L72" s="1001">
        <v>0</v>
      </c>
      <c r="M72" s="1001">
        <f t="shared" ref="M72:N80" si="21">L72-$G72</f>
        <v>-9.4999999999999998E-3</v>
      </c>
      <c r="N72" s="1001">
        <f t="shared" si="21"/>
        <v>-1.9E-2</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t="s">
        <v>3429</v>
      </c>
      <c r="D73" s="1002">
        <f t="shared" si="17"/>
        <v>1.23E-2</v>
      </c>
      <c r="E73" s="705"/>
      <c r="F73" s="1675"/>
      <c r="G73" s="1000">
        <v>1.23E-2</v>
      </c>
      <c r="H73" s="1003">
        <f t="shared" si="18"/>
        <v>1.23E-2</v>
      </c>
      <c r="I73" s="3069">
        <v>0.26</v>
      </c>
      <c r="J73" s="1001">
        <f t="shared" si="19"/>
        <v>2.46E-2</v>
      </c>
      <c r="K73" s="1001">
        <f t="shared" si="20"/>
        <v>1.23E-2</v>
      </c>
      <c r="L73" s="1001">
        <v>0</v>
      </c>
      <c r="M73" s="1001">
        <f t="shared" si="21"/>
        <v>-1.23E-2</v>
      </c>
      <c r="N73" s="1001">
        <f t="shared" si="21"/>
        <v>-2.46E-2</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t="s">
        <v>3429</v>
      </c>
      <c r="D74" s="1002">
        <f t="shared" si="17"/>
        <v>4.7000000000000002E-3</v>
      </c>
      <c r="E74" s="705"/>
      <c r="F74" s="1675"/>
      <c r="G74" s="1000">
        <v>4.7000000000000002E-3</v>
      </c>
      <c r="H74" s="1003">
        <f t="shared" si="18"/>
        <v>4.7000000000000002E-3</v>
      </c>
      <c r="I74" s="3069">
        <v>0.1</v>
      </c>
      <c r="J74" s="1001">
        <f t="shared" si="19"/>
        <v>9.4000000000000004E-3</v>
      </c>
      <c r="K74" s="1001">
        <f t="shared" si="20"/>
        <v>4.7000000000000002E-3</v>
      </c>
      <c r="L74" s="1001">
        <v>0</v>
      </c>
      <c r="M74" s="1001">
        <f t="shared" si="21"/>
        <v>-4.7000000000000002E-3</v>
      </c>
      <c r="N74" s="1001">
        <f t="shared" si="21"/>
        <v>-9.4000000000000004E-3</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t="s">
        <v>3430</v>
      </c>
      <c r="D75" s="1002">
        <f t="shared" si="17"/>
        <v>-2.3E-3</v>
      </c>
      <c r="E75" s="705"/>
      <c r="F75" s="1675"/>
      <c r="G75" s="1000">
        <v>2.3E-3</v>
      </c>
      <c r="H75" s="1003">
        <f t="shared" si="18"/>
        <v>2.3E-3</v>
      </c>
      <c r="I75" s="3069">
        <v>0.05</v>
      </c>
      <c r="J75" s="1001">
        <f t="shared" si="19"/>
        <v>4.5999999999999999E-3</v>
      </c>
      <c r="K75" s="1001">
        <f t="shared" si="20"/>
        <v>2.3E-3</v>
      </c>
      <c r="L75" s="1001">
        <v>0</v>
      </c>
      <c r="M75" s="1001">
        <f t="shared" si="21"/>
        <v>-2.3E-3</v>
      </c>
      <c r="N75" s="1001">
        <f t="shared" si="21"/>
        <v>-4.5999999999999999E-3</v>
      </c>
      <c r="O75" s="1056"/>
      <c r="P75" s="1056"/>
      <c r="Q75" s="1844"/>
      <c r="Z75" s="1845"/>
      <c r="AA75" s="1895"/>
      <c r="AG75" s="1058"/>
      <c r="AK75" s="1895"/>
    </row>
    <row r="76" spans="1:37" ht="25.5">
      <c r="A76" s="1970" t="s">
        <v>2059</v>
      </c>
      <c r="B76" s="1240" t="str">
        <f>估价对象房地状况!C21</f>
        <v>估价对象所在区域公共配套设施齐备情况</v>
      </c>
      <c r="C76" s="1887" t="s">
        <v>3429</v>
      </c>
      <c r="D76" s="1002">
        <f t="shared" si="17"/>
        <v>3.8E-3</v>
      </c>
      <c r="E76" s="705"/>
      <c r="F76" s="1675"/>
      <c r="G76" s="1000">
        <v>3.8E-3</v>
      </c>
      <c r="H76" s="1003">
        <f t="shared" si="18"/>
        <v>3.8E-3</v>
      </c>
      <c r="I76" s="3069">
        <v>0.08</v>
      </c>
      <c r="J76" s="1001">
        <f t="shared" si="19"/>
        <v>7.6E-3</v>
      </c>
      <c r="K76" s="1001">
        <f t="shared" si="20"/>
        <v>3.8E-3</v>
      </c>
      <c r="L76" s="1001">
        <v>0</v>
      </c>
      <c r="M76" s="1001">
        <f t="shared" si="21"/>
        <v>-3.8E-3</v>
      </c>
      <c r="N76" s="1001">
        <f t="shared" si="21"/>
        <v>-7.6E-3</v>
      </c>
      <c r="O76" s="1056"/>
      <c r="P76" s="1056"/>
      <c r="Z76" s="1845"/>
      <c r="AA76" s="1895"/>
      <c r="AG76" s="1058"/>
      <c r="AK76" s="1895"/>
    </row>
    <row r="77" spans="1:37" ht="25.5">
      <c r="A77" s="1970" t="s">
        <v>2060</v>
      </c>
      <c r="B77" s="1240" t="str">
        <f>估价对象房地状况!C22</f>
        <v>估价对象所在区域基础设施水平</v>
      </c>
      <c r="C77" s="1887" t="s">
        <v>3431</v>
      </c>
      <c r="D77" s="1002">
        <f t="shared" si="17"/>
        <v>8.3999999999999995E-3</v>
      </c>
      <c r="E77" s="705"/>
      <c r="F77" s="1675"/>
      <c r="G77" s="1000">
        <v>4.1999999999999997E-3</v>
      </c>
      <c r="H77" s="1003">
        <f t="shared" si="18"/>
        <v>4.1999999999999997E-3</v>
      </c>
      <c r="I77" s="3069">
        <v>0.09</v>
      </c>
      <c r="J77" s="1001">
        <f t="shared" si="19"/>
        <v>8.3999999999999995E-3</v>
      </c>
      <c r="K77" s="1001">
        <f t="shared" si="20"/>
        <v>4.1999999999999997E-3</v>
      </c>
      <c r="L77" s="1001">
        <v>0</v>
      </c>
      <c r="M77" s="1001">
        <f t="shared" si="21"/>
        <v>-4.1999999999999997E-3</v>
      </c>
      <c r="N77" s="1001">
        <f t="shared" si="21"/>
        <v>-8.3999999999999995E-3</v>
      </c>
      <c r="O77" s="1056"/>
      <c r="P77" s="1056"/>
      <c r="Z77" s="1845"/>
      <c r="AA77" s="1895"/>
      <c r="AG77" s="1058"/>
      <c r="AK77" s="1895"/>
    </row>
    <row r="78" spans="1:37" ht="24">
      <c r="A78" s="1970" t="s">
        <v>2057</v>
      </c>
      <c r="B78" s="1975" t="s">
        <v>2058</v>
      </c>
      <c r="C78" s="1887" t="s">
        <v>3432</v>
      </c>
      <c r="D78" s="1002">
        <f t="shared" si="17"/>
        <v>0</v>
      </c>
      <c r="E78" s="705"/>
      <c r="F78" s="1675"/>
      <c r="G78" s="1000">
        <v>2.3E-3</v>
      </c>
      <c r="H78" s="1003">
        <f t="shared" si="18"/>
        <v>2.3E-3</v>
      </c>
      <c r="I78" s="3069">
        <v>0.05</v>
      </c>
      <c r="J78" s="1001">
        <f t="shared" si="19"/>
        <v>4.5999999999999999E-3</v>
      </c>
      <c r="K78" s="1001">
        <f t="shared" si="20"/>
        <v>2.3E-3</v>
      </c>
      <c r="L78" s="1001">
        <v>0</v>
      </c>
      <c r="M78" s="1001">
        <f t="shared" si="21"/>
        <v>-2.3E-3</v>
      </c>
      <c r="N78" s="1001">
        <f t="shared" si="21"/>
        <v>-4.5999999999999999E-3</v>
      </c>
      <c r="O78" s="1844"/>
      <c r="P78" s="1844"/>
      <c r="Z78" s="1845"/>
      <c r="AA78" s="1895"/>
      <c r="AG78" s="1058"/>
      <c r="AK78" s="1895"/>
    </row>
    <row r="79" spans="1:37" ht="25.5">
      <c r="A79" s="1970" t="s">
        <v>2061</v>
      </c>
      <c r="B79" s="1973" t="str">
        <f>估价对象房地状况!C20</f>
        <v>区域自然环境：；人文环境；综合评价环境状况一般</v>
      </c>
      <c r="C79" s="1887" t="s">
        <v>3429</v>
      </c>
      <c r="D79" s="1002">
        <f t="shared" si="17"/>
        <v>5.7000000000000002E-3</v>
      </c>
      <c r="E79" s="705"/>
      <c r="F79" s="1675"/>
      <c r="G79" s="1000">
        <v>5.7000000000000002E-3</v>
      </c>
      <c r="H79" s="1003">
        <f t="shared" si="18"/>
        <v>5.7000000000000002E-3</v>
      </c>
      <c r="I79" s="3069">
        <v>0.12</v>
      </c>
      <c r="J79" s="1001">
        <f t="shared" si="19"/>
        <v>1.14E-2</v>
      </c>
      <c r="K79" s="1001">
        <f t="shared" si="20"/>
        <v>5.7000000000000002E-3</v>
      </c>
      <c r="L79" s="1001">
        <v>0</v>
      </c>
      <c r="M79" s="1001">
        <f t="shared" si="21"/>
        <v>-5.7000000000000002E-3</v>
      </c>
      <c r="N79" s="1001">
        <f t="shared" si="21"/>
        <v>-1.14E-2</v>
      </c>
      <c r="Z79" s="1845"/>
      <c r="AA79" s="1895"/>
      <c r="AG79" s="1058"/>
      <c r="AK79" s="1895"/>
    </row>
    <row r="80" spans="1:37" ht="24.75" thickBot="1">
      <c r="A80" s="1977" t="s">
        <v>2068</v>
      </c>
      <c r="B80" s="1981"/>
      <c r="C80" s="1887" t="s">
        <v>3432</v>
      </c>
      <c r="D80" s="1002">
        <f t="shared" si="17"/>
        <v>0</v>
      </c>
      <c r="E80" s="706"/>
      <c r="F80" s="1675"/>
      <c r="G80" s="1000">
        <v>2.3E-3</v>
      </c>
      <c r="H80" s="1003">
        <f t="shared" si="18"/>
        <v>2.3E-3</v>
      </c>
      <c r="I80" s="3070">
        <v>0.05</v>
      </c>
      <c r="J80" s="1001">
        <f t="shared" si="19"/>
        <v>4.5999999999999999E-3</v>
      </c>
      <c r="K80" s="1001">
        <f t="shared" si="20"/>
        <v>2.3E-3</v>
      </c>
      <c r="L80" s="1001">
        <v>0</v>
      </c>
      <c r="M80" s="1001">
        <f t="shared" si="21"/>
        <v>-2.3E-3</v>
      </c>
      <c r="N80" s="1001">
        <f t="shared" si="21"/>
        <v>-4.5999999999999999E-3</v>
      </c>
      <c r="Z80" s="1845"/>
      <c r="AA80" s="1895"/>
      <c r="AG80" s="1058"/>
      <c r="AK80" s="1895"/>
    </row>
    <row r="81" spans="1:37" ht="15" hidden="1">
      <c r="A81" s="1967" t="s">
        <v>2069</v>
      </c>
      <c r="B81" s="1968">
        <f>1+E83</f>
        <v>1</v>
      </c>
      <c r="C81" s="699"/>
      <c r="D81" s="699"/>
      <c r="E81" s="700"/>
      <c r="F81" s="1969"/>
      <c r="G81" s="3"/>
      <c r="H81" s="3"/>
      <c r="I81" s="3"/>
      <c r="J81" s="4"/>
      <c r="K81" s="4"/>
      <c r="L81" s="4"/>
      <c r="M81" s="4"/>
      <c r="N81" s="4"/>
      <c r="Z81" s="1845"/>
      <c r="AA81" s="1895"/>
      <c r="AG81" s="1058"/>
      <c r="AK81" s="1895"/>
    </row>
    <row r="82" spans="1:37" ht="24.75" hidden="1">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hidden="1">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hidden="1">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hidden="1">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hidden="1">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hidden="1">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hidden="1">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hidden="1">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hidden="1"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hidden="1">
      <c r="A91" s="3079" t="s">
        <v>2612</v>
      </c>
      <c r="B91" s="3080">
        <f>1+E93</f>
        <v>1</v>
      </c>
      <c r="C91" s="3073"/>
      <c r="D91" s="3074"/>
      <c r="E91" s="1675"/>
      <c r="F91" s="1675"/>
      <c r="G91" s="3075"/>
      <c r="H91" s="3076"/>
      <c r="I91" s="3077"/>
      <c r="J91" s="3078"/>
      <c r="K91" s="3078"/>
      <c r="L91" s="3078"/>
      <c r="M91" s="3078"/>
      <c r="N91" s="3078"/>
    </row>
    <row r="92" spans="1:37" ht="24.75" hidden="1">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hidden="1">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hidden="1">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hidden="1">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hidden="1">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hidden="1">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hidden="1">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hidden="1">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hidden="1">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hidden="1"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00" t="s">
        <v>3292</v>
      </c>
      <c r="B103" s="3400"/>
      <c r="C103" s="3400"/>
      <c r="D103" s="3400"/>
      <c r="E103" s="3400"/>
      <c r="F103" s="3400"/>
      <c r="G103" s="3400"/>
      <c r="H103" s="3400"/>
      <c r="I103" s="3400"/>
      <c r="J103" s="3400"/>
      <c r="K103" s="1667"/>
      <c r="L103" s="1667"/>
      <c r="M103" s="1667"/>
      <c r="N103" s="1667"/>
    </row>
    <row r="104" spans="1:14">
      <c r="A104" s="3401" t="s">
        <v>3293</v>
      </c>
      <c r="B104" s="3401" t="s">
        <v>3294</v>
      </c>
      <c r="C104" s="3091" t="s">
        <v>3295</v>
      </c>
      <c r="D104" s="3092"/>
      <c r="E104" s="3092"/>
      <c r="F104" s="3092"/>
      <c r="G104" s="3092"/>
      <c r="H104" s="3092"/>
      <c r="I104" s="3092"/>
      <c r="J104" s="3093"/>
      <c r="K104" s="3094"/>
      <c r="L104" s="3094"/>
      <c r="M104" s="3094"/>
      <c r="N104" s="3094"/>
    </row>
    <row r="105" spans="1:14">
      <c r="A105" s="3401"/>
      <c r="B105" s="3401"/>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387"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8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8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8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8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88"/>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89"/>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390" t="s">
        <v>3309</v>
      </c>
      <c r="B113" s="3390"/>
      <c r="C113" s="3390"/>
      <c r="D113" s="3390"/>
      <c r="E113" s="3390"/>
      <c r="F113" s="3390"/>
      <c r="G113" s="3390"/>
      <c r="H113" s="3390"/>
      <c r="I113" s="3390"/>
      <c r="J113" s="339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1.5</v>
      </c>
      <c r="C116" s="3100" t="s">
        <v>3311</v>
      </c>
      <c r="D116" s="3101">
        <f>SUMPRODUCT((A118:A122=F116)*(B117:M117=H116)*B118:M122)</f>
        <v>0.9153</v>
      </c>
      <c r="E116" s="162" t="s">
        <v>3312</v>
      </c>
      <c r="F116" s="3102" t="str">
        <f>E2</f>
        <v>住宅</v>
      </c>
      <c r="G116" s="162" t="s">
        <v>3313</v>
      </c>
      <c r="H116" s="3102" t="str">
        <f>G2</f>
        <v>三级</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0.98029999999999995</v>
      </c>
      <c r="C118" s="3090">
        <f>B118</f>
        <v>0.98029999999999995</v>
      </c>
      <c r="D118" s="3090">
        <f>ROUND(0.949-0.014*B116,4)</f>
        <v>0.92800000000000005</v>
      </c>
      <c r="E118" s="3090">
        <f>D118</f>
        <v>0.92800000000000005</v>
      </c>
      <c r="F118" s="3090">
        <f>E118</f>
        <v>0.92800000000000005</v>
      </c>
      <c r="G118" s="3090">
        <f>F118</f>
        <v>0.92800000000000005</v>
      </c>
      <c r="H118" s="3090">
        <f>G118</f>
        <v>0.92800000000000005</v>
      </c>
      <c r="I118" s="3090">
        <f>ROUND(0.8486-0.018*B116,4)</f>
        <v>0.8216</v>
      </c>
      <c r="J118" s="3090">
        <f t="shared" ref="J118:M122" si="35">I118</f>
        <v>0.8216</v>
      </c>
      <c r="K118" s="3090">
        <f t="shared" si="35"/>
        <v>0.8216</v>
      </c>
      <c r="L118" s="3090">
        <f t="shared" si="35"/>
        <v>0.8216</v>
      </c>
      <c r="M118" s="3110">
        <f t="shared" si="35"/>
        <v>0.8216</v>
      </c>
      <c r="N118" s="3098"/>
    </row>
    <row r="119" spans="1:14">
      <c r="A119" s="3058" t="s">
        <v>3327</v>
      </c>
      <c r="B119" s="3090">
        <f>ROUND(0.993-0.0112*B116,4)</f>
        <v>0.97619999999999996</v>
      </c>
      <c r="C119" s="3090">
        <f>B119</f>
        <v>0.97619999999999996</v>
      </c>
      <c r="D119" s="3090">
        <f>ROUND(0.9415-0.0142*B116,4)</f>
        <v>0.92020000000000002</v>
      </c>
      <c r="E119" s="3090">
        <f t="shared" ref="E119:H120" si="36">D119</f>
        <v>0.92020000000000002</v>
      </c>
      <c r="F119" s="3090">
        <f t="shared" si="36"/>
        <v>0.92020000000000002</v>
      </c>
      <c r="G119" s="3090">
        <f t="shared" si="36"/>
        <v>0.92020000000000002</v>
      </c>
      <c r="H119" s="3090">
        <f t="shared" si="36"/>
        <v>0.92020000000000002</v>
      </c>
      <c r="I119" s="3090">
        <f>ROUND(0.838-0.0182*B116,4)</f>
        <v>0.81069999999999998</v>
      </c>
      <c r="J119" s="3090">
        <f t="shared" si="35"/>
        <v>0.81069999999999998</v>
      </c>
      <c r="K119" s="3090">
        <f t="shared" si="35"/>
        <v>0.81069999999999998</v>
      </c>
      <c r="L119" s="3090">
        <f t="shared" si="35"/>
        <v>0.81069999999999998</v>
      </c>
      <c r="M119" s="3110">
        <f t="shared" si="35"/>
        <v>0.81069999999999998</v>
      </c>
      <c r="N119" s="3098"/>
    </row>
    <row r="120" spans="1:14">
      <c r="A120" s="3058" t="s">
        <v>3328</v>
      </c>
      <c r="B120" s="3090">
        <f>ROUND(0.9448-0.0115*B116,4)</f>
        <v>0.92759999999999998</v>
      </c>
      <c r="C120" s="3090">
        <f>B120</f>
        <v>0.92759999999999998</v>
      </c>
      <c r="D120" s="3090">
        <f>ROUND(0.937-0.0145*B116,4)</f>
        <v>0.9153</v>
      </c>
      <c r="E120" s="3090">
        <f t="shared" si="36"/>
        <v>0.9153</v>
      </c>
      <c r="F120" s="3090">
        <f t="shared" si="36"/>
        <v>0.9153</v>
      </c>
      <c r="G120" s="3090">
        <f t="shared" si="36"/>
        <v>0.9153</v>
      </c>
      <c r="H120" s="3090">
        <f t="shared" si="36"/>
        <v>0.9153</v>
      </c>
      <c r="I120" s="3090">
        <f>ROUND(0.7965-0.0185*B116,4)</f>
        <v>0.76880000000000004</v>
      </c>
      <c r="J120" s="3090">
        <f t="shared" si="35"/>
        <v>0.76880000000000004</v>
      </c>
      <c r="K120" s="3090">
        <f t="shared" si="35"/>
        <v>0.76880000000000004</v>
      </c>
      <c r="L120" s="3090">
        <f t="shared" si="35"/>
        <v>0.76880000000000004</v>
      </c>
      <c r="M120" s="3110">
        <f t="shared" si="35"/>
        <v>0.76880000000000004</v>
      </c>
      <c r="N120" s="3098"/>
    </row>
    <row r="121" spans="1:14" ht="13.5" thickBot="1">
      <c r="A121" s="3111" t="s">
        <v>3329</v>
      </c>
      <c r="B121" s="3112">
        <f>ROUND(0.7836-0.012*B116,4)</f>
        <v>0.76559999999999995</v>
      </c>
      <c r="C121" s="3112">
        <f>B121</f>
        <v>0.76559999999999995</v>
      </c>
      <c r="D121" s="3112">
        <f>ROUND(0.753-0.015*B116,4)</f>
        <v>0.73050000000000004</v>
      </c>
      <c r="E121" s="3112">
        <f>D121</f>
        <v>0.73050000000000004</v>
      </c>
      <c r="F121" s="3112">
        <f>E121</f>
        <v>0.73050000000000004</v>
      </c>
      <c r="G121" s="3112">
        <f>ROUND(0.6612-0.018*B116,4)</f>
        <v>0.63419999999999999</v>
      </c>
      <c r="H121" s="3112">
        <f>G121</f>
        <v>0.63419999999999999</v>
      </c>
      <c r="I121" s="3112">
        <f>ROUND(0.5905-0.019*B116,4)</f>
        <v>0.56200000000000006</v>
      </c>
      <c r="J121" s="3112">
        <f t="shared" si="35"/>
        <v>0.56200000000000006</v>
      </c>
      <c r="K121" s="3112">
        <f t="shared" si="35"/>
        <v>0.56200000000000006</v>
      </c>
      <c r="L121" s="3112">
        <f t="shared" si="35"/>
        <v>0.56200000000000006</v>
      </c>
      <c r="M121" s="3113">
        <f t="shared" si="35"/>
        <v>0.56200000000000006</v>
      </c>
      <c r="N121" s="3098"/>
    </row>
    <row r="122" spans="1:14">
      <c r="A122" s="3114" t="s">
        <v>2612</v>
      </c>
      <c r="B122" s="3090">
        <f>ROUND(0.9404-0.0106*B116,4)</f>
        <v>0.92449999999999999</v>
      </c>
      <c r="C122" s="3090">
        <f>B122</f>
        <v>0.92449999999999999</v>
      </c>
      <c r="D122" s="3090">
        <f>ROUND(0.8955-0.0135*B116,4)</f>
        <v>0.87529999999999997</v>
      </c>
      <c r="E122" s="3090">
        <f t="shared" ref="E122:H122" si="37">D122</f>
        <v>0.87529999999999997</v>
      </c>
      <c r="F122" s="3090">
        <f t="shared" si="37"/>
        <v>0.87529999999999997</v>
      </c>
      <c r="G122" s="3090">
        <f t="shared" si="37"/>
        <v>0.87529999999999997</v>
      </c>
      <c r="H122" s="3090">
        <f t="shared" si="37"/>
        <v>0.87529999999999997</v>
      </c>
      <c r="I122" s="3090">
        <f>ROUND(0.7632-0.0166*B116,4)</f>
        <v>0.73829999999999996</v>
      </c>
      <c r="J122" s="3090">
        <f t="shared" si="35"/>
        <v>0.73829999999999996</v>
      </c>
      <c r="K122" s="3090">
        <f t="shared" si="35"/>
        <v>0.73829999999999996</v>
      </c>
      <c r="L122" s="3090">
        <f t="shared" si="35"/>
        <v>0.73829999999999996</v>
      </c>
      <c r="M122" s="3110">
        <f t="shared" si="35"/>
        <v>0.73829999999999996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1">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F3" xr:uid="{00000000-0002-0000-1600-000004000000}">
      <formula1>"宗地容积率,估价对象容积率,自定义容积率"</formula1>
    </dataValidation>
    <dataValidation type="list" allowBlank="1" showInputMessage="1" showErrorMessage="1" sqref="C8" xr:uid="{00000000-0002-0000-1600-000005000000}">
      <formula1>商业街名称</formula1>
    </dataValidation>
    <dataValidation type="list" allowBlank="1" showInputMessage="1" showErrorMessage="1" sqref="E3" xr:uid="{00000000-0002-0000-1600-000006000000}">
      <formula1>INDIRECT(E2)</formula1>
    </dataValidation>
    <dataValidation type="list" allowBlank="1" showInputMessage="1" showErrorMessage="1" sqref="C61:C69 C72:C80 C50:C58 C83:C91 C93:C101" xr:uid="{00000000-0002-0000-1600-000007000000}">
      <formula1>五等判定</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H20:O20" xr:uid="{00000000-0002-0000-1600-000009000000}">
      <formula1>七通一平</formula1>
    </dataValidation>
    <dataValidation type="list" allowBlank="1" showInputMessage="1" showErrorMessage="1" sqref="J23" xr:uid="{00000000-0002-0000-16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tabSelected="1" view="pageBreakPreview" zoomScale="80" zoomScaleNormal="70" zoomScaleSheetLayoutView="80" workbookViewId="0">
      <selection activeCell="F6" sqref="F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3402</v>
      </c>
      <c r="D1" s="1271" t="s">
        <v>43</v>
      </c>
      <c r="E1" s="1272" t="s">
        <v>678</v>
      </c>
      <c r="F1" s="999">
        <f ca="1">J53</f>
        <v>56.54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100.352</v>
      </c>
      <c r="C2" s="1289" t="s">
        <v>879</v>
      </c>
      <c r="D2" s="1375">
        <f ca="1">C40+J29+L46</f>
        <v>1003520</v>
      </c>
      <c r="E2" s="1295" t="s">
        <v>880</v>
      </c>
      <c r="F2" s="1296"/>
      <c r="G2" s="2479"/>
      <c r="H2" s="2469"/>
      <c r="I2" s="2469"/>
      <c r="J2" s="2469"/>
      <c r="K2" s="2470"/>
      <c r="L2" s="2469"/>
      <c r="M2" s="2469"/>
    </row>
    <row r="3" spans="1:37" ht="18" customHeight="1" thickBot="1">
      <c r="A3" s="1297" t="s">
        <v>881</v>
      </c>
      <c r="B3" s="1298">
        <f ca="1">IF(ISERROR(D2/F43),0,ROUND(D2/F43,0))</f>
        <v>18663</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24997</v>
      </c>
      <c r="D5" s="1273" t="s">
        <v>889</v>
      </c>
      <c r="E5" s="1008"/>
      <c r="F5" s="1009"/>
      <c r="G5" s="1292"/>
      <c r="H5" s="291">
        <v>1</v>
      </c>
      <c r="I5" s="292" t="s">
        <v>888</v>
      </c>
      <c r="J5" s="1007">
        <f ca="1">J6+J10+J12</f>
        <v>0</v>
      </c>
      <c r="K5" s="1273" t="s">
        <v>889</v>
      </c>
      <c r="L5" s="1008"/>
      <c r="M5" s="1009"/>
    </row>
    <row r="6" spans="1:37" ht="18" customHeight="1">
      <c r="A6" s="1006" t="s">
        <v>398</v>
      </c>
      <c r="B6" s="3384" t="s">
        <v>694</v>
      </c>
      <c r="C6" s="1011">
        <f ca="1">ROUND(F6*F8*F7*(1-F9),0)</f>
        <v>24966</v>
      </c>
      <c r="D6" s="147" t="s">
        <v>2106</v>
      </c>
      <c r="E6" s="294" t="s">
        <v>696</v>
      </c>
      <c r="F6" s="295">
        <f ca="1">INDIRECT("'数据-取费表'!u"&amp;$G$1)</f>
        <v>72</v>
      </c>
      <c r="G6" s="1292"/>
      <c r="H6" s="1006" t="s">
        <v>398</v>
      </c>
      <c r="I6" s="3384" t="s">
        <v>694</v>
      </c>
      <c r="J6" s="293">
        <f ca="1">ROUND(M6*M8*M7*(1-M9),0)</f>
        <v>0</v>
      </c>
      <c r="K6" s="1284" t="s">
        <v>2107</v>
      </c>
      <c r="L6" s="294" t="s">
        <v>696</v>
      </c>
      <c r="M6" s="295">
        <f ca="1">INDIRECT("'数据-取费表'!z"&amp;$G$1)</f>
        <v>0</v>
      </c>
    </row>
    <row r="7" spans="1:37" ht="18" customHeight="1">
      <c r="A7" s="1010"/>
      <c r="B7" s="3385"/>
      <c r="C7" s="1012"/>
      <c r="D7" s="299"/>
      <c r="E7" s="1013" t="s">
        <v>697</v>
      </c>
      <c r="F7" s="295">
        <f ca="1">IF(INDIRECT("'数据-取费表'!ah"&amp;$G$1)="",INDIRECT("'数据-取费表'!k"&amp;$G$1),INDIRECT("'数据-取费表'!ah"&amp;$G$1))</f>
        <v>1</v>
      </c>
      <c r="G7" s="1292"/>
      <c r="H7" s="296"/>
      <c r="I7" s="3385"/>
      <c r="J7" s="298"/>
      <c r="K7" s="299"/>
      <c r="L7" s="294" t="s">
        <v>697</v>
      </c>
      <c r="M7" s="295">
        <f ca="1">F7</f>
        <v>1</v>
      </c>
    </row>
    <row r="8" spans="1:37" ht="18" customHeight="1">
      <c r="A8" s="296"/>
      <c r="B8" s="3385"/>
      <c r="C8" s="298"/>
      <c r="D8" s="299"/>
      <c r="E8" s="294" t="s">
        <v>698</v>
      </c>
      <c r="F8" s="295">
        <f ca="1">INDIRECT("'数据-取费表'!ai"&amp;$G$1)</f>
        <v>365</v>
      </c>
      <c r="G8" s="1292"/>
      <c r="H8" s="296"/>
      <c r="I8" s="3385"/>
      <c r="J8" s="298"/>
      <c r="K8" s="299"/>
      <c r="L8" s="294" t="s">
        <v>698</v>
      </c>
      <c r="M8" s="295">
        <f ca="1">INDIRECT("'数据-取费表'!ai"&amp;$G$1)</f>
        <v>365</v>
      </c>
    </row>
    <row r="9" spans="1:37" ht="18" customHeight="1">
      <c r="A9" s="296"/>
      <c r="B9" s="3386"/>
      <c r="C9" s="298"/>
      <c r="D9" s="299"/>
      <c r="E9" s="294" t="s">
        <v>699</v>
      </c>
      <c r="F9" s="304">
        <f ca="1">INDIRECT("'数据-取费表'!w"&amp;$G$1)</f>
        <v>0.05</v>
      </c>
      <c r="G9" s="1292"/>
      <c r="H9" s="296"/>
      <c r="I9" s="3386"/>
      <c r="J9" s="298"/>
      <c r="K9" s="299"/>
      <c r="L9" s="305" t="s">
        <v>699</v>
      </c>
      <c r="M9" s="306">
        <f ca="1">INDIRECT("'数据-取费表'!ab"&amp;$G$1)</f>
        <v>0</v>
      </c>
    </row>
    <row r="10" spans="1:37" ht="18" customHeight="1">
      <c r="A10" s="1006" t="s">
        <v>402</v>
      </c>
      <c r="B10" s="1274" t="s">
        <v>700</v>
      </c>
      <c r="C10" s="308">
        <f ca="1">ROUND(IF(F10="押一",C6/12*F11,IF(F10="押二",C6/12*2*F11,IF(F10="押三",C6/12*3*F11,C11*F11))),0)</f>
        <v>31</v>
      </c>
      <c r="D10" s="150" t="s">
        <v>2116</v>
      </c>
      <c r="E10" s="305" t="s">
        <v>701</v>
      </c>
      <c r="F10" s="1053" t="s">
        <v>3434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118644</v>
      </c>
      <c r="D13" s="1018" t="s">
        <v>705</v>
      </c>
      <c r="E13" s="1018" t="s">
        <v>706</v>
      </c>
      <c r="F13" s="3538">
        <f ca="1">INDIRECT("'数据-取费表'!y"&amp;$G$1)</f>
        <v>0.65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118294</v>
      </c>
      <c r="D14" s="1257" t="s">
        <v>708</v>
      </c>
      <c r="E14" s="1255"/>
      <c r="F14" s="311"/>
      <c r="G14" s="1292"/>
      <c r="H14" s="928" t="s">
        <v>398</v>
      </c>
      <c r="I14" s="294" t="s">
        <v>709</v>
      </c>
      <c r="J14" s="21">
        <f ca="1">C29</f>
        <v>182529</v>
      </c>
      <c r="K14" s="12"/>
      <c r="L14" s="759"/>
      <c r="M14" s="760"/>
    </row>
    <row r="15" spans="1:37" s="1304" customFormat="1" ht="18" customHeight="1" thickBot="1">
      <c r="A15" s="928" t="s">
        <v>399</v>
      </c>
      <c r="B15" s="294" t="s">
        <v>710</v>
      </c>
      <c r="C15" s="21">
        <f ca="1">ROUND(C14*F15,0)</f>
        <v>5915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5915</v>
      </c>
      <c r="D16" s="294" t="s">
        <v>711</v>
      </c>
      <c r="E16" s="294" t="s">
        <v>712</v>
      </c>
      <c r="F16" s="314">
        <f ca="1">IF(INDIRECT("'数据-取费表'!c"&amp;$G$1)="住宅",'数据-取费表'!B34,0)</f>
        <v>0.05</v>
      </c>
      <c r="G16" s="1292"/>
      <c r="H16" s="1016" t="s">
        <v>393</v>
      </c>
      <c r="I16" s="1017" t="s">
        <v>714</v>
      </c>
      <c r="J16" s="302">
        <f ca="1">ROUND(J17+J22+J23+J24,0)</f>
        <v>365</v>
      </c>
      <c r="K16" s="1024" t="s">
        <v>715</v>
      </c>
      <c r="L16" s="1025"/>
      <c r="M16" s="1009"/>
    </row>
    <row r="17" spans="1:37" s="1304" customFormat="1" ht="18" customHeight="1">
      <c r="A17" s="928" t="s">
        <v>681</v>
      </c>
      <c r="B17" s="294" t="s">
        <v>716</v>
      </c>
      <c r="C17" s="21">
        <f ca="1">ROUND(F17*(F43+INDIRECT("'数据-取费表'!S"&amp;$G$1)),0)</f>
        <v>10754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2366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143244</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1432</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365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2170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-365</v>
      </c>
      <c r="K25" s="1032" t="s">
        <v>753</v>
      </c>
      <c r="L25" s="1033"/>
      <c r="M25" s="1034"/>
    </row>
    <row r="26" spans="1:37" ht="18" customHeight="1">
      <c r="A26" s="928" t="s">
        <v>397</v>
      </c>
      <c r="B26" s="294" t="s">
        <v>754</v>
      </c>
      <c r="C26" s="21">
        <f ca="1">ROUND((C19+C20)*F26,0)</f>
        <v>21701</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0.03</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182529</v>
      </c>
      <c r="D29" s="1029"/>
      <c r="E29" s="1027"/>
      <c r="F29" s="1030"/>
      <c r="G29" s="1303"/>
      <c r="H29" s="325" t="s">
        <v>396</v>
      </c>
      <c r="I29" s="326" t="s">
        <v>768</v>
      </c>
      <c r="J29" s="327">
        <f ca="1">ROUND(J26/(1+F40)^F41,0)</f>
        <v>0</v>
      </c>
      <c r="K29" s="328" t="s">
        <v>769</v>
      </c>
      <c r="L29" s="329"/>
      <c r="M29" s="330">
        <f ca="1">INDIRECT("'数据-取费表'!k"&amp;$G$1)</f>
        <v>53.77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1328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594</v>
      </c>
      <c r="D31" s="1257" t="s">
        <v>720</v>
      </c>
      <c r="E31" s="1256" t="s">
        <v>770</v>
      </c>
      <c r="F31" s="2139">
        <f ca="1">IF(项目基本情况!B11="企业","——",IF(M47="住宅",IF(F6*F7*F8/12/(1+'数据-取费表'!F30)&gt;100000,4%,2.5%),IF(F6*F7*F8/12/(1+'数据-取费表'!F30)&gt;100000,12%,7%)))</f>
        <v>2.5000000000000001E-2</v>
      </c>
      <c r="G31" s="1292"/>
      <c r="H31" s="2570" t="s">
        <v>2306</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365</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119</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250</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23669</v>
      </c>
      <c r="D39" s="1032" t="s">
        <v>773</v>
      </c>
      <c r="E39" s="1033"/>
      <c r="F39" s="1034"/>
      <c r="G39" s="1292"/>
      <c r="H39" s="2474"/>
      <c r="I39" s="1305"/>
      <c r="J39" s="1306"/>
      <c r="K39" s="2472"/>
      <c r="L39" s="2474"/>
      <c r="M39" s="2474"/>
    </row>
    <row r="40" spans="1:18" ht="18" customHeight="1">
      <c r="A40" s="291" t="s">
        <v>395</v>
      </c>
      <c r="B40" s="292" t="s">
        <v>774</v>
      </c>
      <c r="C40" s="293">
        <f ca="1">ROUND(C39*(1-((1+F42)/(1+F40))^F41)/(F40-F42),0)</f>
        <v>1003520</v>
      </c>
      <c r="D40" s="316" t="s">
        <v>758</v>
      </c>
      <c r="E40" s="294" t="s">
        <v>759</v>
      </c>
      <c r="F40" s="304">
        <f ca="1">INDIRECT("'数据-取费表'!I"&amp;$G$1)</f>
        <v>0.03</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56.54</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18663</v>
      </c>
      <c r="D43" s="328" t="s">
        <v>777</v>
      </c>
      <c r="E43" s="329" t="s">
        <v>778</v>
      </c>
      <c r="F43" s="330">
        <f ca="1">INDIRECT("'数据-取费表'!k"&amp;$G$1)</f>
        <v>53.77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-101.66200000000001</v>
      </c>
      <c r="D45" s="3131" t="s">
        <v>3351</v>
      </c>
      <c r="E45" s="1307"/>
      <c r="F45" s="1307"/>
      <c r="O45" s="1310" t="s">
        <v>808</v>
      </c>
      <c r="P45" s="1366"/>
      <c r="Q45" s="1366"/>
      <c r="R45" s="1366"/>
    </row>
    <row r="46" spans="1:18" s="1292" customFormat="1" ht="13.5" thickBot="1">
      <c r="A46" s="1311" t="s">
        <v>809</v>
      </c>
      <c r="C46" s="1312">
        <f ca="1">ROUND(C45,0)</f>
        <v>-102</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3438</v>
      </c>
      <c r="K47" s="1323" t="s">
        <v>816</v>
      </c>
      <c r="L47" s="1324">
        <f ca="1">INDIRECT("'数据-取费表'!d"&amp;$G$1)</f>
        <v>70</v>
      </c>
      <c r="M47" s="1288" t="str">
        <f>IF(ISNUMBER(FIND("住宅",C1)),"住宅","非住宅")</f>
        <v>住宅</v>
      </c>
      <c r="O47" s="1325" t="s">
        <v>403</v>
      </c>
      <c r="P47" s="1326" t="s">
        <v>817</v>
      </c>
      <c r="Q47" s="1327">
        <f ca="1">C40+J29</f>
        <v>1003520</v>
      </c>
      <c r="R47" s="1327" t="s">
        <v>818</v>
      </c>
    </row>
    <row r="48" spans="1:18" s="1292" customFormat="1" ht="28.5" thickBot="1">
      <c r="A48" s="1047" t="s">
        <v>438</v>
      </c>
      <c r="B48" s="292" t="s">
        <v>692</v>
      </c>
      <c r="C48" s="1268">
        <f ca="1">C49+C53+C55</f>
        <v>0</v>
      </c>
      <c r="D48" s="1049"/>
      <c r="E48" s="1050"/>
      <c r="F48" s="908"/>
      <c r="G48" s="681"/>
      <c r="H48" s="682"/>
      <c r="I48" s="1328" t="s">
        <v>819</v>
      </c>
      <c r="J48" s="1329" t="s">
        <v>3439</v>
      </c>
      <c r="K48" s="1330" t="s">
        <v>820</v>
      </c>
      <c r="L48" s="1331">
        <f ca="1">INDIRECT("'数据-取费表'!f"&amp;$G$1)</f>
        <v>56.54</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1987</v>
      </c>
      <c r="K49" s="1330" t="s">
        <v>824</v>
      </c>
      <c r="L49" s="1333"/>
      <c r="O49" s="1334" t="s">
        <v>405</v>
      </c>
      <c r="P49" s="1326" t="s">
        <v>825</v>
      </c>
      <c r="Q49" s="1327">
        <f ca="1">C29</f>
        <v>182529</v>
      </c>
      <c r="R49" s="1327" t="s">
        <v>818</v>
      </c>
    </row>
    <row r="50" spans="1:18" s="1292" customFormat="1" ht="13.5" thickBot="1">
      <c r="A50" s="922"/>
      <c r="B50" s="925"/>
      <c r="C50" s="926"/>
      <c r="D50" s="899"/>
      <c r="E50" s="993" t="s">
        <v>697</v>
      </c>
      <c r="F50" s="994">
        <f ca="1">F7</f>
        <v>1</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12</v>
      </c>
      <c r="K51" s="1339" t="s">
        <v>830</v>
      </c>
      <c r="L51" s="1340">
        <f ca="1">ROUND(-PV(INDIRECT("'数据-取费表'!h"&amp;$G$1),J51,(C39-C13*C76),0),0)</f>
        <v>164742</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56.54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56.54</v>
      </c>
      <c r="K53" s="3382" t="s">
        <v>837</v>
      </c>
      <c r="L53" s="3383"/>
      <c r="O53" s="1325" t="s">
        <v>409</v>
      </c>
      <c r="P53" s="1326" t="s">
        <v>838</v>
      </c>
      <c r="Q53" s="1327">
        <f ca="1">Q47+Q48</f>
        <v>1003520</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118644</v>
      </c>
      <c r="D56" s="1352"/>
      <c r="E56" s="1353"/>
      <c r="F56" s="1345"/>
      <c r="I56" s="1354" t="s">
        <v>842</v>
      </c>
      <c r="J56" s="1355" t="s">
        <v>3440</v>
      </c>
      <c r="K56" s="1328" t="s">
        <v>843</v>
      </c>
      <c r="L56" s="1331">
        <f ca="1">IF(L48&lt;J51,"——",L48-J51)</f>
        <v>44.54</v>
      </c>
      <c r="O56" s="1325" t="s">
        <v>403</v>
      </c>
      <c r="P56" s="1326" t="s">
        <v>817</v>
      </c>
      <c r="Q56" s="1327">
        <f ca="1">C40+J29</f>
        <v>1003520</v>
      </c>
      <c r="R56" s="1327" t="s">
        <v>818</v>
      </c>
    </row>
    <row r="57" spans="1:18" s="1292" customFormat="1" ht="24.75" thickBot="1">
      <c r="A57" s="1356"/>
      <c r="B57" s="896" t="s">
        <v>767</v>
      </c>
      <c r="C57" s="230">
        <f ca="1">C29</f>
        <v>182529</v>
      </c>
      <c r="D57" s="1357"/>
      <c r="E57" s="1358"/>
      <c r="F57" s="1359"/>
      <c r="I57" s="1360" t="s">
        <v>844</v>
      </c>
      <c r="J57" s="1361" t="str">
        <f ca="1">IF(OR(M47="住宅",J51&lt;L48,J56="是"),"——",J51-L48)</f>
        <v>——</v>
      </c>
      <c r="K57" s="1328" t="s">
        <v>892</v>
      </c>
      <c r="L57" s="1331">
        <f ca="1">IF(L48&lt;J51,"——",IF(L55="比较法",L49,IF(L55="基准地价",L50,L51)))</f>
        <v>164742</v>
      </c>
      <c r="O57" s="1325" t="s">
        <v>404</v>
      </c>
      <c r="P57" s="1326" t="s">
        <v>893</v>
      </c>
      <c r="Q57" s="1327">
        <f ca="1">L60</f>
        <v>0</v>
      </c>
      <c r="R57" s="1327" t="s">
        <v>894</v>
      </c>
    </row>
    <row r="58" spans="1:18" s="1292" customFormat="1" ht="24.75" thickBot="1">
      <c r="A58" s="307" t="s">
        <v>393</v>
      </c>
      <c r="B58" s="904" t="s">
        <v>714</v>
      </c>
      <c r="C58" s="308">
        <f ca="1">ROUND(C59+C64+C65+C66,0)</f>
        <v>484</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1003520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365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119</v>
      </c>
      <c r="D65" s="910" t="s">
        <v>743</v>
      </c>
      <c r="E65" s="896" t="s">
        <v>744</v>
      </c>
      <c r="F65" s="321">
        <f t="shared" ca="1" si="0"/>
        <v>1E-3</v>
      </c>
      <c r="I65" s="1367" t="s">
        <v>867</v>
      </c>
      <c r="J65" s="610">
        <v>40</v>
      </c>
      <c r="K65" s="610">
        <v>30</v>
      </c>
      <c r="L65" s="610">
        <v>50</v>
      </c>
      <c r="M65" s="1369">
        <v>0.02</v>
      </c>
      <c r="O65" s="1325" t="s">
        <v>403</v>
      </c>
      <c r="P65" s="1326" t="s">
        <v>868</v>
      </c>
      <c r="Q65" s="1327">
        <f ca="1">C40+J29</f>
        <v>1003520</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-484</v>
      </c>
      <c r="D67" s="909" t="s">
        <v>753</v>
      </c>
      <c r="E67" s="914"/>
      <c r="F67" s="915"/>
      <c r="O67" s="1334" t="s">
        <v>405</v>
      </c>
      <c r="P67" s="1326" t="s">
        <v>850</v>
      </c>
      <c r="Q67" s="1370">
        <f ca="1">L51</f>
        <v>164742</v>
      </c>
      <c r="R67" s="1327" t="s">
        <v>870</v>
      </c>
    </row>
    <row r="68" spans="1:18" s="1292" customFormat="1" ht="16.5" thickBot="1">
      <c r="A68" s="893" t="s">
        <v>395</v>
      </c>
      <c r="B68" s="894" t="s">
        <v>774</v>
      </c>
      <c r="C68" s="293">
        <f ca="1">ROUND(C67*(1-((1+F70)/(1+F68))^F69)/(F68-F70),0)</f>
        <v>-13100</v>
      </c>
      <c r="D68" s="911" t="s">
        <v>758</v>
      </c>
      <c r="E68" s="896" t="s">
        <v>759</v>
      </c>
      <c r="F68" s="304">
        <f ca="1">F40</f>
        <v>0.03</v>
      </c>
      <c r="O68" s="1334" t="s">
        <v>406</v>
      </c>
      <c r="P68" s="1371" t="s">
        <v>871</v>
      </c>
      <c r="Q68" s="1327">
        <f ca="1">ROUND(Q69-Q70*Q71,0)</f>
        <v>16550</v>
      </c>
      <c r="R68" s="1327" t="s">
        <v>414</v>
      </c>
    </row>
    <row r="69" spans="1:18" s="1292" customFormat="1" ht="13.5" thickBot="1">
      <c r="A69" s="897"/>
      <c r="B69" s="898"/>
      <c r="C69" s="298"/>
      <c r="D69" s="916" t="s">
        <v>762</v>
      </c>
      <c r="E69" s="896" t="s">
        <v>763</v>
      </c>
      <c r="F69" s="324">
        <f ca="1">F41</f>
        <v>56.54</v>
      </c>
      <c r="O69" s="1334" t="s">
        <v>411</v>
      </c>
      <c r="P69" s="1371" t="s">
        <v>872</v>
      </c>
      <c r="Q69" s="1327">
        <f ca="1">C39</f>
        <v>23669</v>
      </c>
      <c r="R69" s="1327" t="s">
        <v>818</v>
      </c>
    </row>
    <row r="70" spans="1:18" s="1292" customFormat="1" ht="13.5" thickBot="1">
      <c r="A70" s="900"/>
      <c r="B70" s="901"/>
      <c r="C70" s="302"/>
      <c r="D70" s="912"/>
      <c r="E70" s="896" t="s">
        <v>766</v>
      </c>
      <c r="F70" s="991"/>
      <c r="O70" s="1334" t="s">
        <v>412</v>
      </c>
      <c r="P70" s="1371" t="s">
        <v>873</v>
      </c>
      <c r="Q70" s="1327">
        <f ca="1">C13</f>
        <v>118644</v>
      </c>
      <c r="R70" s="1327" t="s">
        <v>818</v>
      </c>
    </row>
    <row r="71" spans="1:18" s="1292" customFormat="1" ht="13.5" thickBot="1">
      <c r="A71" s="917" t="s">
        <v>396</v>
      </c>
      <c r="B71" s="918" t="s">
        <v>776</v>
      </c>
      <c r="C71" s="327">
        <f ca="1">ROUND(C68/F71,0)</f>
        <v>-244</v>
      </c>
      <c r="D71" s="919" t="s">
        <v>777</v>
      </c>
      <c r="E71" s="920" t="s">
        <v>778</v>
      </c>
      <c r="F71" s="330">
        <f ca="1">F43</f>
        <v>53.77</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7119</v>
      </c>
      <c r="D75" s="1292"/>
      <c r="E75" s="1292"/>
      <c r="F75" s="1292"/>
      <c r="K75" s="1309"/>
      <c r="L75" s="1292"/>
      <c r="O75" s="1325" t="s">
        <v>409</v>
      </c>
      <c r="P75" s="1326" t="s">
        <v>838</v>
      </c>
      <c r="Q75" s="1327">
        <f ca="1">Q65+Q66</f>
        <v>1003520</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0.69900000000000007</v>
      </c>
    </row>
    <row r="80" spans="1:18">
      <c r="B80" s="331" t="s">
        <v>800</v>
      </c>
      <c r="C80" s="266">
        <f ca="1">ROUND(C75/C39,3)</f>
        <v>0.30099999999999999</v>
      </c>
    </row>
    <row r="81" spans="2:3">
      <c r="B81" s="262" t="s">
        <v>801</v>
      </c>
      <c r="C81" s="230"/>
    </row>
    <row r="82" spans="2:3">
      <c r="B82" s="265" t="s">
        <v>802</v>
      </c>
      <c r="C82" s="267">
        <f ca="1">1-C83</f>
        <v>0.88200000000000001</v>
      </c>
    </row>
    <row r="83" spans="2:3">
      <c r="B83" s="265" t="s">
        <v>803</v>
      </c>
      <c r="C83" s="266">
        <f ca="1">ROUND(C13/C40,3)</f>
        <v>0.11799999999999999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06" t="s">
        <v>2317</v>
      </c>
      <c r="K2" s="3407"/>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08" t="s">
        <v>2327</v>
      </c>
      <c r="K3" s="3409"/>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08" t="s">
        <v>2329</v>
      </c>
      <c r="K4" s="3409"/>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10" t="s">
        <v>2333</v>
      </c>
      <c r="B6" s="3411"/>
      <c r="C6" s="3412"/>
      <c r="D6" s="2622"/>
      <c r="E6" s="2623"/>
      <c r="F6" s="2624"/>
      <c r="G6" s="2625"/>
      <c r="H6" s="2600"/>
      <c r="I6" s="2601"/>
      <c r="J6" s="3413">
        <v>1</v>
      </c>
      <c r="K6" s="3414"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13"/>
      <c r="K7" s="3415"/>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17" t="s">
        <v>2347</v>
      </c>
      <c r="C8" s="3418"/>
      <c r="D8" s="2641" t="s">
        <v>2348</v>
      </c>
      <c r="E8" s="2642" t="s">
        <v>2349</v>
      </c>
      <c r="F8" s="2643" t="s">
        <v>2350</v>
      </c>
      <c r="G8" s="2644"/>
      <c r="H8" s="2600"/>
      <c r="I8" s="2601"/>
      <c r="J8" s="3413"/>
      <c r="K8" s="3415"/>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17" t="s">
        <v>2353</v>
      </c>
      <c r="C9" s="3418"/>
      <c r="D9" s="2641">
        <f>ROUND(D6*E9,0)</f>
        <v>0</v>
      </c>
      <c r="E9" s="2645"/>
      <c r="F9" s="2646" t="s">
        <v>2354</v>
      </c>
      <c r="G9" s="2625"/>
      <c r="H9" s="2600"/>
      <c r="I9" s="2601"/>
      <c r="J9" s="3413"/>
      <c r="K9" s="3415"/>
      <c r="L9" s="2635" t="s">
        <v>2355</v>
      </c>
      <c r="M9" s="2636"/>
      <c r="N9" s="2612"/>
      <c r="O9" s="2637"/>
      <c r="P9" s="2637"/>
      <c r="Q9" s="2638">
        <v>365</v>
      </c>
      <c r="R9" s="2639">
        <f t="shared" si="0"/>
        <v>0</v>
      </c>
      <c r="S9" s="2593"/>
      <c r="T9" s="2593"/>
      <c r="U9" s="2593"/>
      <c r="V9" s="2601"/>
    </row>
    <row r="10" spans="1:22" s="2605" customFormat="1" ht="13.15" customHeight="1">
      <c r="A10" s="2640">
        <v>2</v>
      </c>
      <c r="B10" s="3417" t="s">
        <v>2356</v>
      </c>
      <c r="C10" s="3418"/>
      <c r="D10" s="2641">
        <f>ROUND(D6*E10,0)</f>
        <v>0</v>
      </c>
      <c r="E10" s="2645"/>
      <c r="F10" s="2646" t="s">
        <v>2357</v>
      </c>
      <c r="G10" s="2625"/>
      <c r="H10" s="2600"/>
      <c r="I10" s="2601"/>
      <c r="J10" s="3413"/>
      <c r="K10" s="3415"/>
      <c r="L10" s="2635" t="s">
        <v>2358</v>
      </c>
      <c r="M10" s="2636"/>
      <c r="N10" s="2612"/>
      <c r="O10" s="2637"/>
      <c r="P10" s="2637"/>
      <c r="Q10" s="2638">
        <v>365</v>
      </c>
      <c r="R10" s="2639">
        <f t="shared" si="0"/>
        <v>0</v>
      </c>
      <c r="S10" s="2593"/>
      <c r="T10" s="2593"/>
      <c r="U10" s="2593"/>
      <c r="V10" s="2601"/>
    </row>
    <row r="11" spans="1:22" s="2605" customFormat="1" ht="13.15" customHeight="1">
      <c r="A11" s="2640">
        <v>3</v>
      </c>
      <c r="B11" s="3417" t="s">
        <v>2359</v>
      </c>
      <c r="C11" s="3418"/>
      <c r="D11" s="2641">
        <f>D12+D14+D15+D16</f>
        <v>0</v>
      </c>
      <c r="E11" s="2647" t="e">
        <f>D11/D6</f>
        <v>#DIV/0!</v>
      </c>
      <c r="F11" s="2643"/>
      <c r="G11" s="2644"/>
      <c r="H11" s="2600"/>
      <c r="I11" s="2601"/>
      <c r="J11" s="3413"/>
      <c r="K11" s="3415"/>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19" t="s">
        <v>2362</v>
      </c>
      <c r="C12" s="3420"/>
      <c r="D12" s="2649">
        <f>ROUND(D13*1.2%*(1-30%),0)</f>
        <v>0</v>
      </c>
      <c r="E12" s="2650">
        <v>1.2E-2</v>
      </c>
      <c r="F12" s="2643" t="s">
        <v>2363</v>
      </c>
      <c r="G12" s="2644"/>
      <c r="H12" s="2600"/>
      <c r="I12" s="2601"/>
      <c r="J12" s="3413"/>
      <c r="K12" s="3415"/>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13"/>
      <c r="K13" s="3415"/>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19" t="s">
        <v>2368</v>
      </c>
      <c r="C14" s="3420"/>
      <c r="D14" s="2649">
        <f>ROUND(E14*B5/10000,0)</f>
        <v>0</v>
      </c>
      <c r="E14" s="2638"/>
      <c r="F14" s="2643" t="s">
        <v>2369</v>
      </c>
      <c r="G14" s="2644"/>
      <c r="H14" s="2600"/>
      <c r="I14" s="2601"/>
      <c r="J14" s="3413"/>
      <c r="K14" s="3416"/>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19" t="s">
        <v>2372</v>
      </c>
      <c r="C15" s="3420"/>
      <c r="D15" s="2649">
        <f>ROUND(D6*E15,0)</f>
        <v>0</v>
      </c>
      <c r="E15" s="2650">
        <v>5.5E-2</v>
      </c>
      <c r="F15" s="2643" t="s">
        <v>2373</v>
      </c>
      <c r="G15" s="2625"/>
      <c r="H15" s="2600"/>
      <c r="I15" s="2601"/>
      <c r="J15" s="3413">
        <v>2</v>
      </c>
      <c r="K15" s="3414"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19" t="s">
        <v>2381</v>
      </c>
      <c r="C16" s="3420"/>
      <c r="D16" s="2660">
        <f>D6*E16</f>
        <v>0</v>
      </c>
      <c r="E16" s="2661"/>
      <c r="F16" s="2646" t="s">
        <v>2382</v>
      </c>
      <c r="G16" s="2625"/>
      <c r="H16" s="2600"/>
      <c r="I16" s="2601"/>
      <c r="J16" s="3413"/>
      <c r="K16" s="3415"/>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21" t="s">
        <v>2384</v>
      </c>
      <c r="C17" s="3422"/>
      <c r="D17" s="2663">
        <f>ROUND(D6*E17,0)</f>
        <v>0</v>
      </c>
      <c r="E17" s="2664"/>
      <c r="F17" s="2665" t="s">
        <v>2385</v>
      </c>
      <c r="G17" s="2625"/>
      <c r="H17" s="2600"/>
      <c r="I17" s="2601"/>
      <c r="J17" s="3413"/>
      <c r="K17" s="3415"/>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13"/>
      <c r="K18" s="3415"/>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13"/>
      <c r="K19" s="3416"/>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13">
        <v>3</v>
      </c>
      <c r="K20" s="3414"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13"/>
      <c r="K21" s="3415"/>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13"/>
      <c r="K22" s="3415"/>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13"/>
      <c r="K23" s="3415"/>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13"/>
      <c r="K24" s="3416"/>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23">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24"/>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06" t="s">
        <v>2317</v>
      </c>
      <c r="K32" s="3407"/>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08" t="s">
        <v>2327</v>
      </c>
      <c r="K33" s="3409"/>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08" t="s">
        <v>2329</v>
      </c>
      <c r="K34" s="340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13">
        <v>1</v>
      </c>
      <c r="K36" s="3414"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13"/>
      <c r="K37" s="3415"/>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13"/>
      <c r="K38" s="3415"/>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13"/>
      <c r="K39" s="3415"/>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13"/>
      <c r="K40" s="3416"/>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23">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24"/>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100.352</v>
      </c>
      <c r="C2" s="1729" t="s">
        <v>1651</v>
      </c>
      <c r="D2" s="1730" t="s">
        <v>1652</v>
      </c>
      <c r="E2" s="2393">
        <f>SUM(E6:E13)</f>
        <v>53.77</v>
      </c>
      <c r="F2" s="2480"/>
      <c r="G2" s="459"/>
      <c r="H2" s="459"/>
      <c r="I2" s="459"/>
      <c r="J2" s="459"/>
      <c r="K2" s="459"/>
      <c r="L2" s="459"/>
      <c r="M2" s="459"/>
      <c r="N2" s="459"/>
      <c r="O2" s="459"/>
      <c r="P2" s="459"/>
      <c r="Q2" s="459"/>
      <c r="R2" s="459"/>
      <c r="S2" s="459"/>
    </row>
    <row r="3" spans="1:22" ht="15.75">
      <c r="A3" s="1728" t="s">
        <v>686</v>
      </c>
      <c r="B3" s="2387">
        <f ca="1">ROUND(B2*10000/E2,0)</f>
        <v>18663</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25" t="s">
        <v>1654</v>
      </c>
      <c r="C5" s="3426"/>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100.352</v>
      </c>
      <c r="C6" s="1729" t="s">
        <v>1651</v>
      </c>
      <c r="D6" s="2480"/>
      <c r="E6" s="2392">
        <f>IF(OR(A6=0,F6="否"),0,'数据-取费表'!K6+'数据-取费表'!S6)</f>
        <v>53.77</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B22" zoomScale="85" zoomScaleNormal="60" zoomScaleSheetLayoutView="85" workbookViewId="0">
      <selection activeCell="C37" sqref="C37:I37"/>
    </sheetView>
  </sheetViews>
  <sheetFormatPr defaultColWidth="9" defaultRowHeight="14.25"/>
  <cols>
    <col min="1" max="1" width="10.5" style="347" customWidth="1"/>
    <col min="2" max="2" width="15.75" style="347" customWidth="1"/>
    <col min="3" max="3" width="17.375" style="347" customWidth="1"/>
    <col min="4" max="4" width="12.25" style="347" customWidth="1"/>
    <col min="5" max="5" width="17.125" style="347" customWidth="1"/>
    <col min="6" max="6" width="12.25" style="347" customWidth="1"/>
    <col min="7" max="7" width="18.125" style="347" customWidth="1"/>
    <col min="8" max="8" width="12.25" style="347" customWidth="1"/>
    <col min="9" max="9" width="17.1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3402</v>
      </c>
      <c r="E1" s="3125" t="s">
        <v>3441</v>
      </c>
      <c r="F1" s="1735" t="s">
        <v>3442</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f>IF(E1="项目模式",IF(C2="——",ROUND(C49*D3/10000,0),ROUND(C49*D3/10000,0)-D2),IF(E1="单套模式",IF(C2="——",ROUND(C49*D3/10000,4),ROUND(C49*D3/10000,4)-D2)))</f>
        <v>176.54839999999999</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32834</v>
      </c>
      <c r="C3" s="344" t="s">
        <v>1665</v>
      </c>
      <c r="D3" s="343">
        <f>IF(D1="",'数据-汇总表'!E3,SUMIF('数据-汇总表'!$C19:$C33,D1,'数据-汇总表'!$E19:$E33))</f>
        <v>53.77</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46" t="s">
        <v>1667</v>
      </c>
      <c r="D4" s="3447"/>
      <c r="E4" s="3448" t="s">
        <v>1668</v>
      </c>
      <c r="F4" s="3449"/>
      <c r="G4" s="3446" t="s">
        <v>1669</v>
      </c>
      <c r="H4" s="3447"/>
      <c r="I4" s="3446" t="s">
        <v>1670</v>
      </c>
      <c r="J4" s="3447"/>
      <c r="K4" s="1744" t="s">
        <v>1671</v>
      </c>
      <c r="L4" s="2487"/>
      <c r="M4" s="2488"/>
      <c r="N4" s="2488"/>
      <c r="O4" s="2488"/>
      <c r="P4" s="3450" t="s">
        <v>1672</v>
      </c>
      <c r="Q4" s="3451"/>
      <c r="R4" s="3432" t="s">
        <v>1668</v>
      </c>
      <c r="S4" s="3433"/>
      <c r="T4" s="3432" t="s">
        <v>1669</v>
      </c>
      <c r="U4" s="3433"/>
      <c r="V4" s="3458" t="s">
        <v>1670</v>
      </c>
      <c r="W4" s="3458"/>
      <c r="X4" s="1265"/>
      <c r="Y4" s="3432" t="s">
        <v>1672</v>
      </c>
      <c r="Z4" s="3433"/>
      <c r="AA4" s="3427" t="s">
        <v>1668</v>
      </c>
      <c r="AB4" s="3427" t="s">
        <v>1669</v>
      </c>
      <c r="AC4" s="3427" t="s">
        <v>1670</v>
      </c>
    </row>
    <row r="5" spans="1:29" ht="15">
      <c r="A5" s="348"/>
      <c r="B5" s="349"/>
      <c r="C5" s="3438" t="s">
        <v>3495</v>
      </c>
      <c r="D5" s="3439"/>
      <c r="E5" s="3436" t="s">
        <v>1674</v>
      </c>
      <c r="F5" s="3437"/>
      <c r="G5" s="3442" t="s">
        <v>1675</v>
      </c>
      <c r="H5" s="3439"/>
      <c r="I5" s="3442" t="s">
        <v>1676</v>
      </c>
      <c r="J5" s="3439"/>
      <c r="K5" s="1745"/>
      <c r="L5" s="2487"/>
      <c r="M5" s="2488"/>
      <c r="N5" s="2488"/>
      <c r="O5" s="2488"/>
      <c r="P5" s="3452"/>
      <c r="Q5" s="3453"/>
      <c r="R5" s="3434"/>
      <c r="S5" s="3435"/>
      <c r="T5" s="3434"/>
      <c r="U5" s="3435"/>
      <c r="V5" s="3458"/>
      <c r="W5" s="3458"/>
      <c r="X5" s="1265"/>
      <c r="Y5" s="3434"/>
      <c r="Z5" s="3435"/>
      <c r="AA5" s="3428"/>
      <c r="AB5" s="3428"/>
      <c r="AC5" s="3428"/>
    </row>
    <row r="6" spans="1:29" ht="15.75" thickBot="1">
      <c r="A6" s="350"/>
      <c r="B6" s="351"/>
      <c r="C6" s="3440" t="s">
        <v>1677</v>
      </c>
      <c r="D6" s="3441"/>
      <c r="E6" s="3443" t="s">
        <v>3620</v>
      </c>
      <c r="F6" s="3444"/>
      <c r="G6" s="3440" t="str">
        <f>E6</f>
        <v>南太平庄北巷</v>
      </c>
      <c r="H6" s="3441"/>
      <c r="I6" s="3440" t="str">
        <f>E6</f>
        <v>南太平庄北巷</v>
      </c>
      <c r="J6" s="3441"/>
      <c r="K6" s="1745" t="s">
        <v>1678</v>
      </c>
      <c r="L6" s="2487"/>
      <c r="M6" s="2488"/>
      <c r="N6" s="2488"/>
      <c r="O6" s="2488"/>
      <c r="P6" s="3454"/>
      <c r="Q6" s="3455"/>
      <c r="R6" s="3434"/>
      <c r="S6" s="3435"/>
      <c r="T6" s="3456"/>
      <c r="U6" s="3457"/>
      <c r="V6" s="3458"/>
      <c r="W6" s="3458"/>
      <c r="X6" s="1265"/>
      <c r="Y6" s="3456"/>
      <c r="Z6" s="3457"/>
      <c r="AA6" s="3429"/>
      <c r="AB6" s="3429"/>
      <c r="AC6" s="3429"/>
    </row>
    <row r="7" spans="1:29" s="102" customFormat="1" ht="15.75" thickBot="1">
      <c r="A7" s="352" t="s">
        <v>1679</v>
      </c>
      <c r="B7" s="353"/>
      <c r="C7" s="354">
        <f>'数据-取费表'!B2</f>
        <v>46016</v>
      </c>
      <c r="D7" s="355">
        <v>100</v>
      </c>
      <c r="E7" s="356">
        <f>案例!A3</f>
        <v>45997</v>
      </c>
      <c r="F7" s="357">
        <f>SUMIF(58:58,YEAR(E7)&amp;"-"&amp;MONTH(E7),59:59)</f>
        <v>100</v>
      </c>
      <c r="G7" s="356">
        <f>案例!A4</f>
        <v>45987</v>
      </c>
      <c r="H7" s="355">
        <f>SUMIF(58:58,YEAR(G7)&amp;"-"&amp;MONTH(G7),59:59)</f>
        <v>100</v>
      </c>
      <c r="I7" s="356">
        <f>案例!U31</f>
        <v>45940</v>
      </c>
      <c r="J7" s="355">
        <f>SUMIF(58:58,YEAR(I7)&amp;"-"&amp;MONTH(I7),59:59)</f>
        <v>100</v>
      </c>
      <c r="K7" s="1746"/>
      <c r="L7" s="2489"/>
      <c r="M7" s="2440"/>
      <c r="N7" s="2440"/>
      <c r="O7" s="2440"/>
      <c r="P7" s="3430" t="s">
        <v>1680</v>
      </c>
      <c r="Q7" s="3459"/>
      <c r="R7" s="664" t="s">
        <v>20</v>
      </c>
      <c r="S7" s="665">
        <f t="shared" ref="S7:S15" si="0">F7</f>
        <v>100</v>
      </c>
      <c r="T7" s="664" t="s">
        <v>20</v>
      </c>
      <c r="U7" s="665">
        <f t="shared" ref="U7:U15" si="1">H7</f>
        <v>100</v>
      </c>
      <c r="V7" s="664" t="s">
        <v>20</v>
      </c>
      <c r="W7" s="665">
        <f t="shared" ref="W7:W15" si="2">J7</f>
        <v>100</v>
      </c>
      <c r="X7" s="666"/>
      <c r="Y7" s="3430" t="s">
        <v>1680</v>
      </c>
      <c r="Z7" s="3431"/>
      <c r="AA7" s="50">
        <f>D7/F7</f>
        <v>1</v>
      </c>
      <c r="AB7" s="50">
        <f>D7/H7</f>
        <v>1</v>
      </c>
      <c r="AC7" s="50">
        <f>D7/J7</f>
        <v>1</v>
      </c>
    </row>
    <row r="8" spans="1:29" s="102" customFormat="1" ht="15.75" thickBot="1">
      <c r="A8" s="352" t="s">
        <v>1681</v>
      </c>
      <c r="B8" s="353"/>
      <c r="C8" s="358" t="s">
        <v>3443</v>
      </c>
      <c r="D8" s="355">
        <v>100</v>
      </c>
      <c r="E8" s="1747" t="s">
        <v>3443</v>
      </c>
      <c r="F8" s="357">
        <f>SUMIF(61:61,E8,62:62)-SUMIF(61:61,C8,62:62)+100</f>
        <v>100</v>
      </c>
      <c r="G8" s="358" t="s">
        <v>3443</v>
      </c>
      <c r="H8" s="355">
        <f>SUMIF(61:61,G8,62:62)-SUMIF(61:61,C8,62:62)+100</f>
        <v>100</v>
      </c>
      <c r="I8" s="1747" t="s">
        <v>3443</v>
      </c>
      <c r="J8" s="355">
        <f>SUMIF(61:61,I8,62:62)-SUMIF(61:61,C8,62:62)+100</f>
        <v>100</v>
      </c>
      <c r="K8" s="1746"/>
      <c r="L8" s="2489"/>
      <c r="M8" s="2440"/>
      <c r="N8" s="2440"/>
      <c r="O8" s="2440"/>
      <c r="P8" s="3430" t="s">
        <v>1683</v>
      </c>
      <c r="Q8" s="3431"/>
      <c r="R8" s="664" t="s">
        <v>20</v>
      </c>
      <c r="S8" s="665">
        <f t="shared" si="0"/>
        <v>100</v>
      </c>
      <c r="T8" s="664" t="s">
        <v>20</v>
      </c>
      <c r="U8" s="665">
        <f t="shared" si="1"/>
        <v>100</v>
      </c>
      <c r="V8" s="664" t="s">
        <v>20</v>
      </c>
      <c r="W8" s="665">
        <f t="shared" si="2"/>
        <v>100</v>
      </c>
      <c r="X8" s="666"/>
      <c r="Y8" s="3430" t="s">
        <v>1683</v>
      </c>
      <c r="Z8" s="3431"/>
      <c r="AA8" s="50">
        <f t="shared" ref="AA8:AA19" si="3">D8/F8</f>
        <v>1</v>
      </c>
      <c r="AB8" s="50">
        <f t="shared" ref="AB8:AB19" si="4">D8/H8</f>
        <v>1</v>
      </c>
      <c r="AC8" s="50">
        <f t="shared" ref="AC8:AC19" si="5">D8/J8</f>
        <v>1</v>
      </c>
    </row>
    <row r="9" spans="1:29" s="102" customFormat="1">
      <c r="A9" s="359" t="s">
        <v>1684</v>
      </c>
      <c r="B9" s="60" t="s">
        <v>1685</v>
      </c>
      <c r="C9" s="3170" t="s">
        <v>3444</v>
      </c>
      <c r="D9" s="59">
        <v>100</v>
      </c>
      <c r="E9" s="361" t="s">
        <v>3402</v>
      </c>
      <c r="F9" s="60">
        <f>SUMIF(63:63,E9,64:64)-SUMIF(63:63,C9,64:64)+100</f>
        <v>100</v>
      </c>
      <c r="G9" s="362" t="s">
        <v>3402</v>
      </c>
      <c r="H9" s="59">
        <f>SUMIF(63:63,G9,64:64)-SUMIF(63:63,C9,64:64)+100</f>
        <v>100</v>
      </c>
      <c r="I9" s="362" t="s">
        <v>3402</v>
      </c>
      <c r="J9" s="59">
        <f>SUMIF(63:63,I9,64:64)-SUMIF(63:63,C9,64:64)+100</f>
        <v>100</v>
      </c>
      <c r="K9" s="1746"/>
      <c r="L9" s="2489"/>
      <c r="M9" s="2440"/>
      <c r="N9" s="2440"/>
      <c r="O9" s="2440"/>
      <c r="P9" s="3445" t="s">
        <v>1686</v>
      </c>
      <c r="Q9" s="530" t="str">
        <f t="shared" ref="Q9:Q15" si="6">B9</f>
        <v>用途</v>
      </c>
      <c r="R9" s="664" t="s">
        <v>14</v>
      </c>
      <c r="S9" s="665">
        <f t="shared" si="0"/>
        <v>100</v>
      </c>
      <c r="T9" s="664" t="s">
        <v>14</v>
      </c>
      <c r="U9" s="665">
        <f t="shared" si="1"/>
        <v>100</v>
      </c>
      <c r="V9" s="664" t="s">
        <v>14</v>
      </c>
      <c r="W9" s="665">
        <f t="shared" si="2"/>
        <v>100</v>
      </c>
      <c r="X9" s="666"/>
      <c r="Y9" s="335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45"/>
      <c r="Q10" s="530" t="str">
        <f t="shared" si="6"/>
        <v>土地使用年限（年）</v>
      </c>
      <c r="R10" s="664" t="s">
        <v>14</v>
      </c>
      <c r="S10" s="665">
        <f t="shared" si="0"/>
        <v>100</v>
      </c>
      <c r="T10" s="664" t="s">
        <v>14</v>
      </c>
      <c r="U10" s="665">
        <f t="shared" si="1"/>
        <v>100</v>
      </c>
      <c r="V10" s="664" t="s">
        <v>14</v>
      </c>
      <c r="W10" s="665">
        <f t="shared" si="2"/>
        <v>100</v>
      </c>
      <c r="X10" s="666"/>
      <c r="Y10" s="3355"/>
      <c r="Z10" s="50" t="str">
        <f t="shared" si="7"/>
        <v>土地使用年限（年）</v>
      </c>
      <c r="AA10" s="50">
        <f t="shared" si="3"/>
        <v>1</v>
      </c>
      <c r="AB10" s="50">
        <f t="shared" si="4"/>
        <v>1</v>
      </c>
      <c r="AC10" s="50">
        <f t="shared" si="5"/>
        <v>1</v>
      </c>
    </row>
    <row r="11" spans="1:29" ht="15">
      <c r="A11" s="367"/>
      <c r="B11" s="364" t="s">
        <v>1689</v>
      </c>
      <c r="C11" s="368">
        <v>2.5</v>
      </c>
      <c r="D11" s="119">
        <v>100</v>
      </c>
      <c r="E11" s="369">
        <v>2.5</v>
      </c>
      <c r="F11" s="364">
        <f>LOOKUP(E11,68:68,69:69)-LOOKUP(C11,68:68,69:69)+100</f>
        <v>100</v>
      </c>
      <c r="G11" s="368">
        <v>2.5</v>
      </c>
      <c r="H11" s="119">
        <f>LOOKUP(G11,68:68,69:69)-LOOKUP(C11,68:68,69:69)+100</f>
        <v>100</v>
      </c>
      <c r="I11" s="368">
        <v>2.5</v>
      </c>
      <c r="J11" s="119">
        <f>LOOKUP(I11,68:68,69:69)-LOOKUP(C11,68:68,69:69)+100</f>
        <v>100</v>
      </c>
      <c r="K11" s="365"/>
      <c r="L11" s="2492"/>
      <c r="M11" s="2488"/>
      <c r="N11" s="2488"/>
      <c r="O11" s="2488"/>
      <c r="P11" s="3445"/>
      <c r="Q11" s="530" t="str">
        <f t="shared" si="6"/>
        <v>容积率</v>
      </c>
      <c r="R11" s="664" t="s">
        <v>18</v>
      </c>
      <c r="S11" s="665">
        <f t="shared" si="0"/>
        <v>100</v>
      </c>
      <c r="T11" s="664" t="s">
        <v>18</v>
      </c>
      <c r="U11" s="665">
        <f t="shared" si="1"/>
        <v>100</v>
      </c>
      <c r="V11" s="664" t="s">
        <v>18</v>
      </c>
      <c r="W11" s="665">
        <f t="shared" si="2"/>
        <v>100</v>
      </c>
      <c r="X11" s="666"/>
      <c r="Y11" s="3355"/>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45"/>
      <c r="Q12" s="530">
        <f t="shared" si="6"/>
        <v>111</v>
      </c>
      <c r="R12" s="664" t="s">
        <v>18</v>
      </c>
      <c r="S12" s="665">
        <f t="shared" si="0"/>
        <v>100</v>
      </c>
      <c r="T12" s="664" t="s">
        <v>18</v>
      </c>
      <c r="U12" s="665">
        <f t="shared" si="1"/>
        <v>100</v>
      </c>
      <c r="V12" s="664" t="s">
        <v>18</v>
      </c>
      <c r="W12" s="665">
        <f t="shared" si="2"/>
        <v>100</v>
      </c>
      <c r="X12" s="666"/>
      <c r="Y12" s="33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45"/>
      <c r="Q13" s="530">
        <f t="shared" si="6"/>
        <v>111</v>
      </c>
      <c r="R13" s="664" t="s">
        <v>18</v>
      </c>
      <c r="S13" s="665">
        <f t="shared" si="0"/>
        <v>100</v>
      </c>
      <c r="T13" s="664" t="s">
        <v>18</v>
      </c>
      <c r="U13" s="665">
        <f t="shared" si="1"/>
        <v>100</v>
      </c>
      <c r="V13" s="664" t="s">
        <v>18</v>
      </c>
      <c r="W13" s="665">
        <f t="shared" si="2"/>
        <v>100</v>
      </c>
      <c r="X13" s="666"/>
      <c r="Y13" s="3355"/>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45"/>
      <c r="Q14" s="530">
        <f t="shared" si="6"/>
        <v>111</v>
      </c>
      <c r="R14" s="664" t="s">
        <v>18</v>
      </c>
      <c r="S14" s="665">
        <f t="shared" si="0"/>
        <v>100</v>
      </c>
      <c r="T14" s="664" t="s">
        <v>18</v>
      </c>
      <c r="U14" s="665">
        <f t="shared" si="1"/>
        <v>100</v>
      </c>
      <c r="V14" s="664" t="s">
        <v>18</v>
      </c>
      <c r="W14" s="665">
        <f t="shared" si="2"/>
        <v>100</v>
      </c>
      <c r="X14" s="666"/>
      <c r="Y14" s="3355"/>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71" t="s">
        <v>1691</v>
      </c>
      <c r="Q15" s="1263" t="str">
        <f t="shared" si="6"/>
        <v>居住社区成熟度</v>
      </c>
      <c r="R15" s="667" t="s">
        <v>18</v>
      </c>
      <c r="S15" s="668">
        <f t="shared" si="0"/>
        <v>100</v>
      </c>
      <c r="T15" s="667" t="s">
        <v>18</v>
      </c>
      <c r="U15" s="668">
        <f t="shared" si="1"/>
        <v>100</v>
      </c>
      <c r="V15" s="667" t="s">
        <v>18</v>
      </c>
      <c r="W15" s="668">
        <f t="shared" si="2"/>
        <v>100</v>
      </c>
      <c r="X15" s="1265"/>
      <c r="Y15" s="346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72"/>
      <c r="Q16" s="1263"/>
      <c r="R16" s="667"/>
      <c r="S16" s="668"/>
      <c r="T16" s="667"/>
      <c r="U16" s="668"/>
      <c r="V16" s="667"/>
      <c r="W16" s="668"/>
      <c r="X16" s="1265"/>
      <c r="Y16" s="3465"/>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72"/>
      <c r="Q17" s="1263" t="str">
        <f>B17</f>
        <v>交通便捷度</v>
      </c>
      <c r="R17" s="667" t="s">
        <v>18</v>
      </c>
      <c r="S17" s="668">
        <f>F17</f>
        <v>100</v>
      </c>
      <c r="T17" s="667" t="s">
        <v>18</v>
      </c>
      <c r="U17" s="668">
        <f>H17</f>
        <v>100</v>
      </c>
      <c r="V17" s="667" t="s">
        <v>18</v>
      </c>
      <c r="W17" s="668">
        <f>J17</f>
        <v>100</v>
      </c>
      <c r="X17" s="1265"/>
      <c r="Y17" s="346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72"/>
      <c r="Q18" s="1263"/>
      <c r="R18" s="667"/>
      <c r="S18" s="668"/>
      <c r="T18" s="667"/>
      <c r="U18" s="668"/>
      <c r="V18" s="667"/>
      <c r="W18" s="668"/>
      <c r="X18" s="1265"/>
      <c r="Y18" s="3465"/>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72"/>
      <c r="Q19" s="1263" t="str">
        <f>B19</f>
        <v>公共配套设施</v>
      </c>
      <c r="R19" s="667" t="s">
        <v>18</v>
      </c>
      <c r="S19" s="668">
        <f>F19</f>
        <v>100</v>
      </c>
      <c r="T19" s="667" t="s">
        <v>18</v>
      </c>
      <c r="U19" s="668">
        <f>H19</f>
        <v>100</v>
      </c>
      <c r="V19" s="667" t="s">
        <v>18</v>
      </c>
      <c r="W19" s="668">
        <f>J19</f>
        <v>100</v>
      </c>
      <c r="X19" s="1265"/>
      <c r="Y19" s="346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72"/>
      <c r="Q20" s="1263"/>
      <c r="R20" s="667"/>
      <c r="S20" s="668"/>
      <c r="T20" s="667"/>
      <c r="U20" s="668"/>
      <c r="V20" s="667"/>
      <c r="W20" s="668"/>
      <c r="X20" s="1265"/>
      <c r="Y20" s="346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72"/>
      <c r="Q21" s="1263" t="str">
        <f>B21</f>
        <v>基础设施水平</v>
      </c>
      <c r="R21" s="667" t="s">
        <v>14</v>
      </c>
      <c r="S21" s="668">
        <f>F21</f>
        <v>100</v>
      </c>
      <c r="T21" s="667" t="s">
        <v>14</v>
      </c>
      <c r="U21" s="668">
        <f>H21</f>
        <v>100</v>
      </c>
      <c r="V21" s="667" t="s">
        <v>14</v>
      </c>
      <c r="W21" s="668">
        <f>J21</f>
        <v>100</v>
      </c>
      <c r="X21" s="1265"/>
      <c r="Y21" s="346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72"/>
      <c r="Q22" s="1263"/>
      <c r="R22" s="667"/>
      <c r="S22" s="668"/>
      <c r="T22" s="667"/>
      <c r="U22" s="668"/>
      <c r="V22" s="667"/>
      <c r="W22" s="668"/>
      <c r="X22" s="1265"/>
      <c r="Y22" s="3465"/>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72"/>
      <c r="Q23" s="1263" t="str">
        <f>B23</f>
        <v>自然及人文环境</v>
      </c>
      <c r="R23" s="667" t="s">
        <v>18</v>
      </c>
      <c r="S23" s="668">
        <f>F23</f>
        <v>100</v>
      </c>
      <c r="T23" s="667" t="s">
        <v>18</v>
      </c>
      <c r="U23" s="668">
        <f>H23</f>
        <v>100</v>
      </c>
      <c r="V23" s="667" t="s">
        <v>18</v>
      </c>
      <c r="W23" s="668">
        <f>J23</f>
        <v>100</v>
      </c>
      <c r="X23" s="1265"/>
      <c r="Y23" s="346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72"/>
      <c r="Q24" s="1263"/>
      <c r="R24" s="667"/>
      <c r="S24" s="668"/>
      <c r="T24" s="667"/>
      <c r="U24" s="668"/>
      <c r="V24" s="667"/>
      <c r="W24" s="668"/>
      <c r="X24" s="1265"/>
      <c r="Y24" s="3465"/>
      <c r="Z24" s="1264"/>
      <c r="AA24" s="1264">
        <v>1</v>
      </c>
      <c r="AB24" s="1264">
        <v>1</v>
      </c>
      <c r="AC24" s="1264">
        <v>1</v>
      </c>
    </row>
    <row r="25" spans="1:29" ht="15" hidden="1">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7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65"/>
      <c r="Z25" s="1264" t="str">
        <f>Q25</f>
        <v>楼层-1</v>
      </c>
      <c r="AA25" s="1264">
        <f t="shared" ref="AA25:AA46" si="15">D25/F25</f>
        <v>1</v>
      </c>
      <c r="AB25" s="1264">
        <f t="shared" ref="AB25:AB46" si="16">D25/H25</f>
        <v>1</v>
      </c>
      <c r="AC25" s="1264">
        <f t="shared" ref="AC25:AC46" si="17">D25/J25</f>
        <v>1</v>
      </c>
    </row>
    <row r="26" spans="1:29" ht="15">
      <c r="A26" s="367"/>
      <c r="B26" s="364" t="s">
        <v>1693</v>
      </c>
      <c r="C26" s="399" t="s">
        <v>3469</v>
      </c>
      <c r="D26" s="374">
        <v>100</v>
      </c>
      <c r="E26" s="1760" t="s">
        <v>3469</v>
      </c>
      <c r="F26" s="374">
        <f>SUMIF(88:88,E26,89:89)-SUMIF(88:88,C26,89:89)+100</f>
        <v>100</v>
      </c>
      <c r="G26" s="1761" t="s">
        <v>3469</v>
      </c>
      <c r="H26" s="374">
        <f>SUMIF(88:88,G26,89:89)-SUMIF(88:88,C26,89:89)+100</f>
        <v>100</v>
      </c>
      <c r="I26" s="1761" t="s">
        <v>3469</v>
      </c>
      <c r="J26" s="374">
        <f>SUMIF(88:88,I26,89:89)-SUMIF(88:88,C26,89:89)+100</f>
        <v>100</v>
      </c>
      <c r="K26" s="365">
        <v>1</v>
      </c>
      <c r="L26" s="2493"/>
      <c r="M26" s="2488"/>
      <c r="N26" s="2488"/>
      <c r="O26" s="2488"/>
      <c r="P26" s="3472"/>
      <c r="Q26" s="1263" t="str">
        <f t="shared" si="11"/>
        <v>朝向</v>
      </c>
      <c r="R26" s="667" t="s">
        <v>18</v>
      </c>
      <c r="S26" s="668">
        <f t="shared" si="12"/>
        <v>100</v>
      </c>
      <c r="T26" s="667" t="s">
        <v>18</v>
      </c>
      <c r="U26" s="668">
        <f t="shared" si="13"/>
        <v>100</v>
      </c>
      <c r="V26" s="667" t="s">
        <v>18</v>
      </c>
      <c r="W26" s="668">
        <f t="shared" si="14"/>
        <v>100</v>
      </c>
      <c r="X26" s="1265"/>
      <c r="Y26" s="3465"/>
      <c r="Z26" s="1264" t="str">
        <f>Q26</f>
        <v>朝向</v>
      </c>
      <c r="AA26" s="1264">
        <f t="shared" si="15"/>
        <v>1</v>
      </c>
      <c r="AB26" s="1264">
        <f t="shared" si="16"/>
        <v>1</v>
      </c>
      <c r="AC26" s="1264">
        <f t="shared" si="17"/>
        <v>1</v>
      </c>
    </row>
    <row r="27" spans="1:29" s="102" customFormat="1" ht="15.75" thickBot="1">
      <c r="A27" s="370"/>
      <c r="B27" s="3175" t="s">
        <v>3468</v>
      </c>
      <c r="C27" s="3176" t="str">
        <f>C90</f>
        <v>5/6</v>
      </c>
      <c r="D27" s="401">
        <v>100</v>
      </c>
      <c r="E27" s="403" t="str">
        <f>D90</f>
        <v>1/6</v>
      </c>
      <c r="F27" s="401">
        <f>SUMIF(90:90,E27,91:91)-SUMIF(90:90,C27,91:91)+100</f>
        <v>98</v>
      </c>
      <c r="G27" s="402" t="str">
        <f>E27</f>
        <v>1/6</v>
      </c>
      <c r="H27" s="401">
        <f>SUMIF(90:90,G27,91:91)-SUMIF(90:90,C27,91:91)+100</f>
        <v>98</v>
      </c>
      <c r="I27" s="1810" t="str">
        <f>F90</f>
        <v>2/6</v>
      </c>
      <c r="J27" s="401">
        <f>SUMIF(90:90,I27,91:91)-SUMIF(90:90,C27,91:91)+100</f>
        <v>102</v>
      </c>
      <c r="K27" s="1748"/>
      <c r="L27" s="2489"/>
      <c r="M27" s="2440"/>
      <c r="N27" s="2440"/>
      <c r="O27" s="2440"/>
      <c r="P27" s="3472"/>
      <c r="Q27" s="530" t="str">
        <f t="shared" si="11"/>
        <v>楼层</v>
      </c>
      <c r="R27" s="664" t="s">
        <v>18</v>
      </c>
      <c r="S27" s="665">
        <f t="shared" si="12"/>
        <v>98</v>
      </c>
      <c r="T27" s="664" t="s">
        <v>18</v>
      </c>
      <c r="U27" s="665">
        <f t="shared" si="13"/>
        <v>98</v>
      </c>
      <c r="V27" s="664" t="s">
        <v>18</v>
      </c>
      <c r="W27" s="665">
        <f t="shared" si="14"/>
        <v>102</v>
      </c>
      <c r="X27" s="666"/>
      <c r="Y27" s="3465"/>
      <c r="Z27" s="50" t="str">
        <f>Q27</f>
        <v>楼层</v>
      </c>
      <c r="AA27" s="1264">
        <f t="shared" si="15"/>
        <v>1.0204081632653061</v>
      </c>
      <c r="AB27" s="1264">
        <f t="shared" si="16"/>
        <v>1.0204081632653061</v>
      </c>
      <c r="AC27" s="1264">
        <f t="shared" si="17"/>
        <v>0.98039215686274506</v>
      </c>
    </row>
    <row r="28" spans="1:29" ht="15" hidden="1">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72"/>
      <c r="Q28" s="1263">
        <f t="shared" si="11"/>
        <v>111</v>
      </c>
      <c r="R28" s="667" t="s">
        <v>18</v>
      </c>
      <c r="S28" s="668">
        <f t="shared" si="12"/>
        <v>100</v>
      </c>
      <c r="T28" s="667" t="s">
        <v>18</v>
      </c>
      <c r="U28" s="668">
        <f t="shared" si="13"/>
        <v>100</v>
      </c>
      <c r="V28" s="667" t="s">
        <v>18</v>
      </c>
      <c r="W28" s="668">
        <f t="shared" si="14"/>
        <v>100</v>
      </c>
      <c r="X28" s="1265"/>
      <c r="Y28" s="3465"/>
      <c r="Z28" s="1264">
        <f t="shared" ref="Z28:Z46" si="18">Q28</f>
        <v>111</v>
      </c>
      <c r="AA28" s="1264">
        <f t="shared" si="15"/>
        <v>1</v>
      </c>
      <c r="AB28" s="1264">
        <f t="shared" si="16"/>
        <v>1</v>
      </c>
      <c r="AC28" s="1264">
        <f t="shared" si="17"/>
        <v>1</v>
      </c>
    </row>
    <row r="29" spans="1:29" ht="15" hidden="1">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72"/>
      <c r="Q29" s="1263">
        <f t="shared" si="11"/>
        <v>111</v>
      </c>
      <c r="R29" s="667" t="s">
        <v>18</v>
      </c>
      <c r="S29" s="668">
        <f t="shared" si="12"/>
        <v>100</v>
      </c>
      <c r="T29" s="667" t="s">
        <v>18</v>
      </c>
      <c r="U29" s="668">
        <f t="shared" si="13"/>
        <v>100</v>
      </c>
      <c r="V29" s="667" t="s">
        <v>18</v>
      </c>
      <c r="W29" s="668">
        <f t="shared" si="14"/>
        <v>100</v>
      </c>
      <c r="X29" s="1265"/>
      <c r="Y29" s="3465"/>
      <c r="Z29" s="1264">
        <f t="shared" si="18"/>
        <v>111</v>
      </c>
      <c r="AA29" s="1264">
        <f t="shared" si="15"/>
        <v>1</v>
      </c>
      <c r="AB29" s="1264">
        <f t="shared" si="16"/>
        <v>1</v>
      </c>
      <c r="AC29" s="1264">
        <f t="shared" si="17"/>
        <v>1</v>
      </c>
    </row>
    <row r="30" spans="1:29" ht="15" hidden="1">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72"/>
      <c r="Q30" s="1263">
        <f t="shared" si="11"/>
        <v>111</v>
      </c>
      <c r="R30" s="667" t="s">
        <v>18</v>
      </c>
      <c r="S30" s="668">
        <f t="shared" si="12"/>
        <v>100</v>
      </c>
      <c r="T30" s="667" t="s">
        <v>18</v>
      </c>
      <c r="U30" s="668">
        <f t="shared" si="13"/>
        <v>100</v>
      </c>
      <c r="V30" s="667" t="s">
        <v>18</v>
      </c>
      <c r="W30" s="668">
        <f t="shared" si="14"/>
        <v>100</v>
      </c>
      <c r="X30" s="1265"/>
      <c r="Y30" s="3465"/>
      <c r="Z30" s="1264">
        <f t="shared" si="18"/>
        <v>111</v>
      </c>
      <c r="AA30" s="1264">
        <f t="shared" si="15"/>
        <v>1</v>
      </c>
      <c r="AB30" s="1264">
        <f t="shared" si="16"/>
        <v>1</v>
      </c>
      <c r="AC30" s="1264">
        <f t="shared" si="17"/>
        <v>1</v>
      </c>
    </row>
    <row r="31" spans="1:29" ht="15.75" hidden="1"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72"/>
      <c r="Q31" s="1263">
        <f t="shared" si="11"/>
        <v>111</v>
      </c>
      <c r="R31" s="667" t="s">
        <v>18</v>
      </c>
      <c r="S31" s="668">
        <f t="shared" si="12"/>
        <v>100</v>
      </c>
      <c r="T31" s="667" t="s">
        <v>18</v>
      </c>
      <c r="U31" s="668">
        <f t="shared" si="13"/>
        <v>100</v>
      </c>
      <c r="V31" s="667" t="s">
        <v>18</v>
      </c>
      <c r="W31" s="668">
        <f t="shared" si="14"/>
        <v>100</v>
      </c>
      <c r="X31" s="1265"/>
      <c r="Y31" s="3465"/>
      <c r="Z31" s="1264">
        <f t="shared" si="18"/>
        <v>111</v>
      </c>
      <c r="AA31" s="1264">
        <f t="shared" si="15"/>
        <v>1</v>
      </c>
      <c r="AB31" s="1264">
        <f t="shared" si="16"/>
        <v>1</v>
      </c>
      <c r="AC31" s="1264">
        <f t="shared" si="17"/>
        <v>1</v>
      </c>
    </row>
    <row r="32" spans="1:29" ht="15">
      <c r="A32" s="379" t="s">
        <v>1694</v>
      </c>
      <c r="B32" s="60" t="s">
        <v>1695</v>
      </c>
      <c r="C32" s="1764" t="s">
        <v>3488</v>
      </c>
      <c r="D32" s="405">
        <v>100</v>
      </c>
      <c r="E32" s="1765" t="s">
        <v>3488</v>
      </c>
      <c r="F32" s="400">
        <f>SUMIF(100:100,E32,101:101)-SUMIF(100:100,C32,101:101)+100</f>
        <v>100</v>
      </c>
      <c r="G32" s="1764" t="s">
        <v>3488</v>
      </c>
      <c r="H32" s="405">
        <f>SUMIF(100:100,G32,101:101)-SUMIF(100:100,C32,101:101)+100</f>
        <v>100</v>
      </c>
      <c r="I32" s="1765" t="s">
        <v>3488</v>
      </c>
      <c r="J32" s="374">
        <f>SUMIF(100:100,I32,101:101)-SUMIF(100:100,C32,101:101)+100</f>
        <v>100</v>
      </c>
      <c r="K32" s="365"/>
      <c r="L32" s="2493"/>
      <c r="M32" s="2488"/>
      <c r="N32" s="2488"/>
      <c r="O32" s="2488"/>
      <c r="P32" s="3466" t="s">
        <v>1696</v>
      </c>
      <c r="Q32" s="1263" t="str">
        <f t="shared" si="11"/>
        <v>建筑类型</v>
      </c>
      <c r="R32" s="667" t="s">
        <v>18</v>
      </c>
      <c r="S32" s="668">
        <f t="shared" si="12"/>
        <v>100</v>
      </c>
      <c r="T32" s="667" t="s">
        <v>18</v>
      </c>
      <c r="U32" s="668">
        <f t="shared" si="13"/>
        <v>100</v>
      </c>
      <c r="V32" s="667" t="s">
        <v>18</v>
      </c>
      <c r="W32" s="668">
        <f t="shared" si="14"/>
        <v>100</v>
      </c>
      <c r="X32" s="1265"/>
      <c r="Y32" s="3469" t="s">
        <v>1696</v>
      </c>
      <c r="Z32" s="1264" t="str">
        <f t="shared" si="18"/>
        <v>建筑类型</v>
      </c>
      <c r="AA32" s="1264">
        <f t="shared" si="15"/>
        <v>1</v>
      </c>
      <c r="AB32" s="1264">
        <f t="shared" si="16"/>
        <v>1</v>
      </c>
      <c r="AC32" s="1264">
        <f t="shared" si="17"/>
        <v>1</v>
      </c>
    </row>
    <row r="33" spans="1:29" s="408" customFormat="1" ht="15">
      <c r="A33" s="406"/>
      <c r="B33" s="364" t="s">
        <v>1697</v>
      </c>
      <c r="C33" s="407">
        <f>项目基本情况!C17</f>
        <v>53.77</v>
      </c>
      <c r="D33" s="119">
        <v>100</v>
      </c>
      <c r="E33" s="369">
        <f>案例!$C$3</f>
        <v>69</v>
      </c>
      <c r="F33" s="364">
        <f>LOOKUP(E33,103:103,104:104)-LOOKUP(C33,103:103,104:104)+100</f>
        <v>96</v>
      </c>
      <c r="G33" s="368">
        <f>案例!$C$4</f>
        <v>69</v>
      </c>
      <c r="H33" s="119">
        <f>LOOKUP(G33,103:103,104:104)-LOOKUP(C33,103:103,104:104)+100</f>
        <v>96</v>
      </c>
      <c r="I33" s="369">
        <f>案例!$J$31</f>
        <v>69.42</v>
      </c>
      <c r="J33" s="119">
        <f>LOOKUP(I33,103:103,104:104)-LOOKUP(C33,103:103,104:104)+100</f>
        <v>96</v>
      </c>
      <c r="K33" s="1748"/>
      <c r="L33" s="2492"/>
      <c r="M33" s="2494"/>
      <c r="N33" s="2494"/>
      <c r="O33" s="2494"/>
      <c r="P33" s="3467"/>
      <c r="Q33" s="531" t="str">
        <f t="shared" si="11"/>
        <v>项目建筑规模</v>
      </c>
      <c r="R33" s="669" t="s">
        <v>18</v>
      </c>
      <c r="S33" s="670">
        <f t="shared" si="12"/>
        <v>96</v>
      </c>
      <c r="T33" s="669" t="s">
        <v>18</v>
      </c>
      <c r="U33" s="670">
        <f t="shared" si="13"/>
        <v>96</v>
      </c>
      <c r="V33" s="669" t="s">
        <v>18</v>
      </c>
      <c r="W33" s="670">
        <f t="shared" si="14"/>
        <v>96</v>
      </c>
      <c r="X33" s="671"/>
      <c r="Y33" s="3469"/>
      <c r="Z33" s="672" t="str">
        <f t="shared" si="18"/>
        <v>项目建筑规模</v>
      </c>
      <c r="AA33" s="1264">
        <f t="shared" si="15"/>
        <v>1.0416666666666667</v>
      </c>
      <c r="AB33" s="1264">
        <f t="shared" si="16"/>
        <v>1.0416666666666667</v>
      </c>
      <c r="AC33" s="1264">
        <f t="shared" si="17"/>
        <v>1.0416666666666667</v>
      </c>
    </row>
    <row r="34" spans="1:29" ht="15">
      <c r="A34" s="409"/>
      <c r="B34" s="364" t="s">
        <v>1698</v>
      </c>
      <c r="C34" s="399" t="s">
        <v>3479</v>
      </c>
      <c r="D34" s="374">
        <v>100</v>
      </c>
      <c r="E34" s="1766" t="s">
        <v>3479</v>
      </c>
      <c r="F34" s="400">
        <f>SUMIF(105:105,E34,106:106)-SUMIF(105:105,C34,106:106)+100</f>
        <v>100</v>
      </c>
      <c r="G34" s="399" t="s">
        <v>3479</v>
      </c>
      <c r="H34" s="374">
        <f>SUMIF(105:105,G34,106:106)-SUMIF(105:105,C34,106:106)+100</f>
        <v>100</v>
      </c>
      <c r="I34" s="1766" t="s">
        <v>3479</v>
      </c>
      <c r="J34" s="374">
        <f>SUMIF(105:105,I34,106:106)-SUMIF(105:105,C34,106:106)+100</f>
        <v>100</v>
      </c>
      <c r="K34" s="365"/>
      <c r="L34" s="2493"/>
      <c r="M34" s="2488"/>
      <c r="N34" s="2488"/>
      <c r="O34" s="2488"/>
      <c r="P34" s="3467"/>
      <c r="Q34" s="1263" t="str">
        <f t="shared" si="11"/>
        <v>建筑结构</v>
      </c>
      <c r="R34" s="667" t="s">
        <v>18</v>
      </c>
      <c r="S34" s="668">
        <f t="shared" si="12"/>
        <v>100</v>
      </c>
      <c r="T34" s="667" t="s">
        <v>18</v>
      </c>
      <c r="U34" s="668">
        <f t="shared" si="13"/>
        <v>100</v>
      </c>
      <c r="V34" s="667" t="s">
        <v>18</v>
      </c>
      <c r="W34" s="668">
        <f t="shared" si="14"/>
        <v>100</v>
      </c>
      <c r="X34" s="1265"/>
      <c r="Y34" s="346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67"/>
      <c r="Q35" s="1263" t="str">
        <f t="shared" si="11"/>
        <v>建筑品质</v>
      </c>
      <c r="R35" s="667" t="s">
        <v>18</v>
      </c>
      <c r="S35" s="668">
        <f t="shared" si="12"/>
        <v>100</v>
      </c>
      <c r="T35" s="667" t="s">
        <v>18</v>
      </c>
      <c r="U35" s="668">
        <f t="shared" si="13"/>
        <v>100</v>
      </c>
      <c r="V35" s="667" t="s">
        <v>18</v>
      </c>
      <c r="W35" s="668">
        <f t="shared" si="14"/>
        <v>100</v>
      </c>
      <c r="X35" s="1265"/>
      <c r="Y35" s="346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67"/>
      <c r="Q36" s="1263" t="str">
        <f t="shared" si="11"/>
        <v>公共部分装修</v>
      </c>
      <c r="R36" s="667" t="s">
        <v>18</v>
      </c>
      <c r="S36" s="668">
        <f t="shared" si="12"/>
        <v>100</v>
      </c>
      <c r="T36" s="667" t="s">
        <v>18</v>
      </c>
      <c r="U36" s="668">
        <f t="shared" si="13"/>
        <v>100</v>
      </c>
      <c r="V36" s="667" t="s">
        <v>18</v>
      </c>
      <c r="W36" s="668">
        <f t="shared" si="14"/>
        <v>100</v>
      </c>
      <c r="X36" s="1265"/>
      <c r="Y36" s="3469"/>
      <c r="Z36" s="1264" t="str">
        <f t="shared" si="18"/>
        <v>公共部分装修</v>
      </c>
      <c r="AA36" s="1264">
        <f t="shared" si="15"/>
        <v>1</v>
      </c>
      <c r="AB36" s="1264">
        <f t="shared" si="16"/>
        <v>1</v>
      </c>
      <c r="AC36" s="1264">
        <f t="shared" si="17"/>
        <v>1</v>
      </c>
    </row>
    <row r="37" spans="1:29" s="102" customFormat="1" ht="15">
      <c r="A37" s="410"/>
      <c r="B37" s="364" t="s">
        <v>1701</v>
      </c>
      <c r="C37" s="3539">
        <v>0.75</v>
      </c>
      <c r="D37" s="3540">
        <v>100</v>
      </c>
      <c r="E37" s="3539">
        <f>C37</f>
        <v>0.75</v>
      </c>
      <c r="F37" s="3541">
        <f>LOOKUP(E37,112:112,113:113)-LOOKUP(C37,112:112,113:113)+100</f>
        <v>100</v>
      </c>
      <c r="G37" s="3542">
        <f>C37</f>
        <v>0.75</v>
      </c>
      <c r="H37" s="3540">
        <f>LOOKUP(G37,112:112,113:113)-LOOKUP(C37,112:112,113:113)+100</f>
        <v>100</v>
      </c>
      <c r="I37" s="3543">
        <f>C37</f>
        <v>0.75</v>
      </c>
      <c r="J37" s="119">
        <f>LOOKUP(I37,112:112,113:113)-LOOKUP(C37,112:112,113:113)+100</f>
        <v>100</v>
      </c>
      <c r="K37" s="365"/>
      <c r="L37" s="2489"/>
      <c r="M37" s="2440"/>
      <c r="N37" s="2440"/>
      <c r="O37" s="2440"/>
      <c r="P37" s="3467"/>
      <c r="Q37" s="530" t="str">
        <f t="shared" si="11"/>
        <v>成新度</v>
      </c>
      <c r="R37" s="664" t="s">
        <v>18</v>
      </c>
      <c r="S37" s="665">
        <f t="shared" si="12"/>
        <v>100</v>
      </c>
      <c r="T37" s="664" t="s">
        <v>18</v>
      </c>
      <c r="U37" s="665">
        <f t="shared" si="13"/>
        <v>100</v>
      </c>
      <c r="V37" s="664" t="s">
        <v>18</v>
      </c>
      <c r="W37" s="665">
        <f t="shared" si="14"/>
        <v>100</v>
      </c>
      <c r="X37" s="666"/>
      <c r="Y37" s="3469"/>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67" t="s">
        <v>1696</v>
      </c>
      <c r="Q38" s="1263" t="str">
        <f t="shared" si="11"/>
        <v>物业管理</v>
      </c>
      <c r="R38" s="667" t="s">
        <v>18</v>
      </c>
      <c r="S38" s="668">
        <f t="shared" si="12"/>
        <v>100</v>
      </c>
      <c r="T38" s="667" t="s">
        <v>18</v>
      </c>
      <c r="U38" s="668">
        <f t="shared" si="13"/>
        <v>100</v>
      </c>
      <c r="V38" s="667" t="s">
        <v>18</v>
      </c>
      <c r="W38" s="668">
        <f t="shared" si="14"/>
        <v>100</v>
      </c>
      <c r="X38" s="1265"/>
      <c r="Y38" s="346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67"/>
      <c r="Q39" s="1263" t="str">
        <f t="shared" si="11"/>
        <v>市政基础设施</v>
      </c>
      <c r="R39" s="667" t="s">
        <v>18</v>
      </c>
      <c r="S39" s="668">
        <f t="shared" si="12"/>
        <v>100</v>
      </c>
      <c r="T39" s="667" t="s">
        <v>18</v>
      </c>
      <c r="U39" s="668">
        <f t="shared" si="13"/>
        <v>100</v>
      </c>
      <c r="V39" s="667" t="s">
        <v>18</v>
      </c>
      <c r="W39" s="668">
        <f t="shared" si="14"/>
        <v>100</v>
      </c>
      <c r="X39" s="1265"/>
      <c r="Y39" s="346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67"/>
      <c r="Q40" s="1263" t="str">
        <f t="shared" si="11"/>
        <v>房型</v>
      </c>
      <c r="R40" s="667" t="s">
        <v>18</v>
      </c>
      <c r="S40" s="668">
        <f t="shared" si="12"/>
        <v>100</v>
      </c>
      <c r="T40" s="667" t="s">
        <v>18</v>
      </c>
      <c r="U40" s="668">
        <f t="shared" si="13"/>
        <v>100</v>
      </c>
      <c r="V40" s="667" t="s">
        <v>18</v>
      </c>
      <c r="W40" s="668">
        <f t="shared" si="14"/>
        <v>100</v>
      </c>
      <c r="X40" s="1265"/>
      <c r="Y40" s="346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67"/>
      <c r="Q41" s="531" t="str">
        <f t="shared" si="11"/>
        <v>单套/主力户型建筑面积</v>
      </c>
      <c r="R41" s="669" t="s">
        <v>18</v>
      </c>
      <c r="S41" s="670">
        <f t="shared" si="12"/>
        <v>100</v>
      </c>
      <c r="T41" s="669" t="s">
        <v>18</v>
      </c>
      <c r="U41" s="670">
        <f t="shared" si="13"/>
        <v>100</v>
      </c>
      <c r="V41" s="669" t="s">
        <v>18</v>
      </c>
      <c r="W41" s="670">
        <f t="shared" si="14"/>
        <v>100</v>
      </c>
      <c r="X41" s="671"/>
      <c r="Y41" s="3469"/>
      <c r="Z41" s="672" t="str">
        <f t="shared" si="18"/>
        <v>单套/主力户型建筑面积</v>
      </c>
      <c r="AA41" s="1264">
        <f t="shared" si="15"/>
        <v>1</v>
      </c>
      <c r="AB41" s="1264">
        <f t="shared" si="16"/>
        <v>1</v>
      </c>
      <c r="AC41" s="1264">
        <f t="shared" si="17"/>
        <v>1</v>
      </c>
    </row>
    <row r="42" spans="1:29" ht="15">
      <c r="A42" s="409"/>
      <c r="B42" s="364" t="s">
        <v>1706</v>
      </c>
      <c r="C42" s="1760" t="s">
        <v>3481</v>
      </c>
      <c r="D42" s="374">
        <v>100</v>
      </c>
      <c r="E42" s="1761" t="s">
        <v>3481</v>
      </c>
      <c r="F42" s="400">
        <f>SUMIF(122:122,E42,123:123)-SUMIF(122:122,C42,123:123)+100</f>
        <v>100</v>
      </c>
      <c r="G42" s="1760" t="s">
        <v>3481</v>
      </c>
      <c r="H42" s="374">
        <f>SUMIF(122:122,G42,123:123)-SUMIF(122:122,C42,123:123)+100</f>
        <v>100</v>
      </c>
      <c r="I42" s="1761" t="s">
        <v>3486</v>
      </c>
      <c r="J42" s="374">
        <f>SUMIF(122:122,I42,123:123)-SUMIF(122:122,C42,123:123)+100</f>
        <v>97</v>
      </c>
      <c r="K42" s="365">
        <v>3</v>
      </c>
      <c r="L42" s="2493"/>
      <c r="M42" s="2488"/>
      <c r="N42" s="2488"/>
      <c r="O42" s="2488"/>
      <c r="P42" s="3467"/>
      <c r="Q42" s="1263" t="str">
        <f t="shared" si="11"/>
        <v>内部装修</v>
      </c>
      <c r="R42" s="667" t="s">
        <v>18</v>
      </c>
      <c r="S42" s="668">
        <f t="shared" si="12"/>
        <v>100</v>
      </c>
      <c r="T42" s="667" t="s">
        <v>18</v>
      </c>
      <c r="U42" s="668">
        <f t="shared" si="13"/>
        <v>100</v>
      </c>
      <c r="V42" s="667" t="s">
        <v>18</v>
      </c>
      <c r="W42" s="668">
        <f t="shared" si="14"/>
        <v>97</v>
      </c>
      <c r="X42" s="1265"/>
      <c r="Y42" s="3469"/>
      <c r="Z42" s="1264" t="str">
        <f t="shared" si="18"/>
        <v>内部装修</v>
      </c>
      <c r="AA42" s="1264">
        <f t="shared" si="15"/>
        <v>1</v>
      </c>
      <c r="AB42" s="1264">
        <f t="shared" si="16"/>
        <v>1</v>
      </c>
      <c r="AC42" s="1264">
        <f t="shared" si="17"/>
        <v>1.0309278350515463</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67"/>
      <c r="Q43" s="1263" t="str">
        <f t="shared" si="11"/>
        <v>内部装修维护情况</v>
      </c>
      <c r="R43" s="667" t="s">
        <v>18</v>
      </c>
      <c r="S43" s="668">
        <f t="shared" si="12"/>
        <v>100</v>
      </c>
      <c r="T43" s="667" t="s">
        <v>18</v>
      </c>
      <c r="U43" s="668">
        <f t="shared" si="13"/>
        <v>100</v>
      </c>
      <c r="V43" s="667" t="s">
        <v>18</v>
      </c>
      <c r="W43" s="668">
        <f t="shared" si="14"/>
        <v>100</v>
      </c>
      <c r="X43" s="1265"/>
      <c r="Y43" s="346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67"/>
      <c r="Q44" s="530">
        <f t="shared" si="11"/>
        <v>111</v>
      </c>
      <c r="R44" s="664" t="s">
        <v>18</v>
      </c>
      <c r="S44" s="665">
        <f t="shared" si="12"/>
        <v>100</v>
      </c>
      <c r="T44" s="664" t="s">
        <v>18</v>
      </c>
      <c r="U44" s="665">
        <f t="shared" si="13"/>
        <v>100</v>
      </c>
      <c r="V44" s="664" t="s">
        <v>18</v>
      </c>
      <c r="W44" s="665">
        <f t="shared" si="14"/>
        <v>100</v>
      </c>
      <c r="X44" s="666"/>
      <c r="Y44" s="346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67"/>
      <c r="Q45" s="1263">
        <f t="shared" si="11"/>
        <v>111</v>
      </c>
      <c r="R45" s="667" t="s">
        <v>18</v>
      </c>
      <c r="S45" s="668">
        <f t="shared" si="12"/>
        <v>100</v>
      </c>
      <c r="T45" s="667" t="s">
        <v>18</v>
      </c>
      <c r="U45" s="668">
        <f t="shared" si="13"/>
        <v>100</v>
      </c>
      <c r="V45" s="667" t="s">
        <v>18</v>
      </c>
      <c r="W45" s="668">
        <f t="shared" si="14"/>
        <v>100</v>
      </c>
      <c r="X45" s="1265"/>
      <c r="Y45" s="346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68"/>
      <c r="Q46" s="1263">
        <f t="shared" si="11"/>
        <v>111</v>
      </c>
      <c r="R46" s="667" t="s">
        <v>17</v>
      </c>
      <c r="S46" s="668">
        <f t="shared" si="12"/>
        <v>100</v>
      </c>
      <c r="T46" s="667" t="s">
        <v>17</v>
      </c>
      <c r="U46" s="668">
        <f t="shared" si="13"/>
        <v>100</v>
      </c>
      <c r="V46" s="667" t="s">
        <v>17</v>
      </c>
      <c r="W46" s="668">
        <f t="shared" si="14"/>
        <v>100</v>
      </c>
      <c r="X46" s="1265"/>
      <c r="Y46" s="3470"/>
      <c r="Z46" s="1264">
        <f t="shared" si="18"/>
        <v>111</v>
      </c>
      <c r="AA46" s="1264">
        <f t="shared" si="15"/>
        <v>1</v>
      </c>
      <c r="AB46" s="1264">
        <f t="shared" si="16"/>
        <v>1</v>
      </c>
      <c r="AC46" s="1264">
        <f t="shared" si="17"/>
        <v>1</v>
      </c>
    </row>
    <row r="47" spans="1:29" ht="15">
      <c r="A47" s="416" t="s">
        <v>1708</v>
      </c>
      <c r="B47" s="417"/>
      <c r="C47" s="1081" t="s">
        <v>16</v>
      </c>
      <c r="D47" s="418"/>
      <c r="E47" s="419">
        <f>案例!$I$3</f>
        <v>29891</v>
      </c>
      <c r="F47" s="420"/>
      <c r="G47" s="421">
        <f>案例!$I$4</f>
        <v>29963</v>
      </c>
      <c r="H47" s="422"/>
      <c r="I47" s="419">
        <f>案例!$R$31</f>
        <v>33132</v>
      </c>
      <c r="J47" s="422"/>
      <c r="K47" s="1767"/>
      <c r="L47" s="2495"/>
      <c r="M47" s="2488"/>
      <c r="N47" s="2488"/>
      <c r="O47" s="2488"/>
      <c r="P47" s="3463" t="str">
        <f>A47</f>
        <v>成交单价（元/平方米）</v>
      </c>
      <c r="Q47" s="3463"/>
      <c r="R47" s="3458">
        <f>E47</f>
        <v>29891</v>
      </c>
      <c r="S47" s="3458"/>
      <c r="T47" s="3458">
        <f>G47</f>
        <v>29963</v>
      </c>
      <c r="U47" s="3458"/>
      <c r="V47" s="3458">
        <f>I47</f>
        <v>33132</v>
      </c>
      <c r="W47" s="3458"/>
      <c r="X47" s="385"/>
      <c r="Y47" s="673"/>
      <c r="Z47" s="385"/>
      <c r="AA47" s="385"/>
      <c r="AB47" s="385"/>
      <c r="AC47" s="385"/>
    </row>
    <row r="48" spans="1:29" ht="15.75" thickBot="1">
      <c r="A48" s="423" t="s">
        <v>1709</v>
      </c>
      <c r="B48" s="424"/>
      <c r="C48" s="1082">
        <f>R49</f>
        <v>32834</v>
      </c>
      <c r="D48" s="2141" t="s">
        <v>2138</v>
      </c>
      <c r="E48" s="1083">
        <f>R48</f>
        <v>31772</v>
      </c>
      <c r="F48" s="2142"/>
      <c r="G48" s="1082">
        <f>T48</f>
        <v>31848</v>
      </c>
      <c r="H48" s="2142"/>
      <c r="I48" s="1083">
        <f>V48</f>
        <v>34882</v>
      </c>
      <c r="J48" s="2142"/>
      <c r="K48" s="2143">
        <f>F48+H48+J48</f>
        <v>0</v>
      </c>
      <c r="L48" s="2495"/>
      <c r="M48" s="2488"/>
      <c r="N48" s="2488"/>
      <c r="O48" s="2488"/>
      <c r="P48" s="3463" t="str">
        <f>A48</f>
        <v>比较价值（元/平方米）</v>
      </c>
      <c r="Q48" s="3463"/>
      <c r="R48" s="3458">
        <f>IF(F1="售价",ROUND(PRODUCT(R47,AA7:AA46),0),ROUND(PRODUCT(R47,AA7:AA46),1))</f>
        <v>31772</v>
      </c>
      <c r="S48" s="3458"/>
      <c r="T48" s="3458">
        <f>IF(F1="售价",ROUND(PRODUCT(T47,AB7:AB46),0),ROUND(PRODUCT(T47,AB7:AB46),1))</f>
        <v>31848</v>
      </c>
      <c r="U48" s="3458"/>
      <c r="V48" s="3458">
        <f>IF(F1="售价",ROUND(PRODUCT(V47,AC7:AC46),0),ROUND(PRODUCT(V47,AC7:AC46),1))</f>
        <v>34882</v>
      </c>
      <c r="W48" s="3458"/>
      <c r="X48" s="385"/>
      <c r="Y48" s="385"/>
      <c r="Z48" s="385"/>
      <c r="AA48" s="385"/>
      <c r="AB48" s="385"/>
      <c r="AC48" s="385"/>
    </row>
    <row r="49" spans="1:29" ht="15.75" thickBot="1">
      <c r="A49" s="427" t="s">
        <v>1710</v>
      </c>
      <c r="B49" s="428"/>
      <c r="C49" s="1084">
        <f>R49</f>
        <v>32834</v>
      </c>
      <c r="D49" s="351"/>
      <c r="E49" s="351"/>
      <c r="F49" s="351"/>
      <c r="G49" s="351"/>
      <c r="H49" s="351"/>
      <c r="I49" s="351"/>
      <c r="J49" s="351"/>
      <c r="K49" s="1768"/>
      <c r="L49" s="2495"/>
      <c r="M49" s="2488"/>
      <c r="N49" s="2488"/>
      <c r="O49" s="2488"/>
      <c r="P49" s="3460" t="str">
        <f>A49</f>
        <v>估价对象XX用房的比较价值（楼面单价，元/平方米）</v>
      </c>
      <c r="Q49" s="3461"/>
      <c r="R49" s="3462">
        <f>IF(F1="售价",ROUND(IF(D48="简单平均",AVERAGE(R48:V48),R48*F48+T48*H48+V48*J48),0),ROUND(IF(D48="简单平均",AVERAGE(R48:V48),R48*F48+T48*H48+V48*J48),1))</f>
        <v>32834</v>
      </c>
      <c r="S49" s="3462"/>
      <c r="T49" s="3462"/>
      <c r="U49" s="3462"/>
      <c r="V49" s="3462"/>
      <c r="W49" s="346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f>IF(E47&lt;E48,E48/E47-1,E47/E48-1)</f>
        <v>6.2928640727978324E-2</v>
      </c>
      <c r="F52" s="435" t="str">
        <f>IF(OR(E52&gt;=0.3,E52&lt;=-0.3),"超过30%","")</f>
        <v/>
      </c>
      <c r="G52" s="434">
        <f>IF(G47&lt;G48,G48/G47-1,G47/G48-1)</f>
        <v>6.2910923472282443E-2</v>
      </c>
      <c r="H52" s="435" t="str">
        <f>IF(OR(G52&gt;=0.3,G52&lt;=-0.3),"超过30%","")</f>
        <v/>
      </c>
      <c r="I52" s="434">
        <f>IF(I47&lt;I48,I48/I47-1,I47/I48-1)</f>
        <v>5.2819026922612533E-2</v>
      </c>
      <c r="J52" s="435" t="str">
        <f>IF(OR(I52&gt;=0.3,I52&lt;=-0.3),"超过30%","")</f>
        <v/>
      </c>
      <c r="K52" s="2500"/>
      <c r="L52" s="2496"/>
      <c r="M52" s="2488"/>
      <c r="N52" s="2488"/>
      <c r="O52" s="2488"/>
    </row>
    <row r="53" spans="1:29" ht="13.5" customHeight="1">
      <c r="A53" s="2488"/>
      <c r="B53" s="2488"/>
      <c r="C53" s="432" t="s">
        <v>1712</v>
      </c>
      <c r="D53" s="436"/>
      <c r="E53" s="434">
        <f>IF(E48&lt;G48,G48/E48-1,E48/G48-1)</f>
        <v>2.392043308573566E-3</v>
      </c>
      <c r="F53" s="435" t="str">
        <f>IF(OR(E53&gt;=0.2,E53&lt;=-0.2),"超过20%","")</f>
        <v/>
      </c>
      <c r="G53" s="434">
        <f>IF(G48&lt;I48,I48/G48-1,G48/I48-1)</f>
        <v>9.5265008791760808E-2</v>
      </c>
      <c r="H53" s="435" t="str">
        <f>IF(OR(G53&gt;=0.2,G53&lt;=-0.2),"超过20%","")</f>
        <v/>
      </c>
      <c r="I53" s="434">
        <f>IF(I48&lt;E48,E48/I48-1,I48/E48-1)</f>
        <v>9.7884930127156045E-2</v>
      </c>
      <c r="J53" s="435" t="str">
        <f>IF(OR(I53&gt;=0.2,I53&lt;=-0.2),"超过20%","")</f>
        <v/>
      </c>
      <c r="K53" s="2500"/>
      <c r="L53" s="2496"/>
      <c r="M53" s="2488"/>
      <c r="N53" s="2488"/>
      <c r="O53" s="2488"/>
    </row>
    <row r="54" spans="1:29" s="437" customFormat="1" ht="13.5" customHeight="1">
      <c r="A54" s="2498"/>
      <c r="B54" s="2498"/>
      <c r="C54" s="432" t="s">
        <v>1713</v>
      </c>
      <c r="D54" s="436"/>
      <c r="E54" s="434">
        <f>IF(E47&lt;G47,G47/E47-1,E47/G47-1)</f>
        <v>2.4087517982001039E-3</v>
      </c>
      <c r="F54" s="435" t="str">
        <f>IF(OR(E54&gt;=0.3,E54&lt;=-0.3),"超过30%","")</f>
        <v/>
      </c>
      <c r="G54" s="434">
        <f>IF(G47&lt;I47,I47/G47-1,G47/I47-1)</f>
        <v>0.10576377532289816</v>
      </c>
      <c r="H54" s="435" t="str">
        <f>IF(OR(G54&gt;=0.3,G54&lt;=-0.3),"超过30%","")</f>
        <v/>
      </c>
      <c r="I54" s="434">
        <f>IF(I47&lt;E47,E47/I47-1,I47/E47-1)</f>
        <v>0.10842728580509187</v>
      </c>
      <c r="J54" s="435" t="str">
        <f>IF(OR(I54&gt;=0.3,I54&lt;=-0.3),"超过30%","")</f>
        <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2"/>
      <c r="C59" s="1102">
        <v>100</v>
      </c>
      <c r="D59" s="445">
        <f>C59</f>
        <v>100</v>
      </c>
      <c r="E59" s="446">
        <f>C59</f>
        <v>100</v>
      </c>
      <c r="F59" s="446">
        <v>100.2</v>
      </c>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t="str">
        <f>C9</f>
        <v>住宅</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1</v>
      </c>
      <c r="D68" s="480">
        <v>3</v>
      </c>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3178" t="s">
        <v>3472</v>
      </c>
      <c r="D88" s="3178" t="s">
        <v>3473</v>
      </c>
      <c r="E88" s="3178" t="s">
        <v>3470</v>
      </c>
      <c r="F88" s="3179" t="s">
        <v>3474</v>
      </c>
      <c r="G88" s="3178" t="s">
        <v>3475</v>
      </c>
      <c r="H88" s="3178" t="s">
        <v>3476</v>
      </c>
      <c r="I88" s="3178" t="s">
        <v>3478</v>
      </c>
      <c r="J88" s="485"/>
      <c r="K88" s="485"/>
      <c r="L88" s="485"/>
      <c r="M88" s="511"/>
      <c r="N88" s="878"/>
      <c r="O88" s="878"/>
      <c r="P88" s="1775"/>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5"/>
      <c r="Q89" s="439"/>
    </row>
    <row r="90" spans="1:17" s="408" customFormat="1" ht="15.75" thickTop="1">
      <c r="A90" s="484"/>
      <c r="B90" s="469" t="str">
        <f>B27</f>
        <v>楼层</v>
      </c>
      <c r="C90" s="3177" t="s">
        <v>3621</v>
      </c>
      <c r="D90" s="3177" t="s">
        <v>3471</v>
      </c>
      <c r="E90" s="3177"/>
      <c r="F90" s="3177" t="s">
        <v>3622</v>
      </c>
      <c r="G90" s="485"/>
      <c r="H90" s="486"/>
      <c r="I90" s="486"/>
      <c r="J90" s="486"/>
      <c r="K90" s="486"/>
      <c r="L90" s="487"/>
      <c r="M90" s="488"/>
      <c r="N90" s="881"/>
      <c r="O90" s="881"/>
      <c r="P90" s="1776"/>
      <c r="Q90" s="490"/>
    </row>
    <row r="91" spans="1:17" s="408" customFormat="1" ht="15.75" thickBot="1">
      <c r="A91" s="484"/>
      <c r="B91" s="474"/>
      <c r="C91" s="491">
        <v>100</v>
      </c>
      <c r="D91" s="491">
        <v>98</v>
      </c>
      <c r="E91" s="491"/>
      <c r="F91" s="491">
        <v>102</v>
      </c>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3181" t="s">
        <v>3489</v>
      </c>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0(含)-45</v>
      </c>
      <c r="D102" s="509" t="str">
        <f t="shared" ref="D102:L102" si="26">D103&amp;"(含)"&amp;"-"&amp;E103</f>
        <v>45(含)-60</v>
      </c>
      <c r="E102" s="509" t="str">
        <f t="shared" si="26"/>
        <v>60(含)-75</v>
      </c>
      <c r="F102" s="509" t="str">
        <f t="shared" si="26"/>
        <v>75(含)-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45</v>
      </c>
      <c r="E103" s="6">
        <v>60</v>
      </c>
      <c r="F103" s="6">
        <v>75</v>
      </c>
      <c r="G103" s="6"/>
      <c r="H103" s="6"/>
      <c r="I103" s="6"/>
      <c r="J103" s="524"/>
      <c r="K103" s="524"/>
      <c r="L103" s="525"/>
      <c r="M103" s="526"/>
      <c r="N103" s="881"/>
      <c r="O103" s="881"/>
      <c r="P103" s="1776"/>
      <c r="Q103" s="490"/>
    </row>
    <row r="104" spans="1:17" s="408" customFormat="1" ht="15.75" thickBot="1">
      <c r="A104" s="484"/>
      <c r="B104" s="474"/>
      <c r="C104" s="491">
        <v>100</v>
      </c>
      <c r="D104" s="467">
        <v>96</v>
      </c>
      <c r="E104" s="467">
        <v>92</v>
      </c>
      <c r="F104" s="467">
        <v>88</v>
      </c>
      <c r="G104" s="467"/>
      <c r="H104" s="467"/>
      <c r="I104" s="467"/>
      <c r="J104" s="467"/>
      <c r="K104" s="467"/>
      <c r="L104" s="467"/>
      <c r="M104" s="467"/>
      <c r="N104" s="880"/>
      <c r="O104" s="880"/>
      <c r="P104" s="1776"/>
      <c r="Q104" s="490"/>
    </row>
    <row r="105" spans="1:17" ht="15" thickTop="1">
      <c r="A105" s="409"/>
      <c r="B105" s="469" t="s">
        <v>1738</v>
      </c>
      <c r="C105" s="3178" t="s">
        <v>3480</v>
      </c>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3178" t="s">
        <v>3482</v>
      </c>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3178" t="s">
        <v>3483</v>
      </c>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3180" t="s">
        <v>3484</v>
      </c>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78" t="s">
        <v>3485</v>
      </c>
      <c r="D122" s="3178" t="s">
        <v>3487</v>
      </c>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97</v>
      </c>
      <c r="E123" s="475">
        <f t="shared" si="32"/>
        <v>94</v>
      </c>
      <c r="F123" s="475">
        <f t="shared" si="32"/>
        <v>91</v>
      </c>
      <c r="G123" s="475">
        <f t="shared" si="32"/>
        <v>88</v>
      </c>
      <c r="H123" s="475">
        <f t="shared" si="32"/>
        <v>85</v>
      </c>
      <c r="I123" s="475">
        <f t="shared" si="32"/>
        <v>82</v>
      </c>
      <c r="J123" s="475">
        <f t="shared" si="32"/>
        <v>79</v>
      </c>
      <c r="K123" s="475">
        <f t="shared" si="32"/>
        <v>76</v>
      </c>
      <c r="L123" s="475">
        <f t="shared" si="32"/>
        <v>73</v>
      </c>
      <c r="M123" s="475">
        <f t="shared" si="32"/>
        <v>70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53.77</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46" t="s">
        <v>1770</v>
      </c>
      <c r="D4" s="3447"/>
      <c r="E4" s="3448" t="s">
        <v>1771</v>
      </c>
      <c r="F4" s="3449"/>
      <c r="G4" s="3446" t="s">
        <v>1772</v>
      </c>
      <c r="H4" s="3447"/>
      <c r="I4" s="3446" t="s">
        <v>1773</v>
      </c>
      <c r="J4" s="3447"/>
      <c r="K4" s="537" t="s">
        <v>1774</v>
      </c>
      <c r="L4" s="2487"/>
      <c r="M4" s="2488"/>
      <c r="N4" s="2488"/>
      <c r="O4" s="2488"/>
      <c r="P4" s="3450" t="s">
        <v>1775</v>
      </c>
      <c r="Q4" s="3451"/>
      <c r="R4" s="3432" t="s">
        <v>1771</v>
      </c>
      <c r="S4" s="3433"/>
      <c r="T4" s="3432" t="s">
        <v>1772</v>
      </c>
      <c r="U4" s="3433"/>
      <c r="V4" s="3458" t="s">
        <v>1773</v>
      </c>
      <c r="W4" s="3458"/>
      <c r="X4" s="1265"/>
      <c r="Y4" s="3432" t="s">
        <v>1775</v>
      </c>
      <c r="Z4" s="3433"/>
      <c r="AA4" s="3427" t="s">
        <v>1771</v>
      </c>
      <c r="AB4" s="3458" t="s">
        <v>1772</v>
      </c>
      <c r="AC4" s="3427" t="s">
        <v>1773</v>
      </c>
    </row>
    <row r="5" spans="1:29" ht="15">
      <c r="A5" s="348"/>
      <c r="B5" s="349"/>
      <c r="C5" s="3442" t="s">
        <v>1673</v>
      </c>
      <c r="D5" s="3439"/>
      <c r="E5" s="3436" t="s">
        <v>1674</v>
      </c>
      <c r="F5" s="3437"/>
      <c r="G5" s="3442" t="s">
        <v>1675</v>
      </c>
      <c r="H5" s="3439"/>
      <c r="I5" s="3442" t="s">
        <v>1676</v>
      </c>
      <c r="J5" s="3439"/>
      <c r="K5" s="537"/>
      <c r="L5" s="2487"/>
      <c r="M5" s="2488"/>
      <c r="N5" s="2488"/>
      <c r="O5" s="2488"/>
      <c r="P5" s="3452"/>
      <c r="Q5" s="3453"/>
      <c r="R5" s="3434"/>
      <c r="S5" s="3435"/>
      <c r="T5" s="3434"/>
      <c r="U5" s="3435"/>
      <c r="V5" s="3458"/>
      <c r="W5" s="3458"/>
      <c r="X5" s="1265"/>
      <c r="Y5" s="3434"/>
      <c r="Z5" s="3435"/>
      <c r="AA5" s="3428"/>
      <c r="AB5" s="3458"/>
      <c r="AC5" s="3428"/>
    </row>
    <row r="6" spans="1:29" ht="15.75" thickBot="1">
      <c r="A6" s="350"/>
      <c r="B6" s="351"/>
      <c r="C6" s="3440" t="s">
        <v>1677</v>
      </c>
      <c r="D6" s="3441"/>
      <c r="E6" s="3473" t="s">
        <v>1677</v>
      </c>
      <c r="F6" s="3444"/>
      <c r="G6" s="3440" t="s">
        <v>1677</v>
      </c>
      <c r="H6" s="3441"/>
      <c r="I6" s="3440" t="s">
        <v>1677</v>
      </c>
      <c r="J6" s="3441"/>
      <c r="K6" s="537" t="s">
        <v>1678</v>
      </c>
      <c r="L6" s="2487"/>
      <c r="M6" s="2488"/>
      <c r="N6" s="2488"/>
      <c r="O6" s="2488"/>
      <c r="P6" s="3454"/>
      <c r="Q6" s="3455"/>
      <c r="R6" s="3434"/>
      <c r="S6" s="3435"/>
      <c r="T6" s="3456"/>
      <c r="U6" s="3457"/>
      <c r="V6" s="3458"/>
      <c r="W6" s="3458"/>
      <c r="X6" s="1265"/>
      <c r="Y6" s="3456"/>
      <c r="Z6" s="3457"/>
      <c r="AA6" s="3429"/>
      <c r="AB6" s="3458"/>
      <c r="AC6" s="3429"/>
    </row>
    <row r="7" spans="1:29" s="102" customFormat="1" ht="15.75" thickBot="1">
      <c r="A7" s="352" t="s">
        <v>1679</v>
      </c>
      <c r="B7" s="353"/>
      <c r="C7" s="354">
        <f>'数据-取费表'!B2</f>
        <v>46016</v>
      </c>
      <c r="D7" s="355">
        <v>100</v>
      </c>
      <c r="E7" s="356"/>
      <c r="F7" s="357">
        <f>SUMIF(58:58,YEAR(E7)&amp;"-"&amp;MONTH(E7),59:59)</f>
        <v>0</v>
      </c>
      <c r="G7" s="356"/>
      <c r="H7" s="355">
        <f>SUMIF(58:58,YEAR(G7)&amp;"-"&amp;MONTH(G7),59:59)</f>
        <v>0</v>
      </c>
      <c r="I7" s="356"/>
      <c r="J7" s="355">
        <f>SUMIF(58:58,YEAR(I7)&amp;"-"&amp;MONTH(I7),59:59)</f>
        <v>0</v>
      </c>
      <c r="K7" s="38"/>
      <c r="L7" s="2489"/>
      <c r="M7" s="2440"/>
      <c r="N7" s="2440"/>
      <c r="O7" s="2440"/>
      <c r="P7" s="3430" t="s">
        <v>1680</v>
      </c>
      <c r="Q7" s="3459"/>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30" t="s">
        <v>1683</v>
      </c>
      <c r="Q8" s="3431"/>
      <c r="R8" s="664" t="s">
        <v>14</v>
      </c>
      <c r="S8" s="665">
        <f t="shared" si="0"/>
        <v>100</v>
      </c>
      <c r="T8" s="664" t="s">
        <v>14</v>
      </c>
      <c r="U8" s="665">
        <f t="shared" si="1"/>
        <v>100</v>
      </c>
      <c r="V8" s="664" t="s">
        <v>14</v>
      </c>
      <c r="W8" s="665">
        <f t="shared" si="2"/>
        <v>100</v>
      </c>
      <c r="X8" s="666"/>
      <c r="Y8" s="3430" t="s">
        <v>1683</v>
      </c>
      <c r="Z8" s="343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45" t="s">
        <v>1686</v>
      </c>
      <c r="Q9" s="530" t="str">
        <f t="shared" ref="Q9:Q15" si="6">B9</f>
        <v>用途</v>
      </c>
      <c r="R9" s="664" t="s">
        <v>14</v>
      </c>
      <c r="S9" s="665">
        <f t="shared" si="0"/>
        <v>100</v>
      </c>
      <c r="T9" s="664" t="s">
        <v>14</v>
      </c>
      <c r="U9" s="665">
        <f t="shared" si="1"/>
        <v>100</v>
      </c>
      <c r="V9" s="664" t="s">
        <v>14</v>
      </c>
      <c r="W9" s="665">
        <f t="shared" si="2"/>
        <v>100</v>
      </c>
      <c r="X9" s="666"/>
      <c r="Y9" s="335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45"/>
      <c r="Q10" s="530" t="str">
        <f t="shared" si="6"/>
        <v>土地使用年限（年）</v>
      </c>
      <c r="R10" s="664" t="s">
        <v>14</v>
      </c>
      <c r="S10" s="665">
        <f t="shared" si="0"/>
        <v>100</v>
      </c>
      <c r="T10" s="664" t="s">
        <v>14</v>
      </c>
      <c r="U10" s="665">
        <f t="shared" si="1"/>
        <v>100</v>
      </c>
      <c r="V10" s="664" t="s">
        <v>14</v>
      </c>
      <c r="W10" s="665">
        <f t="shared" si="2"/>
        <v>100</v>
      </c>
      <c r="X10" s="666"/>
      <c r="Y10" s="33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45"/>
      <c r="Q11" s="530" t="str">
        <f t="shared" si="6"/>
        <v>容积率</v>
      </c>
      <c r="R11" s="664" t="s">
        <v>14</v>
      </c>
      <c r="S11" s="665" t="e">
        <f t="shared" si="0"/>
        <v>#N/A</v>
      </c>
      <c r="T11" s="664" t="s">
        <v>14</v>
      </c>
      <c r="U11" s="665" t="e">
        <f t="shared" si="1"/>
        <v>#N/A</v>
      </c>
      <c r="V11" s="664" t="s">
        <v>14</v>
      </c>
      <c r="W11" s="665" t="e">
        <f t="shared" si="2"/>
        <v>#N/A</v>
      </c>
      <c r="X11" s="666"/>
      <c r="Y11" s="335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45"/>
      <c r="Q12" s="530">
        <f t="shared" si="6"/>
        <v>111</v>
      </c>
      <c r="R12" s="664" t="s">
        <v>14</v>
      </c>
      <c r="S12" s="665">
        <f t="shared" si="0"/>
        <v>100</v>
      </c>
      <c r="T12" s="664" t="s">
        <v>14</v>
      </c>
      <c r="U12" s="665">
        <f t="shared" si="1"/>
        <v>100</v>
      </c>
      <c r="V12" s="664" t="s">
        <v>14</v>
      </c>
      <c r="W12" s="665">
        <f t="shared" si="2"/>
        <v>100</v>
      </c>
      <c r="X12" s="666"/>
      <c r="Y12" s="33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45"/>
      <c r="Q13" s="530">
        <f t="shared" si="6"/>
        <v>111</v>
      </c>
      <c r="R13" s="664" t="s">
        <v>14</v>
      </c>
      <c r="S13" s="665">
        <f t="shared" si="0"/>
        <v>100</v>
      </c>
      <c r="T13" s="664" t="s">
        <v>14</v>
      </c>
      <c r="U13" s="665">
        <f t="shared" si="1"/>
        <v>100</v>
      </c>
      <c r="V13" s="664" t="s">
        <v>14</v>
      </c>
      <c r="W13" s="665">
        <f t="shared" si="2"/>
        <v>100</v>
      </c>
      <c r="X13" s="666"/>
      <c r="Y13" s="3355"/>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45"/>
      <c r="Q14" s="530">
        <f t="shared" si="6"/>
        <v>111</v>
      </c>
      <c r="R14" s="664" t="s">
        <v>14</v>
      </c>
      <c r="S14" s="665">
        <f t="shared" si="0"/>
        <v>100</v>
      </c>
      <c r="T14" s="664" t="s">
        <v>14</v>
      </c>
      <c r="U14" s="665">
        <f t="shared" si="1"/>
        <v>100</v>
      </c>
      <c r="V14" s="664" t="s">
        <v>14</v>
      </c>
      <c r="W14" s="665">
        <f t="shared" si="2"/>
        <v>100</v>
      </c>
      <c r="X14" s="666"/>
      <c r="Y14" s="3355"/>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71" t="s">
        <v>1691</v>
      </c>
      <c r="Q15" s="1263" t="str">
        <f t="shared" si="6"/>
        <v>商业繁华度</v>
      </c>
      <c r="R15" s="667" t="s">
        <v>14</v>
      </c>
      <c r="S15" s="668">
        <f t="shared" si="0"/>
        <v>100</v>
      </c>
      <c r="T15" s="667" t="s">
        <v>14</v>
      </c>
      <c r="U15" s="668">
        <f t="shared" si="1"/>
        <v>100</v>
      </c>
      <c r="V15" s="667" t="s">
        <v>14</v>
      </c>
      <c r="W15" s="668">
        <f t="shared" si="2"/>
        <v>100</v>
      </c>
      <c r="X15" s="1265"/>
      <c r="Y15" s="346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72"/>
      <c r="Q16" s="1263"/>
      <c r="R16" s="667"/>
      <c r="S16" s="668"/>
      <c r="T16" s="667"/>
      <c r="U16" s="668"/>
      <c r="V16" s="667"/>
      <c r="W16" s="668"/>
      <c r="X16" s="1265"/>
      <c r="Y16" s="3465"/>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72"/>
      <c r="Q17" s="1263" t="str">
        <f>B17</f>
        <v>交通便捷度</v>
      </c>
      <c r="R17" s="667" t="s">
        <v>14</v>
      </c>
      <c r="S17" s="668">
        <f>F17</f>
        <v>100</v>
      </c>
      <c r="T17" s="667" t="s">
        <v>14</v>
      </c>
      <c r="U17" s="668">
        <f>H17</f>
        <v>100</v>
      </c>
      <c r="V17" s="667" t="s">
        <v>14</v>
      </c>
      <c r="W17" s="668">
        <f>J17</f>
        <v>100</v>
      </c>
      <c r="X17" s="1265"/>
      <c r="Y17" s="346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72"/>
      <c r="Q18" s="1263"/>
      <c r="R18" s="667"/>
      <c r="S18" s="668"/>
      <c r="T18" s="667"/>
      <c r="U18" s="668"/>
      <c r="V18" s="667"/>
      <c r="W18" s="668"/>
      <c r="X18" s="1265"/>
      <c r="Y18" s="3465"/>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72"/>
      <c r="Q19" s="1263" t="str">
        <f>B19</f>
        <v>公共配套设施</v>
      </c>
      <c r="R19" s="667" t="s">
        <v>14</v>
      </c>
      <c r="S19" s="668">
        <f>F19</f>
        <v>100</v>
      </c>
      <c r="T19" s="667" t="s">
        <v>14</v>
      </c>
      <c r="U19" s="668">
        <f>H19</f>
        <v>100</v>
      </c>
      <c r="V19" s="667" t="s">
        <v>14</v>
      </c>
      <c r="W19" s="668">
        <f>J19</f>
        <v>100</v>
      </c>
      <c r="X19" s="1265"/>
      <c r="Y19" s="346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72"/>
      <c r="Q20" s="1263"/>
      <c r="R20" s="667"/>
      <c r="S20" s="668"/>
      <c r="T20" s="667"/>
      <c r="U20" s="668"/>
      <c r="V20" s="667"/>
      <c r="W20" s="668"/>
      <c r="X20" s="1265"/>
      <c r="Y20" s="346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72"/>
      <c r="Q21" s="1263" t="str">
        <f>B21</f>
        <v>基础设施水平</v>
      </c>
      <c r="R21" s="667" t="s">
        <v>14</v>
      </c>
      <c r="S21" s="668">
        <f>F21</f>
        <v>100</v>
      </c>
      <c r="T21" s="667" t="s">
        <v>14</v>
      </c>
      <c r="U21" s="668">
        <f>H21</f>
        <v>100</v>
      </c>
      <c r="V21" s="667" t="s">
        <v>14</v>
      </c>
      <c r="W21" s="668">
        <f>J21</f>
        <v>100</v>
      </c>
      <c r="X21" s="1265"/>
      <c r="Y21" s="346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72"/>
      <c r="Q22" s="1263"/>
      <c r="R22" s="667"/>
      <c r="S22" s="668"/>
      <c r="T22" s="667"/>
      <c r="U22" s="668"/>
      <c r="V22" s="667"/>
      <c r="W22" s="668"/>
      <c r="X22" s="1265"/>
      <c r="Y22" s="3465"/>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72"/>
      <c r="Q23" s="1263" t="str">
        <f>B23</f>
        <v>自然及人文环境</v>
      </c>
      <c r="R23" s="667" t="s">
        <v>14</v>
      </c>
      <c r="S23" s="668">
        <f>F23</f>
        <v>100</v>
      </c>
      <c r="T23" s="667" t="s">
        <v>14</v>
      </c>
      <c r="U23" s="668">
        <f>H23</f>
        <v>100</v>
      </c>
      <c r="V23" s="667" t="s">
        <v>14</v>
      </c>
      <c r="W23" s="668">
        <f>J23</f>
        <v>100</v>
      </c>
      <c r="X23" s="1265"/>
      <c r="Y23" s="346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72"/>
      <c r="Q24" s="1263"/>
      <c r="R24" s="667"/>
      <c r="S24" s="668"/>
      <c r="T24" s="667"/>
      <c r="U24" s="668"/>
      <c r="V24" s="667"/>
      <c r="W24" s="668"/>
      <c r="X24" s="1265"/>
      <c r="Y24" s="346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72"/>
      <c r="Q25" s="1263" t="str">
        <f t="shared" ref="Q25:Q46" si="11">B25</f>
        <v>临街状况</v>
      </c>
      <c r="R25" s="667" t="s">
        <v>14</v>
      </c>
      <c r="S25" s="668">
        <f>F25</f>
        <v>100</v>
      </c>
      <c r="T25" s="667" t="s">
        <v>14</v>
      </c>
      <c r="U25" s="668">
        <f>H25</f>
        <v>100</v>
      </c>
      <c r="V25" s="667" t="s">
        <v>14</v>
      </c>
      <c r="W25" s="668">
        <f>J25</f>
        <v>100</v>
      </c>
      <c r="X25" s="1265"/>
      <c r="Y25" s="346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72"/>
      <c r="Q26" s="1263" t="str">
        <f t="shared" si="11"/>
        <v>平面位置/可视性</v>
      </c>
      <c r="R26" s="667" t="s">
        <v>14</v>
      </c>
      <c r="S26" s="668">
        <f>F26</f>
        <v>100</v>
      </c>
      <c r="T26" s="667" t="s">
        <v>14</v>
      </c>
      <c r="U26" s="668">
        <f>H26</f>
        <v>100</v>
      </c>
      <c r="V26" s="667" t="s">
        <v>14</v>
      </c>
      <c r="W26" s="668">
        <f>J26</f>
        <v>100</v>
      </c>
      <c r="X26" s="1265"/>
      <c r="Y26" s="346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72"/>
      <c r="Q27" s="530" t="str">
        <f t="shared" si="11"/>
        <v>人流量</v>
      </c>
      <c r="R27" s="664" t="s">
        <v>14</v>
      </c>
      <c r="S27" s="665">
        <f>F27</f>
        <v>100</v>
      </c>
      <c r="T27" s="664" t="s">
        <v>14</v>
      </c>
      <c r="U27" s="665">
        <f>H27</f>
        <v>100</v>
      </c>
      <c r="V27" s="664" t="s">
        <v>14</v>
      </c>
      <c r="W27" s="665">
        <f>J27</f>
        <v>100</v>
      </c>
      <c r="X27" s="666"/>
      <c r="Y27" s="346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7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6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72"/>
      <c r="Q29" s="1263">
        <f t="shared" si="11"/>
        <v>111</v>
      </c>
      <c r="R29" s="667" t="s">
        <v>14</v>
      </c>
      <c r="S29" s="668">
        <f t="shared" si="12"/>
        <v>100</v>
      </c>
      <c r="T29" s="667" t="s">
        <v>14</v>
      </c>
      <c r="U29" s="668">
        <f t="shared" si="13"/>
        <v>100</v>
      </c>
      <c r="V29" s="667" t="s">
        <v>14</v>
      </c>
      <c r="W29" s="668">
        <f t="shared" si="14"/>
        <v>100</v>
      </c>
      <c r="X29" s="1265"/>
      <c r="Y29" s="346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72"/>
      <c r="Q30" s="1263">
        <f t="shared" si="11"/>
        <v>111</v>
      </c>
      <c r="R30" s="667" t="s">
        <v>14</v>
      </c>
      <c r="S30" s="668">
        <f t="shared" si="12"/>
        <v>100</v>
      </c>
      <c r="T30" s="667" t="s">
        <v>14</v>
      </c>
      <c r="U30" s="668">
        <f t="shared" si="13"/>
        <v>100</v>
      </c>
      <c r="V30" s="667" t="s">
        <v>14</v>
      </c>
      <c r="W30" s="668">
        <f t="shared" si="14"/>
        <v>100</v>
      </c>
      <c r="X30" s="1265"/>
      <c r="Y30" s="346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72"/>
      <c r="Q31" s="1263">
        <f t="shared" si="11"/>
        <v>111</v>
      </c>
      <c r="R31" s="667" t="s">
        <v>14</v>
      </c>
      <c r="S31" s="668">
        <f t="shared" si="12"/>
        <v>100</v>
      </c>
      <c r="T31" s="667" t="s">
        <v>14</v>
      </c>
      <c r="U31" s="668">
        <f t="shared" si="13"/>
        <v>100</v>
      </c>
      <c r="V31" s="667" t="s">
        <v>14</v>
      </c>
      <c r="W31" s="668">
        <f t="shared" si="14"/>
        <v>100</v>
      </c>
      <c r="X31" s="1265"/>
      <c r="Y31" s="346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66" t="s">
        <v>1696</v>
      </c>
      <c r="Q32" s="1263" t="str">
        <f t="shared" si="11"/>
        <v>商业类型</v>
      </c>
      <c r="R32" s="667" t="s">
        <v>14</v>
      </c>
      <c r="S32" s="668">
        <f t="shared" si="12"/>
        <v>100</v>
      </c>
      <c r="T32" s="667" t="s">
        <v>14</v>
      </c>
      <c r="U32" s="668">
        <f t="shared" si="13"/>
        <v>100</v>
      </c>
      <c r="V32" s="667" t="s">
        <v>14</v>
      </c>
      <c r="W32" s="668">
        <f t="shared" si="14"/>
        <v>100</v>
      </c>
      <c r="X32" s="1265"/>
      <c r="Y32" s="346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67"/>
      <c r="Q33" s="531" t="str">
        <f t="shared" si="11"/>
        <v>项目建筑规模</v>
      </c>
      <c r="R33" s="669" t="s">
        <v>14</v>
      </c>
      <c r="S33" s="670" t="e">
        <f t="shared" si="12"/>
        <v>#N/A</v>
      </c>
      <c r="T33" s="669" t="s">
        <v>14</v>
      </c>
      <c r="U33" s="670" t="e">
        <f t="shared" si="13"/>
        <v>#N/A</v>
      </c>
      <c r="V33" s="669" t="s">
        <v>14</v>
      </c>
      <c r="W33" s="670" t="e">
        <f t="shared" si="14"/>
        <v>#N/A</v>
      </c>
      <c r="X33" s="671"/>
      <c r="Y33" s="346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67"/>
      <c r="Q34" s="1263" t="str">
        <f t="shared" si="11"/>
        <v>建筑结构</v>
      </c>
      <c r="R34" s="667" t="s">
        <v>14</v>
      </c>
      <c r="S34" s="668">
        <f t="shared" si="12"/>
        <v>100</v>
      </c>
      <c r="T34" s="667" t="s">
        <v>14</v>
      </c>
      <c r="U34" s="668">
        <f t="shared" si="13"/>
        <v>100</v>
      </c>
      <c r="V34" s="667" t="s">
        <v>14</v>
      </c>
      <c r="W34" s="668">
        <f t="shared" si="14"/>
        <v>100</v>
      </c>
      <c r="X34" s="1265"/>
      <c r="Y34" s="346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67"/>
      <c r="Q35" s="1263" t="str">
        <f t="shared" si="11"/>
        <v>公共部分装修</v>
      </c>
      <c r="R35" s="667" t="s">
        <v>14</v>
      </c>
      <c r="S35" s="668">
        <f t="shared" si="12"/>
        <v>100</v>
      </c>
      <c r="T35" s="667" t="s">
        <v>14</v>
      </c>
      <c r="U35" s="668">
        <f t="shared" si="13"/>
        <v>100</v>
      </c>
      <c r="V35" s="667" t="s">
        <v>14</v>
      </c>
      <c r="W35" s="668">
        <f t="shared" si="14"/>
        <v>100</v>
      </c>
      <c r="X35" s="1265"/>
      <c r="Y35" s="346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67"/>
      <c r="Q36" s="1263" t="str">
        <f t="shared" si="11"/>
        <v>成新度</v>
      </c>
      <c r="R36" s="667" t="s">
        <v>14</v>
      </c>
      <c r="S36" s="668" t="e">
        <f t="shared" si="12"/>
        <v>#N/A</v>
      </c>
      <c r="T36" s="667" t="s">
        <v>14</v>
      </c>
      <c r="U36" s="668" t="e">
        <f t="shared" si="13"/>
        <v>#N/A</v>
      </c>
      <c r="V36" s="667" t="s">
        <v>14</v>
      </c>
      <c r="W36" s="668" t="e">
        <f t="shared" si="14"/>
        <v>#N/A</v>
      </c>
      <c r="X36" s="1265"/>
      <c r="Y36" s="346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67"/>
      <c r="Q37" s="530" t="str">
        <f t="shared" si="11"/>
        <v>市政基础设施</v>
      </c>
      <c r="R37" s="664" t="s">
        <v>14</v>
      </c>
      <c r="S37" s="665">
        <f t="shared" si="12"/>
        <v>100</v>
      </c>
      <c r="T37" s="664" t="s">
        <v>14</v>
      </c>
      <c r="U37" s="665">
        <f t="shared" si="13"/>
        <v>100</v>
      </c>
      <c r="V37" s="664" t="s">
        <v>14</v>
      </c>
      <c r="W37" s="665">
        <f t="shared" si="14"/>
        <v>100</v>
      </c>
      <c r="X37" s="666"/>
      <c r="Y37" s="346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67" t="s">
        <v>1696</v>
      </c>
      <c r="Q38" s="1263" t="str">
        <f t="shared" si="11"/>
        <v>业态</v>
      </c>
      <c r="R38" s="667" t="s">
        <v>14</v>
      </c>
      <c r="S38" s="668">
        <f t="shared" si="12"/>
        <v>100</v>
      </c>
      <c r="T38" s="667" t="s">
        <v>14</v>
      </c>
      <c r="U38" s="668">
        <f t="shared" si="13"/>
        <v>100</v>
      </c>
      <c r="V38" s="667" t="s">
        <v>14</v>
      </c>
      <c r="W38" s="668">
        <f t="shared" si="14"/>
        <v>100</v>
      </c>
      <c r="X38" s="1265"/>
      <c r="Y38" s="346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67"/>
      <c r="Q39" s="1263" t="str">
        <f t="shared" si="11"/>
        <v>层高</v>
      </c>
      <c r="R39" s="667" t="s">
        <v>14</v>
      </c>
      <c r="S39" s="668">
        <f t="shared" si="12"/>
        <v>100</v>
      </c>
      <c r="T39" s="667" t="s">
        <v>14</v>
      </c>
      <c r="U39" s="668">
        <f t="shared" si="13"/>
        <v>100</v>
      </c>
      <c r="V39" s="667" t="s">
        <v>14</v>
      </c>
      <c r="W39" s="668">
        <f t="shared" si="14"/>
        <v>100</v>
      </c>
      <c r="X39" s="1265"/>
      <c r="Y39" s="346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67"/>
      <c r="Q40" s="1263" t="str">
        <f t="shared" si="11"/>
        <v>单套建筑面积</v>
      </c>
      <c r="R40" s="667" t="s">
        <v>14</v>
      </c>
      <c r="S40" s="668">
        <f t="shared" si="12"/>
        <v>100</v>
      </c>
      <c r="T40" s="667" t="s">
        <v>14</v>
      </c>
      <c r="U40" s="668">
        <f t="shared" si="13"/>
        <v>100</v>
      </c>
      <c r="V40" s="667" t="s">
        <v>14</v>
      </c>
      <c r="W40" s="668">
        <f t="shared" si="14"/>
        <v>100</v>
      </c>
      <c r="X40" s="1265"/>
      <c r="Y40" s="346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67"/>
      <c r="Q41" s="531" t="str">
        <f t="shared" si="11"/>
        <v>进深比</v>
      </c>
      <c r="R41" s="669" t="s">
        <v>14</v>
      </c>
      <c r="S41" s="670">
        <f t="shared" si="12"/>
        <v>100</v>
      </c>
      <c r="T41" s="669" t="s">
        <v>14</v>
      </c>
      <c r="U41" s="670">
        <f t="shared" si="13"/>
        <v>100</v>
      </c>
      <c r="V41" s="669" t="s">
        <v>14</v>
      </c>
      <c r="W41" s="670">
        <f t="shared" si="14"/>
        <v>100</v>
      </c>
      <c r="X41" s="671"/>
      <c r="Y41" s="346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67"/>
      <c r="Q42" s="1263" t="str">
        <f t="shared" si="11"/>
        <v>内部装修</v>
      </c>
      <c r="R42" s="667" t="s">
        <v>14</v>
      </c>
      <c r="S42" s="668">
        <f t="shared" si="12"/>
        <v>100</v>
      </c>
      <c r="T42" s="667" t="s">
        <v>14</v>
      </c>
      <c r="U42" s="668">
        <f t="shared" si="13"/>
        <v>100</v>
      </c>
      <c r="V42" s="667" t="s">
        <v>14</v>
      </c>
      <c r="W42" s="668">
        <f t="shared" si="14"/>
        <v>100</v>
      </c>
      <c r="X42" s="1265"/>
      <c r="Y42" s="346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67"/>
      <c r="Q43" s="1263" t="str">
        <f t="shared" si="11"/>
        <v>内部装修维护情况</v>
      </c>
      <c r="R43" s="667" t="s">
        <v>14</v>
      </c>
      <c r="S43" s="668">
        <f t="shared" si="12"/>
        <v>100</v>
      </c>
      <c r="T43" s="667" t="s">
        <v>14</v>
      </c>
      <c r="U43" s="668">
        <f t="shared" si="13"/>
        <v>100</v>
      </c>
      <c r="V43" s="667" t="s">
        <v>14</v>
      </c>
      <c r="W43" s="668">
        <f t="shared" si="14"/>
        <v>100</v>
      </c>
      <c r="X43" s="1265"/>
      <c r="Y43" s="346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67"/>
      <c r="Q44" s="530">
        <f t="shared" si="11"/>
        <v>111</v>
      </c>
      <c r="R44" s="664" t="s">
        <v>14</v>
      </c>
      <c r="S44" s="665">
        <f t="shared" si="12"/>
        <v>100</v>
      </c>
      <c r="T44" s="664" t="s">
        <v>14</v>
      </c>
      <c r="U44" s="665">
        <f t="shared" si="13"/>
        <v>100</v>
      </c>
      <c r="V44" s="664" t="s">
        <v>14</v>
      </c>
      <c r="W44" s="665">
        <f t="shared" si="14"/>
        <v>100</v>
      </c>
      <c r="X44" s="666"/>
      <c r="Y44" s="346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67"/>
      <c r="Q45" s="1263">
        <f t="shared" si="11"/>
        <v>111</v>
      </c>
      <c r="R45" s="667" t="s">
        <v>14</v>
      </c>
      <c r="S45" s="668">
        <f t="shared" si="12"/>
        <v>100</v>
      </c>
      <c r="T45" s="667" t="s">
        <v>14</v>
      </c>
      <c r="U45" s="668">
        <f t="shared" si="13"/>
        <v>100</v>
      </c>
      <c r="V45" s="667" t="s">
        <v>14</v>
      </c>
      <c r="W45" s="668">
        <f t="shared" si="14"/>
        <v>100</v>
      </c>
      <c r="X45" s="1265"/>
      <c r="Y45" s="346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68"/>
      <c r="Q46" s="1263">
        <f t="shared" si="11"/>
        <v>111</v>
      </c>
      <c r="R46" s="667" t="s">
        <v>14</v>
      </c>
      <c r="S46" s="668">
        <f t="shared" si="12"/>
        <v>100</v>
      </c>
      <c r="T46" s="667" t="s">
        <v>14</v>
      </c>
      <c r="U46" s="668">
        <f t="shared" si="13"/>
        <v>100</v>
      </c>
      <c r="V46" s="667" t="s">
        <v>14</v>
      </c>
      <c r="W46" s="668">
        <f t="shared" si="14"/>
        <v>100</v>
      </c>
      <c r="X46" s="1265"/>
      <c r="Y46" s="347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63" t="str">
        <f>A47</f>
        <v>成交单价（元/平方米）</v>
      </c>
      <c r="Q47" s="3463"/>
      <c r="R47" s="3458">
        <f>E47</f>
        <v>0</v>
      </c>
      <c r="S47" s="3458"/>
      <c r="T47" s="3458">
        <f>G47</f>
        <v>0</v>
      </c>
      <c r="U47" s="3458"/>
      <c r="V47" s="3458">
        <f>I47</f>
        <v>0</v>
      </c>
      <c r="W47" s="3458"/>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63" t="str">
        <f>A48</f>
        <v>比较价值（元/平方米）</v>
      </c>
      <c r="Q48" s="3463"/>
      <c r="R48" s="3458" t="e">
        <f>IF(F1="售价",ROUND(PRODUCT(R47,AA7:AA46),0),ROUND(PRODUCT(R47,AA7:AA46),1))</f>
        <v>#DIV/0!</v>
      </c>
      <c r="S48" s="3458"/>
      <c r="T48" s="3458" t="e">
        <f>IF(F1="售价",ROUND(PRODUCT(T47,AB7:AB46),0),ROUND(PRODUCT(T47,AB7:AB46),1))</f>
        <v>#DIV/0!</v>
      </c>
      <c r="U48" s="3458"/>
      <c r="V48" s="3458" t="e">
        <f>IF(F1="售价",ROUND(PRODUCT(V47,AC7:AC46),0),ROUND(PRODUCT(V47,AC7:AC46),1))</f>
        <v>#DIV/0!</v>
      </c>
      <c r="W48" s="345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60" t="str">
        <f>A49</f>
        <v>估价对象XX用房的比较价值（楼面单价，元/平方米）</v>
      </c>
      <c r="Q49" s="3461"/>
      <c r="R49" s="3462" t="e">
        <f>IF(F1="售价",ROUND(IF(D48="简单平均",AVERAGE(R48:V48),R48*F48+T48*H48+V48*J48),0),ROUND(IF(D48="简单平均",AVERAGE(R48:V48),R48*F48+T48*H48+V48*J48),1))</f>
        <v>#DIV/0!</v>
      </c>
      <c r="S49" s="3462"/>
      <c r="T49" s="3462"/>
      <c r="U49" s="3462"/>
      <c r="V49" s="3462"/>
      <c r="W49" s="346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53.77</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46" t="s">
        <v>1770</v>
      </c>
      <c r="D4" s="3447"/>
      <c r="E4" s="3448" t="s">
        <v>1771</v>
      </c>
      <c r="F4" s="3449"/>
      <c r="G4" s="3446" t="s">
        <v>1772</v>
      </c>
      <c r="H4" s="3447"/>
      <c r="I4" s="3446" t="s">
        <v>1773</v>
      </c>
      <c r="J4" s="3447"/>
      <c r="K4" s="537" t="s">
        <v>1774</v>
      </c>
      <c r="L4" s="2487"/>
      <c r="M4" s="2488"/>
      <c r="N4" s="2488"/>
      <c r="O4" s="2488"/>
      <c r="P4" s="3480" t="s">
        <v>1775</v>
      </c>
      <c r="Q4" s="3481"/>
      <c r="R4" s="3475" t="s">
        <v>1771</v>
      </c>
      <c r="S4" s="3476"/>
      <c r="T4" s="3475" t="s">
        <v>1772</v>
      </c>
      <c r="U4" s="3476"/>
      <c r="V4" s="3484" t="s">
        <v>1773</v>
      </c>
      <c r="W4" s="3484"/>
      <c r="X4" s="1809"/>
      <c r="Y4" s="3475" t="s">
        <v>1775</v>
      </c>
      <c r="Z4" s="3476"/>
      <c r="AA4" s="3474" t="s">
        <v>1771</v>
      </c>
      <c r="AB4" s="3474" t="s">
        <v>1772</v>
      </c>
      <c r="AC4" s="3477" t="s">
        <v>1773</v>
      </c>
    </row>
    <row r="5" spans="1:29" ht="15">
      <c r="A5" s="348"/>
      <c r="B5" s="349"/>
      <c r="C5" s="3442" t="s">
        <v>1673</v>
      </c>
      <c r="D5" s="3439"/>
      <c r="E5" s="3436" t="s">
        <v>1674</v>
      </c>
      <c r="F5" s="3437"/>
      <c r="G5" s="3442" t="s">
        <v>1675</v>
      </c>
      <c r="H5" s="3439"/>
      <c r="I5" s="3442" t="s">
        <v>1676</v>
      </c>
      <c r="J5" s="3439"/>
      <c r="K5" s="537"/>
      <c r="L5" s="2487"/>
      <c r="M5" s="2488"/>
      <c r="N5" s="2488"/>
      <c r="O5" s="2488"/>
      <c r="P5" s="3482"/>
      <c r="Q5" s="3453"/>
      <c r="R5" s="3434"/>
      <c r="S5" s="3435"/>
      <c r="T5" s="3434"/>
      <c r="U5" s="3435"/>
      <c r="V5" s="3458"/>
      <c r="W5" s="3458"/>
      <c r="X5" s="1265"/>
      <c r="Y5" s="3434"/>
      <c r="Z5" s="3435"/>
      <c r="AA5" s="3428"/>
      <c r="AB5" s="3428"/>
      <c r="AC5" s="3478"/>
    </row>
    <row r="6" spans="1:29" ht="15.75" thickBot="1">
      <c r="A6" s="350"/>
      <c r="B6" s="351"/>
      <c r="C6" s="3440" t="s">
        <v>1677</v>
      </c>
      <c r="D6" s="3441"/>
      <c r="E6" s="3473" t="s">
        <v>1677</v>
      </c>
      <c r="F6" s="3444"/>
      <c r="G6" s="3440" t="s">
        <v>1677</v>
      </c>
      <c r="H6" s="3441"/>
      <c r="I6" s="3440" t="s">
        <v>1677</v>
      </c>
      <c r="J6" s="3441"/>
      <c r="K6" s="537" t="s">
        <v>1678</v>
      </c>
      <c r="L6" s="2487"/>
      <c r="M6" s="2488"/>
      <c r="N6" s="2488"/>
      <c r="O6" s="2488"/>
      <c r="P6" s="3483"/>
      <c r="Q6" s="3455"/>
      <c r="R6" s="3434"/>
      <c r="S6" s="3435"/>
      <c r="T6" s="3456"/>
      <c r="U6" s="3457"/>
      <c r="V6" s="3458"/>
      <c r="W6" s="3458"/>
      <c r="X6" s="1265"/>
      <c r="Y6" s="3456"/>
      <c r="Z6" s="3457"/>
      <c r="AA6" s="3429"/>
      <c r="AB6" s="3429"/>
      <c r="AC6" s="3479"/>
    </row>
    <row r="7" spans="1:29" s="102" customFormat="1" ht="15.75" thickBot="1">
      <c r="A7" s="352" t="s">
        <v>1679</v>
      </c>
      <c r="B7" s="353"/>
      <c r="C7" s="354">
        <f>'数据-取费表'!B2</f>
        <v>46016</v>
      </c>
      <c r="D7" s="355">
        <v>100</v>
      </c>
      <c r="E7" s="356"/>
      <c r="F7" s="357">
        <f>SUMIF(59:59,YEAR(E7)&amp;"-"&amp;MONTH(E7),60:60)</f>
        <v>0</v>
      </c>
      <c r="G7" s="356"/>
      <c r="H7" s="355">
        <f>SUMIF(59:59,YEAR(G7)&amp;"-"&amp;MONTH(G7),60:60)</f>
        <v>0</v>
      </c>
      <c r="I7" s="356"/>
      <c r="J7" s="355">
        <f>SUMIF(59:59,YEAR(I7)&amp;"-"&amp;MONTH(I7),60:60)</f>
        <v>0</v>
      </c>
      <c r="K7" s="38"/>
      <c r="L7" s="2489"/>
      <c r="M7" s="2440"/>
      <c r="N7" s="2440"/>
      <c r="O7" s="2440"/>
      <c r="P7" s="3485" t="s">
        <v>1680</v>
      </c>
      <c r="Q7" s="3459"/>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85" t="s">
        <v>1683</v>
      </c>
      <c r="Q8" s="3431"/>
      <c r="R8" s="664" t="s">
        <v>14</v>
      </c>
      <c r="S8" s="665">
        <f t="shared" si="0"/>
        <v>100</v>
      </c>
      <c r="T8" s="664" t="s">
        <v>14</v>
      </c>
      <c r="U8" s="665">
        <f t="shared" si="1"/>
        <v>100</v>
      </c>
      <c r="V8" s="664" t="s">
        <v>14</v>
      </c>
      <c r="W8" s="665">
        <f t="shared" si="2"/>
        <v>100</v>
      </c>
      <c r="X8" s="666"/>
      <c r="Y8" s="3430" t="s">
        <v>1683</v>
      </c>
      <c r="Z8" s="343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45" t="s">
        <v>1686</v>
      </c>
      <c r="Q9" s="530" t="str">
        <f t="shared" ref="Q9:Q15" si="6">B9</f>
        <v>用途</v>
      </c>
      <c r="R9" s="664" t="s">
        <v>14</v>
      </c>
      <c r="S9" s="665">
        <f t="shared" si="0"/>
        <v>100</v>
      </c>
      <c r="T9" s="664" t="s">
        <v>14</v>
      </c>
      <c r="U9" s="665">
        <f t="shared" si="1"/>
        <v>100</v>
      </c>
      <c r="V9" s="664" t="s">
        <v>14</v>
      </c>
      <c r="W9" s="665">
        <f t="shared" si="2"/>
        <v>100</v>
      </c>
      <c r="X9" s="666"/>
      <c r="Y9" s="3355"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45"/>
      <c r="Q10" s="530" t="str">
        <f t="shared" si="6"/>
        <v>土地使用年限（年）</v>
      </c>
      <c r="R10" s="664" t="s">
        <v>14</v>
      </c>
      <c r="S10" s="665">
        <f t="shared" si="0"/>
        <v>100</v>
      </c>
      <c r="T10" s="664" t="s">
        <v>14</v>
      </c>
      <c r="U10" s="665">
        <f t="shared" si="1"/>
        <v>100</v>
      </c>
      <c r="V10" s="664" t="s">
        <v>14</v>
      </c>
      <c r="W10" s="665">
        <f t="shared" si="2"/>
        <v>100</v>
      </c>
      <c r="X10" s="666"/>
      <c r="Y10" s="335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45"/>
      <c r="Q11" s="530" t="str">
        <f t="shared" si="6"/>
        <v>容积率</v>
      </c>
      <c r="R11" s="664" t="s">
        <v>14</v>
      </c>
      <c r="S11" s="665">
        <f t="shared" si="0"/>
        <v>100</v>
      </c>
      <c r="T11" s="664" t="s">
        <v>14</v>
      </c>
      <c r="U11" s="665">
        <f t="shared" si="1"/>
        <v>100</v>
      </c>
      <c r="V11" s="664" t="s">
        <v>14</v>
      </c>
      <c r="W11" s="665">
        <f t="shared" si="2"/>
        <v>100</v>
      </c>
      <c r="X11" s="666"/>
      <c r="Y11" s="335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45"/>
      <c r="Q12" s="530">
        <f t="shared" si="6"/>
        <v>111</v>
      </c>
      <c r="R12" s="664" t="s">
        <v>14</v>
      </c>
      <c r="S12" s="665">
        <f t="shared" si="0"/>
        <v>100</v>
      </c>
      <c r="T12" s="664" t="s">
        <v>14</v>
      </c>
      <c r="U12" s="665">
        <f t="shared" si="1"/>
        <v>100</v>
      </c>
      <c r="V12" s="664" t="s">
        <v>14</v>
      </c>
      <c r="W12" s="665">
        <f t="shared" si="2"/>
        <v>100</v>
      </c>
      <c r="X12" s="666"/>
      <c r="Y12" s="335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45"/>
      <c r="Q13" s="530">
        <f t="shared" si="6"/>
        <v>111</v>
      </c>
      <c r="R13" s="664" t="s">
        <v>14</v>
      </c>
      <c r="S13" s="665">
        <f t="shared" si="0"/>
        <v>100</v>
      </c>
      <c r="T13" s="664" t="s">
        <v>14</v>
      </c>
      <c r="U13" s="665">
        <f t="shared" si="1"/>
        <v>100</v>
      </c>
      <c r="V13" s="664" t="s">
        <v>14</v>
      </c>
      <c r="W13" s="665">
        <f t="shared" si="2"/>
        <v>100</v>
      </c>
      <c r="X13" s="666"/>
      <c r="Y13" s="3355"/>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45"/>
      <c r="Q14" s="530">
        <f t="shared" si="6"/>
        <v>111</v>
      </c>
      <c r="R14" s="664" t="s">
        <v>14</v>
      </c>
      <c r="S14" s="665">
        <f t="shared" si="0"/>
        <v>100</v>
      </c>
      <c r="T14" s="664" t="s">
        <v>14</v>
      </c>
      <c r="U14" s="665">
        <f t="shared" si="1"/>
        <v>100</v>
      </c>
      <c r="V14" s="664" t="s">
        <v>14</v>
      </c>
      <c r="W14" s="665">
        <f t="shared" si="2"/>
        <v>100</v>
      </c>
      <c r="X14" s="666"/>
      <c r="Y14" s="3355"/>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71" t="s">
        <v>1691</v>
      </c>
      <c r="Q15" s="1263" t="str">
        <f t="shared" si="6"/>
        <v>办公集聚程度</v>
      </c>
      <c r="R15" s="667" t="s">
        <v>14</v>
      </c>
      <c r="S15" s="668">
        <f t="shared" si="0"/>
        <v>100</v>
      </c>
      <c r="T15" s="667" t="s">
        <v>14</v>
      </c>
      <c r="U15" s="668">
        <f t="shared" si="1"/>
        <v>100</v>
      </c>
      <c r="V15" s="667" t="s">
        <v>14</v>
      </c>
      <c r="W15" s="668">
        <f t="shared" si="2"/>
        <v>100</v>
      </c>
      <c r="X15" s="1265"/>
      <c r="Y15" s="346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72"/>
      <c r="Q16" s="1263"/>
      <c r="R16" s="667"/>
      <c r="S16" s="668"/>
      <c r="T16" s="667"/>
      <c r="U16" s="668"/>
      <c r="V16" s="667"/>
      <c r="W16" s="668"/>
      <c r="X16" s="1265"/>
      <c r="Y16" s="3465"/>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72"/>
      <c r="Q17" s="1263" t="str">
        <f>B17</f>
        <v>交通便捷度</v>
      </c>
      <c r="R17" s="667" t="s">
        <v>14</v>
      </c>
      <c r="S17" s="668">
        <f>F17</f>
        <v>100</v>
      </c>
      <c r="T17" s="667" t="s">
        <v>14</v>
      </c>
      <c r="U17" s="668">
        <f>H17</f>
        <v>100</v>
      </c>
      <c r="V17" s="667" t="s">
        <v>14</v>
      </c>
      <c r="W17" s="668">
        <f>J17</f>
        <v>100</v>
      </c>
      <c r="X17" s="1265"/>
      <c r="Y17" s="346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72"/>
      <c r="Q18" s="1263"/>
      <c r="R18" s="667"/>
      <c r="S18" s="668"/>
      <c r="T18" s="667"/>
      <c r="U18" s="668"/>
      <c r="V18" s="667"/>
      <c r="W18" s="668"/>
      <c r="X18" s="1265"/>
      <c r="Y18" s="346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72"/>
      <c r="Q19" s="1263" t="str">
        <f>B19</f>
        <v>公共配套设施</v>
      </c>
      <c r="R19" s="667" t="s">
        <v>14</v>
      </c>
      <c r="S19" s="668">
        <f>F19</f>
        <v>100</v>
      </c>
      <c r="T19" s="667" t="s">
        <v>14</v>
      </c>
      <c r="U19" s="668">
        <f>H19</f>
        <v>100</v>
      </c>
      <c r="V19" s="667" t="s">
        <v>14</v>
      </c>
      <c r="W19" s="668">
        <f>J19</f>
        <v>100</v>
      </c>
      <c r="X19" s="1265"/>
      <c r="Y19" s="346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72"/>
      <c r="Q20" s="1263"/>
      <c r="R20" s="667"/>
      <c r="S20" s="668"/>
      <c r="T20" s="667"/>
      <c r="U20" s="668"/>
      <c r="V20" s="667"/>
      <c r="W20" s="668"/>
      <c r="X20" s="1265"/>
      <c r="Y20" s="346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72"/>
      <c r="Q21" s="1263" t="str">
        <f>B21</f>
        <v>基础设施水平</v>
      </c>
      <c r="R21" s="667" t="s">
        <v>14</v>
      </c>
      <c r="S21" s="668">
        <f>F21</f>
        <v>100</v>
      </c>
      <c r="T21" s="667" t="s">
        <v>14</v>
      </c>
      <c r="U21" s="668">
        <f>H21</f>
        <v>100</v>
      </c>
      <c r="V21" s="667" t="s">
        <v>14</v>
      </c>
      <c r="W21" s="668">
        <f>J21</f>
        <v>100</v>
      </c>
      <c r="X21" s="1265"/>
      <c r="Y21" s="346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72"/>
      <c r="Q22" s="1263"/>
      <c r="R22" s="667"/>
      <c r="S22" s="668"/>
      <c r="T22" s="667"/>
      <c r="U22" s="668"/>
      <c r="V22" s="667"/>
      <c r="W22" s="668"/>
      <c r="X22" s="1265"/>
      <c r="Y22" s="3465"/>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72"/>
      <c r="Q23" s="1263" t="str">
        <f>B23</f>
        <v>环境质量</v>
      </c>
      <c r="R23" s="667" t="s">
        <v>14</v>
      </c>
      <c r="S23" s="668">
        <f>F23</f>
        <v>100</v>
      </c>
      <c r="T23" s="667" t="s">
        <v>14</v>
      </c>
      <c r="U23" s="668">
        <f>H23</f>
        <v>100</v>
      </c>
      <c r="V23" s="667" t="s">
        <v>14</v>
      </c>
      <c r="W23" s="668">
        <f>J23</f>
        <v>100</v>
      </c>
      <c r="X23" s="1265"/>
      <c r="Y23" s="346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72"/>
      <c r="Q24" s="1263"/>
      <c r="R24" s="667"/>
      <c r="S24" s="668"/>
      <c r="T24" s="667"/>
      <c r="U24" s="668"/>
      <c r="V24" s="667"/>
      <c r="W24" s="668"/>
      <c r="X24" s="1265"/>
      <c r="Y24" s="346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72"/>
      <c r="Q25" s="1263" t="str">
        <f>B25</f>
        <v>毗邻道路的类型与等级</v>
      </c>
      <c r="R25" s="667" t="s">
        <v>14</v>
      </c>
      <c r="S25" s="668">
        <f>F25</f>
        <v>100</v>
      </c>
      <c r="T25" s="667" t="s">
        <v>14</v>
      </c>
      <c r="U25" s="668">
        <f>H25</f>
        <v>100</v>
      </c>
      <c r="V25" s="667" t="s">
        <v>14</v>
      </c>
      <c r="W25" s="668">
        <f>J25</f>
        <v>100</v>
      </c>
      <c r="X25" s="1265"/>
      <c r="Y25" s="346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72"/>
      <c r="Q26" s="1263"/>
      <c r="R26" s="667"/>
      <c r="S26" s="668"/>
      <c r="T26" s="667"/>
      <c r="U26" s="668"/>
      <c r="V26" s="667"/>
      <c r="W26" s="668"/>
      <c r="X26" s="1265"/>
      <c r="Y26" s="346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72"/>
      <c r="Q27" s="1263" t="str">
        <f t="shared" ref="Q27:Q47" si="11">B27</f>
        <v>楼层</v>
      </c>
      <c r="R27" s="667" t="s">
        <v>14</v>
      </c>
      <c r="S27" s="668">
        <f>F27</f>
        <v>100</v>
      </c>
      <c r="T27" s="667" t="s">
        <v>14</v>
      </c>
      <c r="U27" s="668">
        <f>H27</f>
        <v>100</v>
      </c>
      <c r="V27" s="667" t="s">
        <v>14</v>
      </c>
      <c r="W27" s="668">
        <f>J27</f>
        <v>100</v>
      </c>
      <c r="X27" s="1265"/>
      <c r="Y27" s="346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72"/>
      <c r="Q28" s="530" t="str">
        <f t="shared" si="11"/>
        <v>朝向</v>
      </c>
      <c r="R28" s="664" t="s">
        <v>14</v>
      </c>
      <c r="S28" s="665">
        <f>F28</f>
        <v>100</v>
      </c>
      <c r="T28" s="664" t="s">
        <v>14</v>
      </c>
      <c r="U28" s="665">
        <f>H28</f>
        <v>100</v>
      </c>
      <c r="V28" s="664" t="s">
        <v>14</v>
      </c>
      <c r="W28" s="665">
        <f>J28</f>
        <v>100</v>
      </c>
      <c r="X28" s="666"/>
      <c r="Y28" s="346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72"/>
      <c r="Q29" s="1263">
        <f t="shared" si="11"/>
        <v>111</v>
      </c>
      <c r="R29" s="667" t="s">
        <v>14</v>
      </c>
      <c r="S29" s="668">
        <f t="shared" ref="S29:S47" si="12">F29</f>
        <v>100</v>
      </c>
      <c r="T29" s="667" t="s">
        <v>14</v>
      </c>
      <c r="U29" s="668">
        <f t="shared" ref="U29:U47" si="13">H29</f>
        <v>100</v>
      </c>
      <c r="V29" s="667" t="s">
        <v>14</v>
      </c>
      <c r="W29" s="668">
        <f t="shared" ref="W29:W47" si="14">J29</f>
        <v>100</v>
      </c>
      <c r="X29" s="1265"/>
      <c r="Y29" s="346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72"/>
      <c r="Q30" s="1263">
        <f t="shared" si="11"/>
        <v>111</v>
      </c>
      <c r="R30" s="667" t="s">
        <v>14</v>
      </c>
      <c r="S30" s="668">
        <f t="shared" si="12"/>
        <v>100</v>
      </c>
      <c r="T30" s="667" t="s">
        <v>14</v>
      </c>
      <c r="U30" s="668">
        <f t="shared" si="13"/>
        <v>100</v>
      </c>
      <c r="V30" s="667" t="s">
        <v>14</v>
      </c>
      <c r="W30" s="668">
        <f t="shared" si="14"/>
        <v>100</v>
      </c>
      <c r="X30" s="1265"/>
      <c r="Y30" s="346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72"/>
      <c r="Q31" s="1263">
        <f t="shared" si="11"/>
        <v>111</v>
      </c>
      <c r="R31" s="667" t="s">
        <v>14</v>
      </c>
      <c r="S31" s="668">
        <f t="shared" si="12"/>
        <v>100</v>
      </c>
      <c r="T31" s="667" t="s">
        <v>14</v>
      </c>
      <c r="U31" s="668">
        <f t="shared" si="13"/>
        <v>100</v>
      </c>
      <c r="V31" s="667" t="s">
        <v>14</v>
      </c>
      <c r="W31" s="668">
        <f t="shared" si="14"/>
        <v>100</v>
      </c>
      <c r="X31" s="1265"/>
      <c r="Y31" s="346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72"/>
      <c r="Q32" s="1263">
        <f t="shared" si="11"/>
        <v>111</v>
      </c>
      <c r="R32" s="667" t="s">
        <v>14</v>
      </c>
      <c r="S32" s="668">
        <f t="shared" si="12"/>
        <v>100</v>
      </c>
      <c r="T32" s="667" t="s">
        <v>14</v>
      </c>
      <c r="U32" s="668">
        <f t="shared" si="13"/>
        <v>100</v>
      </c>
      <c r="V32" s="667" t="s">
        <v>14</v>
      </c>
      <c r="W32" s="668">
        <f t="shared" si="14"/>
        <v>100</v>
      </c>
      <c r="X32" s="1265"/>
      <c r="Y32" s="346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66" t="s">
        <v>1696</v>
      </c>
      <c r="Q33" s="1263" t="str">
        <f t="shared" si="11"/>
        <v>建筑类型</v>
      </c>
      <c r="R33" s="667" t="s">
        <v>14</v>
      </c>
      <c r="S33" s="668">
        <f t="shared" si="12"/>
        <v>100</v>
      </c>
      <c r="T33" s="667" t="s">
        <v>14</v>
      </c>
      <c r="U33" s="668">
        <f t="shared" si="13"/>
        <v>100</v>
      </c>
      <c r="V33" s="667" t="s">
        <v>14</v>
      </c>
      <c r="W33" s="668">
        <f t="shared" si="14"/>
        <v>100</v>
      </c>
      <c r="X33" s="1265"/>
      <c r="Y33" s="346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67"/>
      <c r="Q34" s="531" t="str">
        <f t="shared" si="11"/>
        <v>项目建筑规模</v>
      </c>
      <c r="R34" s="669" t="s">
        <v>14</v>
      </c>
      <c r="S34" s="670" t="e">
        <f t="shared" si="12"/>
        <v>#N/A</v>
      </c>
      <c r="T34" s="669" t="s">
        <v>14</v>
      </c>
      <c r="U34" s="670" t="e">
        <f t="shared" si="13"/>
        <v>#N/A</v>
      </c>
      <c r="V34" s="669" t="s">
        <v>14</v>
      </c>
      <c r="W34" s="670" t="e">
        <f t="shared" si="14"/>
        <v>#N/A</v>
      </c>
      <c r="X34" s="671"/>
      <c r="Y34" s="346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67"/>
      <c r="Q35" s="1263" t="str">
        <f t="shared" si="11"/>
        <v>建筑结构</v>
      </c>
      <c r="R35" s="667" t="s">
        <v>14</v>
      </c>
      <c r="S35" s="668">
        <f t="shared" si="12"/>
        <v>100</v>
      </c>
      <c r="T35" s="667" t="s">
        <v>14</v>
      </c>
      <c r="U35" s="668">
        <f t="shared" si="13"/>
        <v>100</v>
      </c>
      <c r="V35" s="667" t="s">
        <v>14</v>
      </c>
      <c r="W35" s="668">
        <f t="shared" si="14"/>
        <v>100</v>
      </c>
      <c r="X35" s="1265"/>
      <c r="Y35" s="346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67"/>
      <c r="Q36" s="1263" t="str">
        <f t="shared" si="11"/>
        <v>公共部分装修</v>
      </c>
      <c r="R36" s="667" t="s">
        <v>14</v>
      </c>
      <c r="S36" s="668">
        <f t="shared" si="12"/>
        <v>100</v>
      </c>
      <c r="T36" s="667" t="s">
        <v>14</v>
      </c>
      <c r="U36" s="668">
        <f t="shared" si="13"/>
        <v>100</v>
      </c>
      <c r="V36" s="667" t="s">
        <v>14</v>
      </c>
      <c r="W36" s="668">
        <f t="shared" si="14"/>
        <v>100</v>
      </c>
      <c r="X36" s="1265"/>
      <c r="Y36" s="346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67"/>
      <c r="Q37" s="1263" t="str">
        <f t="shared" si="11"/>
        <v>成新度</v>
      </c>
      <c r="R37" s="667" t="s">
        <v>14</v>
      </c>
      <c r="S37" s="668" t="e">
        <f t="shared" si="12"/>
        <v>#N/A</v>
      </c>
      <c r="T37" s="667" t="s">
        <v>14</v>
      </c>
      <c r="U37" s="668" t="e">
        <f t="shared" si="13"/>
        <v>#N/A</v>
      </c>
      <c r="V37" s="667" t="s">
        <v>14</v>
      </c>
      <c r="W37" s="668" t="e">
        <f t="shared" si="14"/>
        <v>#N/A</v>
      </c>
      <c r="X37" s="1265"/>
      <c r="Y37" s="346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67"/>
      <c r="Q38" s="530" t="str">
        <f t="shared" si="11"/>
        <v>写字楼等级</v>
      </c>
      <c r="R38" s="664" t="s">
        <v>14</v>
      </c>
      <c r="S38" s="665">
        <f t="shared" si="12"/>
        <v>100</v>
      </c>
      <c r="T38" s="664" t="s">
        <v>14</v>
      </c>
      <c r="U38" s="665">
        <f t="shared" si="13"/>
        <v>100</v>
      </c>
      <c r="V38" s="664" t="s">
        <v>14</v>
      </c>
      <c r="W38" s="665">
        <f t="shared" si="14"/>
        <v>100</v>
      </c>
      <c r="X38" s="666"/>
      <c r="Y38" s="346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67" t="s">
        <v>1696</v>
      </c>
      <c r="Q39" s="1263" t="str">
        <f t="shared" si="11"/>
        <v>物业管理</v>
      </c>
      <c r="R39" s="667" t="s">
        <v>14</v>
      </c>
      <c r="S39" s="668">
        <f t="shared" si="12"/>
        <v>100</v>
      </c>
      <c r="T39" s="667" t="s">
        <v>14</v>
      </c>
      <c r="U39" s="668">
        <f t="shared" si="13"/>
        <v>100</v>
      </c>
      <c r="V39" s="667" t="s">
        <v>14</v>
      </c>
      <c r="W39" s="668">
        <f t="shared" si="14"/>
        <v>100</v>
      </c>
      <c r="X39" s="1265"/>
      <c r="Y39" s="346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67"/>
      <c r="Q40" s="1263" t="str">
        <f t="shared" si="11"/>
        <v>市政基础设施</v>
      </c>
      <c r="R40" s="667" t="s">
        <v>14</v>
      </c>
      <c r="S40" s="668">
        <f t="shared" si="12"/>
        <v>100</v>
      </c>
      <c r="T40" s="667" t="s">
        <v>14</v>
      </c>
      <c r="U40" s="668">
        <f t="shared" si="13"/>
        <v>100</v>
      </c>
      <c r="V40" s="667" t="s">
        <v>14</v>
      </c>
      <c r="W40" s="668">
        <f t="shared" si="14"/>
        <v>100</v>
      </c>
      <c r="X40" s="1265"/>
      <c r="Y40" s="346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67"/>
      <c r="Q41" s="1263" t="str">
        <f t="shared" si="11"/>
        <v>层高</v>
      </c>
      <c r="R41" s="667" t="s">
        <v>14</v>
      </c>
      <c r="S41" s="668">
        <f t="shared" si="12"/>
        <v>100</v>
      </c>
      <c r="T41" s="667" t="s">
        <v>14</v>
      </c>
      <c r="U41" s="668">
        <f t="shared" si="13"/>
        <v>100</v>
      </c>
      <c r="V41" s="667" t="s">
        <v>14</v>
      </c>
      <c r="W41" s="668">
        <f t="shared" si="14"/>
        <v>100</v>
      </c>
      <c r="X41" s="1265"/>
      <c r="Y41" s="346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67"/>
      <c r="Q42" s="531" t="str">
        <f t="shared" si="11"/>
        <v>单套建筑面积</v>
      </c>
      <c r="R42" s="669" t="s">
        <v>14</v>
      </c>
      <c r="S42" s="670">
        <f t="shared" si="12"/>
        <v>100</v>
      </c>
      <c r="T42" s="669" t="s">
        <v>14</v>
      </c>
      <c r="U42" s="670">
        <f t="shared" si="13"/>
        <v>100</v>
      </c>
      <c r="V42" s="669" t="s">
        <v>14</v>
      </c>
      <c r="W42" s="670">
        <f t="shared" si="14"/>
        <v>100</v>
      </c>
      <c r="X42" s="671"/>
      <c r="Y42" s="346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67"/>
      <c r="Q43" s="1263" t="str">
        <f t="shared" si="11"/>
        <v>内部装修</v>
      </c>
      <c r="R43" s="667" t="s">
        <v>14</v>
      </c>
      <c r="S43" s="668">
        <f t="shared" si="12"/>
        <v>100</v>
      </c>
      <c r="T43" s="667" t="s">
        <v>14</v>
      </c>
      <c r="U43" s="668">
        <f t="shared" si="13"/>
        <v>100</v>
      </c>
      <c r="V43" s="667" t="s">
        <v>14</v>
      </c>
      <c r="W43" s="668">
        <f t="shared" si="14"/>
        <v>100</v>
      </c>
      <c r="X43" s="1265"/>
      <c r="Y43" s="346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67"/>
      <c r="Q44" s="1263" t="str">
        <f t="shared" si="11"/>
        <v>内部装修维护情况</v>
      </c>
      <c r="R44" s="667" t="s">
        <v>14</v>
      </c>
      <c r="S44" s="668">
        <f t="shared" si="12"/>
        <v>100</v>
      </c>
      <c r="T44" s="667" t="s">
        <v>14</v>
      </c>
      <c r="U44" s="668">
        <f t="shared" si="13"/>
        <v>100</v>
      </c>
      <c r="V44" s="667" t="s">
        <v>14</v>
      </c>
      <c r="W44" s="668">
        <f t="shared" si="14"/>
        <v>100</v>
      </c>
      <c r="X44" s="1265"/>
      <c r="Y44" s="346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67"/>
      <c r="Q45" s="530">
        <f t="shared" si="11"/>
        <v>111</v>
      </c>
      <c r="R45" s="664" t="s">
        <v>14</v>
      </c>
      <c r="S45" s="665">
        <f t="shared" si="12"/>
        <v>100</v>
      </c>
      <c r="T45" s="664" t="s">
        <v>14</v>
      </c>
      <c r="U45" s="665">
        <f t="shared" si="13"/>
        <v>100</v>
      </c>
      <c r="V45" s="664" t="s">
        <v>14</v>
      </c>
      <c r="W45" s="665">
        <f t="shared" si="14"/>
        <v>100</v>
      </c>
      <c r="X45" s="666"/>
      <c r="Y45" s="346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67"/>
      <c r="Q46" s="1263">
        <f t="shared" si="11"/>
        <v>111</v>
      </c>
      <c r="R46" s="667" t="s">
        <v>14</v>
      </c>
      <c r="S46" s="668">
        <f t="shared" si="12"/>
        <v>100</v>
      </c>
      <c r="T46" s="667" t="s">
        <v>14</v>
      </c>
      <c r="U46" s="668">
        <f t="shared" si="13"/>
        <v>100</v>
      </c>
      <c r="V46" s="667" t="s">
        <v>14</v>
      </c>
      <c r="W46" s="668">
        <f t="shared" si="14"/>
        <v>100</v>
      </c>
      <c r="X46" s="1265"/>
      <c r="Y46" s="346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68"/>
      <c r="Q47" s="1263">
        <f t="shared" si="11"/>
        <v>111</v>
      </c>
      <c r="R47" s="667" t="s">
        <v>14</v>
      </c>
      <c r="S47" s="668">
        <f t="shared" si="12"/>
        <v>100</v>
      </c>
      <c r="T47" s="667" t="s">
        <v>14</v>
      </c>
      <c r="U47" s="668">
        <f t="shared" si="13"/>
        <v>100</v>
      </c>
      <c r="V47" s="667" t="s">
        <v>14</v>
      </c>
      <c r="W47" s="668">
        <f t="shared" si="14"/>
        <v>100</v>
      </c>
      <c r="X47" s="1265"/>
      <c r="Y47" s="347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45" t="str">
        <f>A48</f>
        <v>成交单价（元/平方米）</v>
      </c>
      <c r="Q48" s="3463"/>
      <c r="R48" s="3458">
        <f>E48</f>
        <v>0</v>
      </c>
      <c r="S48" s="3458"/>
      <c r="T48" s="3458">
        <f>G48</f>
        <v>0</v>
      </c>
      <c r="U48" s="3458"/>
      <c r="V48" s="3458">
        <f>I48</f>
        <v>0</v>
      </c>
      <c r="W48" s="3458"/>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45" t="str">
        <f>A49</f>
        <v>比较价值（元/平方米）</v>
      </c>
      <c r="Q49" s="3463"/>
      <c r="R49" s="3458" t="e">
        <f>IF(F1="售价",ROUND(PRODUCT(R48,AA7:AA47),0),ROUND(PRODUCT(R48,AA7:AA47),1))</f>
        <v>#DIV/0!</v>
      </c>
      <c r="S49" s="3458"/>
      <c r="T49" s="3458" t="e">
        <f>IF(F1="售价",ROUND(PRODUCT(T48,AB7:AB47),0),ROUND(PRODUCT(T48,AB7:AB47),1))</f>
        <v>#DIV/0!</v>
      </c>
      <c r="U49" s="3458"/>
      <c r="V49" s="3458" t="e">
        <f>IF(F1="售价",ROUND(PRODUCT(V48,AC7:AC47),0),ROUND(PRODUCT(V48,AC7:AC47),1))</f>
        <v>#DIV/0!</v>
      </c>
      <c r="W49" s="345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86" t="str">
        <f>A50</f>
        <v>估价对象XX用房的比较价值（楼面单价，元/平方米）</v>
      </c>
      <c r="Q50" s="3487"/>
      <c r="R50" s="3488" t="e">
        <f>IF(F1="售价",ROUND(IF(D49="简单平均",AVERAGE(R49:V49),R49*F49+T49*H49+V49*J49),0),ROUND(IF(D49="简单平均",AVERAGE(R49:V49),R49*F49+T49*H49+V49*J49),1))</f>
        <v>#DIV/0!</v>
      </c>
      <c r="S50" s="3488"/>
      <c r="T50" s="3488"/>
      <c r="U50" s="3488"/>
      <c r="V50" s="3488"/>
      <c r="W50" s="348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估价对象为北京市房地产，为所有。根据《国有土地使用证》[]，估价对象（分摊）出让国有建设用地使用权面积为0平方米，建筑面积为53.77平方米。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估价对象为北京市房地产,属开发建设的，该项目尚在开发建设中。根据《国有土地使用证》[]，估价对象（分摊）出让国有建设用地使用权面积为0平方米，规划建筑面积为53.77平方米。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2025年12月25日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53.77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46" t="s">
        <v>1770</v>
      </c>
      <c r="D4" s="3447"/>
      <c r="E4" s="3448" t="s">
        <v>1771</v>
      </c>
      <c r="F4" s="3449"/>
      <c r="G4" s="3446" t="s">
        <v>1772</v>
      </c>
      <c r="H4" s="3447"/>
      <c r="I4" s="3446" t="s">
        <v>1773</v>
      </c>
      <c r="J4" s="3447"/>
      <c r="K4" s="537" t="s">
        <v>1774</v>
      </c>
      <c r="L4" s="860"/>
      <c r="M4" s="861"/>
      <c r="N4" s="861"/>
      <c r="O4" s="861"/>
      <c r="P4" s="3450" t="s">
        <v>1775</v>
      </c>
      <c r="Q4" s="3451"/>
      <c r="R4" s="3432" t="s">
        <v>1771</v>
      </c>
      <c r="S4" s="3433"/>
      <c r="T4" s="3432" t="s">
        <v>1772</v>
      </c>
      <c r="U4" s="3433"/>
      <c r="V4" s="3458" t="s">
        <v>1773</v>
      </c>
      <c r="W4" s="3458"/>
      <c r="X4" s="1265"/>
      <c r="Y4" s="3432" t="s">
        <v>1775</v>
      </c>
      <c r="Z4" s="3433"/>
      <c r="AA4" s="3427" t="s">
        <v>1771</v>
      </c>
      <c r="AB4" s="3428" t="s">
        <v>1772</v>
      </c>
      <c r="AC4" s="3427" t="s">
        <v>1773</v>
      </c>
    </row>
    <row r="5" spans="1:29" ht="15">
      <c r="A5" s="348"/>
      <c r="B5" s="349"/>
      <c r="C5" s="3442" t="s">
        <v>1673</v>
      </c>
      <c r="D5" s="3439"/>
      <c r="E5" s="3436" t="s">
        <v>1674</v>
      </c>
      <c r="F5" s="3437"/>
      <c r="G5" s="3442" t="s">
        <v>1675</v>
      </c>
      <c r="H5" s="3439"/>
      <c r="I5" s="3442" t="s">
        <v>1676</v>
      </c>
      <c r="J5" s="3439"/>
      <c r="K5" s="537"/>
      <c r="L5" s="860"/>
      <c r="M5" s="861"/>
      <c r="N5" s="861"/>
      <c r="O5" s="861"/>
      <c r="P5" s="3452"/>
      <c r="Q5" s="3453"/>
      <c r="R5" s="3434"/>
      <c r="S5" s="3435"/>
      <c r="T5" s="3434"/>
      <c r="U5" s="3435"/>
      <c r="V5" s="3458"/>
      <c r="W5" s="3458"/>
      <c r="X5" s="1265"/>
      <c r="Y5" s="3434"/>
      <c r="Z5" s="3435"/>
      <c r="AA5" s="3428"/>
      <c r="AB5" s="3428"/>
      <c r="AC5" s="3428"/>
    </row>
    <row r="6" spans="1:29" ht="15.75" thickBot="1">
      <c r="A6" s="350"/>
      <c r="B6" s="351"/>
      <c r="C6" s="3440" t="s">
        <v>1677</v>
      </c>
      <c r="D6" s="3441"/>
      <c r="E6" s="3473" t="s">
        <v>1677</v>
      </c>
      <c r="F6" s="3444"/>
      <c r="G6" s="3440" t="s">
        <v>1677</v>
      </c>
      <c r="H6" s="3441"/>
      <c r="I6" s="3440" t="s">
        <v>1677</v>
      </c>
      <c r="J6" s="3441"/>
      <c r="K6" s="537" t="s">
        <v>1678</v>
      </c>
      <c r="L6" s="860"/>
      <c r="M6" s="861"/>
      <c r="N6" s="861"/>
      <c r="O6" s="861"/>
      <c r="P6" s="3454"/>
      <c r="Q6" s="3455"/>
      <c r="R6" s="3434"/>
      <c r="S6" s="3435"/>
      <c r="T6" s="3456"/>
      <c r="U6" s="3457"/>
      <c r="V6" s="3458"/>
      <c r="W6" s="3458"/>
      <c r="X6" s="1265"/>
      <c r="Y6" s="3456"/>
      <c r="Z6" s="3457"/>
      <c r="AA6" s="3429"/>
      <c r="AB6" s="3429"/>
      <c r="AC6" s="3429"/>
    </row>
    <row r="7" spans="1:29" s="102" customFormat="1" ht="15.75" thickBot="1">
      <c r="A7" s="352" t="s">
        <v>1679</v>
      </c>
      <c r="B7" s="353"/>
      <c r="C7" s="354">
        <f>'数据-取费表'!B2</f>
        <v>46016</v>
      </c>
      <c r="D7" s="355">
        <v>100</v>
      </c>
      <c r="E7" s="356"/>
      <c r="F7" s="357">
        <f>SUMIF(52:52,YEAR(E7)&amp;"-"&amp;MONTH(E7),53:53)</f>
        <v>0</v>
      </c>
      <c r="G7" s="356"/>
      <c r="H7" s="355">
        <f>SUMIF(52:52,YEAR(G7)&amp;"-"&amp;MONTH(G7),53:53)</f>
        <v>0</v>
      </c>
      <c r="I7" s="356"/>
      <c r="J7" s="355">
        <f>SUMIF(52:52,YEAR(I7)&amp;"-"&amp;MONTH(I7),53:53)</f>
        <v>0</v>
      </c>
      <c r="K7" s="38"/>
      <c r="L7" s="862"/>
      <c r="M7" s="863"/>
      <c r="N7" s="863"/>
      <c r="O7" s="863"/>
      <c r="P7" s="3430" t="s">
        <v>1680</v>
      </c>
      <c r="Q7" s="3459"/>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0" t="s">
        <v>1683</v>
      </c>
      <c r="Q8" s="3431"/>
      <c r="R8" s="664" t="s">
        <v>14</v>
      </c>
      <c r="S8" s="665">
        <f t="shared" si="0"/>
        <v>100</v>
      </c>
      <c r="T8" s="664" t="s">
        <v>14</v>
      </c>
      <c r="U8" s="665">
        <f t="shared" si="1"/>
        <v>100</v>
      </c>
      <c r="V8" s="664" t="s">
        <v>14</v>
      </c>
      <c r="W8" s="665">
        <f t="shared" si="2"/>
        <v>100</v>
      </c>
      <c r="X8" s="666"/>
      <c r="Y8" s="3430" t="s">
        <v>1683</v>
      </c>
      <c r="Z8" s="343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63" t="s">
        <v>1686</v>
      </c>
      <c r="Q9" s="530" t="str">
        <f t="shared" ref="Q9:Q15" si="6">B9</f>
        <v>用途</v>
      </c>
      <c r="R9" s="664" t="s">
        <v>14</v>
      </c>
      <c r="S9" s="665">
        <f t="shared" si="0"/>
        <v>100</v>
      </c>
      <c r="T9" s="664" t="s">
        <v>14</v>
      </c>
      <c r="U9" s="665">
        <f t="shared" si="1"/>
        <v>100</v>
      </c>
      <c r="V9" s="664" t="s">
        <v>14</v>
      </c>
      <c r="W9" s="665">
        <f t="shared" si="2"/>
        <v>100</v>
      </c>
      <c r="X9" s="666"/>
      <c r="Y9" s="3355"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63"/>
      <c r="Q10" s="530" t="str">
        <f t="shared" si="6"/>
        <v>土地使用年限（年）</v>
      </c>
      <c r="R10" s="664" t="s">
        <v>14</v>
      </c>
      <c r="S10" s="665">
        <f t="shared" si="0"/>
        <v>100</v>
      </c>
      <c r="T10" s="664" t="s">
        <v>14</v>
      </c>
      <c r="U10" s="665">
        <f t="shared" si="1"/>
        <v>100</v>
      </c>
      <c r="V10" s="664" t="s">
        <v>14</v>
      </c>
      <c r="W10" s="665">
        <f t="shared" si="2"/>
        <v>100</v>
      </c>
      <c r="X10" s="666"/>
      <c r="Y10" s="335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63"/>
      <c r="Q11" s="530" t="str">
        <f t="shared" si="6"/>
        <v>容积率</v>
      </c>
      <c r="R11" s="664" t="s">
        <v>14</v>
      </c>
      <c r="S11" s="665">
        <f t="shared" si="0"/>
        <v>100</v>
      </c>
      <c r="T11" s="664" t="s">
        <v>14</v>
      </c>
      <c r="U11" s="665">
        <f t="shared" si="1"/>
        <v>100</v>
      </c>
      <c r="V11" s="664" t="s">
        <v>14</v>
      </c>
      <c r="W11" s="665">
        <f t="shared" si="2"/>
        <v>100</v>
      </c>
      <c r="X11" s="666"/>
      <c r="Y11" s="335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63"/>
      <c r="Q12" s="530">
        <f t="shared" si="6"/>
        <v>111</v>
      </c>
      <c r="R12" s="664" t="s">
        <v>14</v>
      </c>
      <c r="S12" s="665">
        <f t="shared" si="0"/>
        <v>100</v>
      </c>
      <c r="T12" s="664" t="s">
        <v>14</v>
      </c>
      <c r="U12" s="665">
        <f t="shared" si="1"/>
        <v>100</v>
      </c>
      <c r="V12" s="664" t="s">
        <v>14</v>
      </c>
      <c r="W12" s="665">
        <f t="shared" si="2"/>
        <v>100</v>
      </c>
      <c r="X12" s="666"/>
      <c r="Y12" s="335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63"/>
      <c r="Q13" s="530">
        <f t="shared" si="6"/>
        <v>111</v>
      </c>
      <c r="R13" s="664" t="s">
        <v>14</v>
      </c>
      <c r="S13" s="665">
        <f t="shared" si="0"/>
        <v>100</v>
      </c>
      <c r="T13" s="664" t="s">
        <v>14</v>
      </c>
      <c r="U13" s="665">
        <f t="shared" si="1"/>
        <v>100</v>
      </c>
      <c r="V13" s="664" t="s">
        <v>14</v>
      </c>
      <c r="W13" s="665">
        <f t="shared" si="2"/>
        <v>100</v>
      </c>
      <c r="X13" s="666"/>
      <c r="Y13" s="3355"/>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63"/>
      <c r="Q14" s="530">
        <f t="shared" si="6"/>
        <v>111</v>
      </c>
      <c r="R14" s="664" t="s">
        <v>14</v>
      </c>
      <c r="S14" s="665">
        <f t="shared" si="0"/>
        <v>100</v>
      </c>
      <c r="T14" s="664" t="s">
        <v>14</v>
      </c>
      <c r="U14" s="665">
        <f t="shared" si="1"/>
        <v>100</v>
      </c>
      <c r="V14" s="664" t="s">
        <v>14</v>
      </c>
      <c r="W14" s="665">
        <f t="shared" si="2"/>
        <v>100</v>
      </c>
      <c r="X14" s="666"/>
      <c r="Y14" s="3355"/>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64" t="s">
        <v>1691</v>
      </c>
      <c r="Q15" s="1263" t="str">
        <f t="shared" si="6"/>
        <v>产业集聚程度</v>
      </c>
      <c r="R15" s="667" t="s">
        <v>14</v>
      </c>
      <c r="S15" s="668">
        <f t="shared" si="0"/>
        <v>100</v>
      </c>
      <c r="T15" s="667" t="s">
        <v>14</v>
      </c>
      <c r="U15" s="668">
        <f t="shared" si="1"/>
        <v>100</v>
      </c>
      <c r="V15" s="667" t="s">
        <v>14</v>
      </c>
      <c r="W15" s="668">
        <f t="shared" si="2"/>
        <v>100</v>
      </c>
      <c r="X15" s="1265"/>
      <c r="Y15" s="346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65"/>
      <c r="Q16" s="1263"/>
      <c r="R16" s="667"/>
      <c r="S16" s="668"/>
      <c r="T16" s="667"/>
      <c r="U16" s="668"/>
      <c r="V16" s="667"/>
      <c r="W16" s="668"/>
      <c r="X16" s="1265"/>
      <c r="Y16" s="346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65"/>
      <c r="Q17" s="1263" t="str">
        <f>B17</f>
        <v>交通便捷度</v>
      </c>
      <c r="R17" s="667" t="s">
        <v>14</v>
      </c>
      <c r="S17" s="668">
        <f>F17</f>
        <v>100</v>
      </c>
      <c r="T17" s="667" t="s">
        <v>14</v>
      </c>
      <c r="U17" s="668">
        <f>H17</f>
        <v>100</v>
      </c>
      <c r="V17" s="667" t="s">
        <v>14</v>
      </c>
      <c r="W17" s="668">
        <f>J17</f>
        <v>100</v>
      </c>
      <c r="X17" s="1265"/>
      <c r="Y17" s="346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65"/>
      <c r="Q18" s="1263"/>
      <c r="R18" s="667"/>
      <c r="S18" s="668"/>
      <c r="T18" s="667"/>
      <c r="U18" s="668"/>
      <c r="V18" s="667"/>
      <c r="W18" s="668"/>
      <c r="X18" s="1265"/>
      <c r="Y18" s="346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65"/>
      <c r="Q19" s="1263" t="str">
        <f>B19</f>
        <v>公共配套设施</v>
      </c>
      <c r="R19" s="667" t="s">
        <v>14</v>
      </c>
      <c r="S19" s="668">
        <f>F19</f>
        <v>100</v>
      </c>
      <c r="T19" s="667" t="s">
        <v>14</v>
      </c>
      <c r="U19" s="668">
        <f>H19</f>
        <v>100</v>
      </c>
      <c r="V19" s="667" t="s">
        <v>14</v>
      </c>
      <c r="W19" s="668">
        <f>J19</f>
        <v>100</v>
      </c>
      <c r="X19" s="1265"/>
      <c r="Y19" s="346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65"/>
      <c r="Q20" s="1263"/>
      <c r="R20" s="667"/>
      <c r="S20" s="668"/>
      <c r="T20" s="667"/>
      <c r="U20" s="668"/>
      <c r="V20" s="667"/>
      <c r="W20" s="668"/>
      <c r="X20" s="1265"/>
      <c r="Y20" s="3465"/>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65"/>
      <c r="Q21" s="1263" t="str">
        <f>B21</f>
        <v>基础设施水平</v>
      </c>
      <c r="R21" s="667" t="s">
        <v>14</v>
      </c>
      <c r="S21" s="668">
        <f>F21</f>
        <v>100</v>
      </c>
      <c r="T21" s="667" t="s">
        <v>14</v>
      </c>
      <c r="U21" s="668">
        <f>H21</f>
        <v>100</v>
      </c>
      <c r="V21" s="667" t="s">
        <v>14</v>
      </c>
      <c r="W21" s="668">
        <f>J21</f>
        <v>100</v>
      </c>
      <c r="X21" s="1265"/>
      <c r="Y21" s="346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65"/>
      <c r="Q22" s="1263"/>
      <c r="R22" s="667"/>
      <c r="S22" s="668"/>
      <c r="T22" s="667"/>
      <c r="U22" s="668"/>
      <c r="V22" s="667"/>
      <c r="W22" s="668"/>
      <c r="X22" s="1265"/>
      <c r="Y22" s="346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65"/>
      <c r="Q23" s="1263" t="str">
        <f>B23</f>
        <v>环境质量</v>
      </c>
      <c r="R23" s="667" t="s">
        <v>14</v>
      </c>
      <c r="S23" s="668">
        <f>F23</f>
        <v>100</v>
      </c>
      <c r="T23" s="667" t="s">
        <v>14</v>
      </c>
      <c r="U23" s="668">
        <f>H23</f>
        <v>100</v>
      </c>
      <c r="V23" s="667" t="s">
        <v>14</v>
      </c>
      <c r="W23" s="668">
        <f>J23</f>
        <v>100</v>
      </c>
      <c r="X23" s="1265"/>
      <c r="Y23" s="346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65"/>
      <c r="Q24" s="1263"/>
      <c r="R24" s="667"/>
      <c r="S24" s="668"/>
      <c r="T24" s="667"/>
      <c r="U24" s="668"/>
      <c r="V24" s="667"/>
      <c r="W24" s="668"/>
      <c r="X24" s="1265"/>
      <c r="Y24" s="346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65"/>
      <c r="Q25" s="1263">
        <f>B25</f>
        <v>111</v>
      </c>
      <c r="R25" s="667" t="s">
        <v>14</v>
      </c>
      <c r="S25" s="668">
        <f>F25</f>
        <v>100</v>
      </c>
      <c r="T25" s="667" t="s">
        <v>14</v>
      </c>
      <c r="U25" s="668">
        <f>H25</f>
        <v>100</v>
      </c>
      <c r="V25" s="667" t="s">
        <v>14</v>
      </c>
      <c r="W25" s="668">
        <f>J25</f>
        <v>100</v>
      </c>
      <c r="X25" s="1265"/>
      <c r="Y25" s="346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65"/>
      <c r="Q26" s="1263">
        <f t="shared" ref="Q26:Q40" si="11">B26</f>
        <v>111</v>
      </c>
      <c r="R26" s="667" t="s">
        <v>14</v>
      </c>
      <c r="S26" s="668">
        <f>F26</f>
        <v>100</v>
      </c>
      <c r="T26" s="667" t="s">
        <v>14</v>
      </c>
      <c r="U26" s="668">
        <f>H26</f>
        <v>100</v>
      </c>
      <c r="V26" s="667" t="s">
        <v>14</v>
      </c>
      <c r="W26" s="668">
        <f>J26</f>
        <v>100</v>
      </c>
      <c r="X26" s="1265"/>
      <c r="Y26" s="346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65"/>
      <c r="Q27" s="530">
        <f t="shared" si="11"/>
        <v>111</v>
      </c>
      <c r="R27" s="664" t="s">
        <v>14</v>
      </c>
      <c r="S27" s="665">
        <f>F27</f>
        <v>100</v>
      </c>
      <c r="T27" s="664" t="s">
        <v>14</v>
      </c>
      <c r="U27" s="665">
        <f>H27</f>
        <v>100</v>
      </c>
      <c r="V27" s="664" t="s">
        <v>14</v>
      </c>
      <c r="W27" s="665">
        <f>J27</f>
        <v>100</v>
      </c>
      <c r="X27" s="666"/>
      <c r="Y27" s="346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65"/>
      <c r="Q28" s="1263">
        <f t="shared" si="11"/>
        <v>111</v>
      </c>
      <c r="R28" s="667" t="s">
        <v>14</v>
      </c>
      <c r="S28" s="668">
        <f t="shared" ref="S28:S40" si="12">F28</f>
        <v>100</v>
      </c>
      <c r="T28" s="667" t="s">
        <v>14</v>
      </c>
      <c r="U28" s="668">
        <f t="shared" ref="U28:U40" si="13">H28</f>
        <v>100</v>
      </c>
      <c r="V28" s="667" t="s">
        <v>14</v>
      </c>
      <c r="W28" s="668">
        <f t="shared" ref="W28:W40" si="14">J28</f>
        <v>100</v>
      </c>
      <c r="X28" s="1265"/>
      <c r="Y28" s="346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89" t="s">
        <v>1696</v>
      </c>
      <c r="Q29" s="1263" t="str">
        <f t="shared" si="11"/>
        <v>建筑类型</v>
      </c>
      <c r="R29" s="667" t="s">
        <v>14</v>
      </c>
      <c r="S29" s="668">
        <f t="shared" si="12"/>
        <v>100</v>
      </c>
      <c r="T29" s="667" t="s">
        <v>14</v>
      </c>
      <c r="U29" s="668">
        <f t="shared" si="13"/>
        <v>100</v>
      </c>
      <c r="V29" s="667" t="s">
        <v>14</v>
      </c>
      <c r="W29" s="668">
        <f t="shared" si="14"/>
        <v>100</v>
      </c>
      <c r="X29" s="1265"/>
      <c r="Y29" s="346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69"/>
      <c r="Q30" s="531" t="str">
        <f t="shared" si="11"/>
        <v>项目建筑规模</v>
      </c>
      <c r="R30" s="669" t="s">
        <v>14</v>
      </c>
      <c r="S30" s="670" t="e">
        <f t="shared" si="12"/>
        <v>#N/A</v>
      </c>
      <c r="T30" s="669" t="s">
        <v>14</v>
      </c>
      <c r="U30" s="670" t="e">
        <f t="shared" si="13"/>
        <v>#N/A</v>
      </c>
      <c r="V30" s="669" t="s">
        <v>14</v>
      </c>
      <c r="W30" s="670" t="e">
        <f t="shared" si="14"/>
        <v>#N/A</v>
      </c>
      <c r="X30" s="671"/>
      <c r="Y30" s="346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69"/>
      <c r="Q31" s="1263" t="str">
        <f t="shared" si="11"/>
        <v>建筑结构</v>
      </c>
      <c r="R31" s="667" t="s">
        <v>14</v>
      </c>
      <c r="S31" s="668">
        <f t="shared" si="12"/>
        <v>100</v>
      </c>
      <c r="T31" s="667" t="s">
        <v>14</v>
      </c>
      <c r="U31" s="668">
        <f t="shared" si="13"/>
        <v>100</v>
      </c>
      <c r="V31" s="667" t="s">
        <v>14</v>
      </c>
      <c r="W31" s="668">
        <f t="shared" si="14"/>
        <v>100</v>
      </c>
      <c r="X31" s="1265"/>
      <c r="Y31" s="346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69"/>
      <c r="Q32" s="1263" t="str">
        <f t="shared" si="11"/>
        <v>公共部分装修</v>
      </c>
      <c r="R32" s="667" t="s">
        <v>14</v>
      </c>
      <c r="S32" s="668">
        <f t="shared" si="12"/>
        <v>100</v>
      </c>
      <c r="T32" s="667" t="s">
        <v>14</v>
      </c>
      <c r="U32" s="668">
        <f t="shared" si="13"/>
        <v>100</v>
      </c>
      <c r="V32" s="667" t="s">
        <v>14</v>
      </c>
      <c r="W32" s="668">
        <f t="shared" si="14"/>
        <v>100</v>
      </c>
      <c r="X32" s="1265"/>
      <c r="Y32" s="346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69"/>
      <c r="Q33" s="1263" t="str">
        <f t="shared" si="11"/>
        <v>成新度</v>
      </c>
      <c r="R33" s="667" t="s">
        <v>14</v>
      </c>
      <c r="S33" s="668" t="e">
        <f t="shared" si="12"/>
        <v>#N/A</v>
      </c>
      <c r="T33" s="667" t="s">
        <v>14</v>
      </c>
      <c r="U33" s="668" t="e">
        <f t="shared" si="13"/>
        <v>#N/A</v>
      </c>
      <c r="V33" s="667" t="s">
        <v>14</v>
      </c>
      <c r="W33" s="668" t="e">
        <f t="shared" si="14"/>
        <v>#N/A</v>
      </c>
      <c r="X33" s="1265"/>
      <c r="Y33" s="346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69"/>
      <c r="Q34" s="530" t="str">
        <f t="shared" si="11"/>
        <v>物业管理</v>
      </c>
      <c r="R34" s="664" t="s">
        <v>14</v>
      </c>
      <c r="S34" s="665">
        <f t="shared" si="12"/>
        <v>100</v>
      </c>
      <c r="T34" s="664" t="s">
        <v>14</v>
      </c>
      <c r="U34" s="665">
        <f t="shared" si="13"/>
        <v>100</v>
      </c>
      <c r="V34" s="664" t="s">
        <v>14</v>
      </c>
      <c r="W34" s="665">
        <f t="shared" si="14"/>
        <v>100</v>
      </c>
      <c r="X34" s="666"/>
      <c r="Y34" s="346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69" t="s">
        <v>1696</v>
      </c>
      <c r="Q35" s="1263" t="str">
        <f t="shared" si="11"/>
        <v>市政基础设施</v>
      </c>
      <c r="R35" s="667" t="s">
        <v>14</v>
      </c>
      <c r="S35" s="668">
        <f t="shared" si="12"/>
        <v>100</v>
      </c>
      <c r="T35" s="667" t="s">
        <v>14</v>
      </c>
      <c r="U35" s="668">
        <f t="shared" si="13"/>
        <v>100</v>
      </c>
      <c r="V35" s="667" t="s">
        <v>14</v>
      </c>
      <c r="W35" s="668">
        <f t="shared" si="14"/>
        <v>100</v>
      </c>
      <c r="X35" s="1265"/>
      <c r="Y35" s="346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69"/>
      <c r="Q36" s="1263" t="str">
        <f t="shared" si="11"/>
        <v>内部装修</v>
      </c>
      <c r="R36" s="667" t="s">
        <v>14</v>
      </c>
      <c r="S36" s="668">
        <f t="shared" si="12"/>
        <v>100</v>
      </c>
      <c r="T36" s="667" t="s">
        <v>14</v>
      </c>
      <c r="U36" s="668">
        <f t="shared" si="13"/>
        <v>100</v>
      </c>
      <c r="V36" s="667" t="s">
        <v>14</v>
      </c>
      <c r="W36" s="668">
        <f t="shared" si="14"/>
        <v>100</v>
      </c>
      <c r="X36" s="1265"/>
      <c r="Y36" s="346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69"/>
      <c r="Q37" s="1263" t="str">
        <f t="shared" si="11"/>
        <v>内部装修状况</v>
      </c>
      <c r="R37" s="667" t="s">
        <v>14</v>
      </c>
      <c r="S37" s="668">
        <f t="shared" si="12"/>
        <v>100</v>
      </c>
      <c r="T37" s="667" t="s">
        <v>14</v>
      </c>
      <c r="U37" s="668">
        <f t="shared" si="13"/>
        <v>100</v>
      </c>
      <c r="V37" s="667" t="s">
        <v>14</v>
      </c>
      <c r="W37" s="668">
        <f t="shared" si="14"/>
        <v>100</v>
      </c>
      <c r="X37" s="1265"/>
      <c r="Y37" s="346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69"/>
      <c r="Q38" s="531">
        <f t="shared" si="11"/>
        <v>111</v>
      </c>
      <c r="R38" s="669" t="s">
        <v>14</v>
      </c>
      <c r="S38" s="670">
        <f t="shared" si="12"/>
        <v>100</v>
      </c>
      <c r="T38" s="669" t="s">
        <v>14</v>
      </c>
      <c r="U38" s="670">
        <f t="shared" si="13"/>
        <v>100</v>
      </c>
      <c r="V38" s="669" t="s">
        <v>14</v>
      </c>
      <c r="W38" s="670">
        <f t="shared" si="14"/>
        <v>100</v>
      </c>
      <c r="X38" s="671"/>
      <c r="Y38" s="346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69"/>
      <c r="Q39" s="1263">
        <f t="shared" si="11"/>
        <v>111</v>
      </c>
      <c r="R39" s="667" t="s">
        <v>14</v>
      </c>
      <c r="S39" s="668">
        <f t="shared" si="12"/>
        <v>100</v>
      </c>
      <c r="T39" s="667" t="s">
        <v>14</v>
      </c>
      <c r="U39" s="668">
        <f t="shared" si="13"/>
        <v>100</v>
      </c>
      <c r="V39" s="667" t="s">
        <v>14</v>
      </c>
      <c r="W39" s="668">
        <f t="shared" si="14"/>
        <v>100</v>
      </c>
      <c r="X39" s="1265"/>
      <c r="Y39" s="346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70"/>
      <c r="Q40" s="1263">
        <f t="shared" si="11"/>
        <v>111</v>
      </c>
      <c r="R40" s="667" t="s">
        <v>14</v>
      </c>
      <c r="S40" s="668">
        <f t="shared" si="12"/>
        <v>100</v>
      </c>
      <c r="T40" s="667" t="s">
        <v>14</v>
      </c>
      <c r="U40" s="668">
        <f t="shared" si="13"/>
        <v>100</v>
      </c>
      <c r="V40" s="667" t="s">
        <v>14</v>
      </c>
      <c r="W40" s="668">
        <f t="shared" si="14"/>
        <v>100</v>
      </c>
      <c r="X40" s="1265"/>
      <c r="Y40" s="347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63" t="str">
        <f>A41</f>
        <v>成交单价（元/平方米）</v>
      </c>
      <c r="Q41" s="3463"/>
      <c r="R41" s="3458">
        <f>E41</f>
        <v>0</v>
      </c>
      <c r="S41" s="3458"/>
      <c r="T41" s="3458">
        <f>G41</f>
        <v>0</v>
      </c>
      <c r="U41" s="3458"/>
      <c r="V41" s="3458">
        <f>I41</f>
        <v>0</v>
      </c>
      <c r="W41" s="3458"/>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63" t="str">
        <f>A42</f>
        <v>比较价值（元/平方米）</v>
      </c>
      <c r="Q42" s="3463"/>
      <c r="R42" s="3458" t="e">
        <f>IF(F1="售价",ROUND(PRODUCT(R41,AA7:AA40),0),ROUND(PRODUCT(R41,AA7:AA40),1))</f>
        <v>#DIV/0!</v>
      </c>
      <c r="S42" s="3458"/>
      <c r="T42" s="3458" t="e">
        <f>IF(F1="售价",ROUND(PRODUCT(T41,AB7:AB40),0),ROUND(PRODUCT(T41,AB7:AB40),1))</f>
        <v>#DIV/0!</v>
      </c>
      <c r="U42" s="3458"/>
      <c r="V42" s="3458" t="e">
        <f>IF(F1="售价",ROUND(PRODUCT(V41,AC7:AC40),0),ROUND(PRODUCT(V41,AC7:AC40),1))</f>
        <v>#DIV/0!</v>
      </c>
      <c r="W42" s="345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60" t="str">
        <f>A43</f>
        <v>估价对象XX用房的比较价值（楼面单价，元/平方米）</v>
      </c>
      <c r="Q43" s="3461"/>
      <c r="R43" s="3462" t="e">
        <f>IF(F1="售价",ROUND(IF(D42="简单平均",AVERAGE(R42:V42),R42*F42+T42*H42+V42*J42),0),ROUND(IF(D42="简单平均",AVERAGE(R42:V42),R42*F42+T42*H42+V42*J42),1))</f>
        <v>#DIV/0!</v>
      </c>
      <c r="S43" s="3462"/>
      <c r="T43" s="3462"/>
      <c r="U43" s="3462"/>
      <c r="V43" s="3462"/>
      <c r="W43" s="346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46" t="s">
        <v>1770</v>
      </c>
      <c r="D4" s="3447"/>
      <c r="E4" s="3448" t="s">
        <v>1771</v>
      </c>
      <c r="F4" s="3449"/>
      <c r="G4" s="3446" t="s">
        <v>1772</v>
      </c>
      <c r="H4" s="3447"/>
      <c r="I4" s="3446" t="s">
        <v>1773</v>
      </c>
      <c r="J4" s="3447"/>
      <c r="K4" s="537" t="s">
        <v>1774</v>
      </c>
      <c r="L4" s="2487"/>
      <c r="M4" s="2488"/>
      <c r="N4" s="2488"/>
      <c r="O4" s="2488"/>
      <c r="P4" s="3450" t="s">
        <v>1775</v>
      </c>
      <c r="Q4" s="3451"/>
      <c r="R4" s="3432" t="s">
        <v>1771</v>
      </c>
      <c r="S4" s="3433"/>
      <c r="T4" s="3432" t="s">
        <v>1772</v>
      </c>
      <c r="U4" s="3433"/>
      <c r="V4" s="3458" t="s">
        <v>1773</v>
      </c>
      <c r="W4" s="3458"/>
      <c r="X4" s="1265"/>
      <c r="Y4" s="3432" t="s">
        <v>1775</v>
      </c>
      <c r="Z4" s="3433"/>
      <c r="AA4" s="3427" t="s">
        <v>1771</v>
      </c>
      <c r="AB4" s="3428" t="s">
        <v>1772</v>
      </c>
      <c r="AC4" s="3427" t="s">
        <v>1773</v>
      </c>
    </row>
    <row r="5" spans="1:29" ht="15">
      <c r="A5" s="348"/>
      <c r="B5" s="349"/>
      <c r="C5" s="3442" t="s">
        <v>1673</v>
      </c>
      <c r="D5" s="3439"/>
      <c r="E5" s="3436" t="s">
        <v>1674</v>
      </c>
      <c r="F5" s="3437"/>
      <c r="G5" s="3442" t="s">
        <v>1675</v>
      </c>
      <c r="H5" s="3439"/>
      <c r="I5" s="3442" t="s">
        <v>1676</v>
      </c>
      <c r="J5" s="3439"/>
      <c r="K5" s="537"/>
      <c r="L5" s="2487"/>
      <c r="M5" s="2488"/>
      <c r="N5" s="2488"/>
      <c r="O5" s="2488"/>
      <c r="P5" s="3452"/>
      <c r="Q5" s="3453"/>
      <c r="R5" s="3434"/>
      <c r="S5" s="3435"/>
      <c r="T5" s="3434"/>
      <c r="U5" s="3435"/>
      <c r="V5" s="3458"/>
      <c r="W5" s="3458"/>
      <c r="X5" s="1265"/>
      <c r="Y5" s="3434"/>
      <c r="Z5" s="3435"/>
      <c r="AA5" s="3428"/>
      <c r="AB5" s="3428"/>
      <c r="AC5" s="3428"/>
    </row>
    <row r="6" spans="1:29" ht="15.75" thickBot="1">
      <c r="A6" s="350"/>
      <c r="B6" s="351"/>
      <c r="C6" s="3440" t="s">
        <v>1677</v>
      </c>
      <c r="D6" s="3441"/>
      <c r="E6" s="3473" t="s">
        <v>1677</v>
      </c>
      <c r="F6" s="3444"/>
      <c r="G6" s="3440" t="s">
        <v>1677</v>
      </c>
      <c r="H6" s="3441"/>
      <c r="I6" s="3440" t="s">
        <v>1677</v>
      </c>
      <c r="J6" s="3441"/>
      <c r="K6" s="537" t="s">
        <v>1678</v>
      </c>
      <c r="L6" s="2487"/>
      <c r="M6" s="2488"/>
      <c r="N6" s="2488"/>
      <c r="O6" s="2488"/>
      <c r="P6" s="3454"/>
      <c r="Q6" s="3455"/>
      <c r="R6" s="3434"/>
      <c r="S6" s="3435"/>
      <c r="T6" s="3456"/>
      <c r="U6" s="3457"/>
      <c r="V6" s="3458"/>
      <c r="W6" s="3458"/>
      <c r="X6" s="1265"/>
      <c r="Y6" s="3456"/>
      <c r="Z6" s="3457"/>
      <c r="AA6" s="3429"/>
      <c r="AB6" s="3429"/>
      <c r="AC6" s="3429"/>
    </row>
    <row r="7" spans="1:29" s="102" customFormat="1" ht="15.75" thickBot="1">
      <c r="A7" s="352" t="s">
        <v>1679</v>
      </c>
      <c r="B7" s="353"/>
      <c r="C7" s="354">
        <f>'数据-取费表'!B2</f>
        <v>46016</v>
      </c>
      <c r="D7" s="355">
        <v>100</v>
      </c>
      <c r="E7" s="356"/>
      <c r="F7" s="357">
        <f>SUMIF(48:48,YEAR(E7)&amp;"-"&amp;MONTH(E7),49:49)</f>
        <v>0</v>
      </c>
      <c r="G7" s="356"/>
      <c r="H7" s="355">
        <f>SUMIF(48:48,YEAR(G7)&amp;"-"&amp;MONTH(G7),49:49)</f>
        <v>0</v>
      </c>
      <c r="I7" s="356"/>
      <c r="J7" s="355">
        <f>SUMIF(48:48,YEAR(I7)&amp;"-"&amp;MONTH(I7),49:49)</f>
        <v>0</v>
      </c>
      <c r="K7" s="38"/>
      <c r="L7" s="2489"/>
      <c r="M7" s="2440"/>
      <c r="N7" s="2440"/>
      <c r="O7" s="2440"/>
      <c r="P7" s="3430" t="s">
        <v>1680</v>
      </c>
      <c r="Q7" s="3459"/>
      <c r="R7" s="664" t="s">
        <v>14</v>
      </c>
      <c r="S7" s="665">
        <f t="shared" ref="S7:S14" si="0">F7</f>
        <v>0</v>
      </c>
      <c r="T7" s="664" t="s">
        <v>14</v>
      </c>
      <c r="U7" s="665">
        <f t="shared" ref="U7:U14" si="1">H7</f>
        <v>0</v>
      </c>
      <c r="V7" s="664" t="s">
        <v>14</v>
      </c>
      <c r="W7" s="665">
        <f t="shared" ref="W7:W14"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30" t="s">
        <v>1683</v>
      </c>
      <c r="Q8" s="3431"/>
      <c r="R8" s="664" t="s">
        <v>14</v>
      </c>
      <c r="S8" s="665">
        <f t="shared" si="0"/>
        <v>100</v>
      </c>
      <c r="T8" s="664" t="s">
        <v>14</v>
      </c>
      <c r="U8" s="665">
        <f t="shared" si="1"/>
        <v>100</v>
      </c>
      <c r="V8" s="664" t="s">
        <v>14</v>
      </c>
      <c r="W8" s="665">
        <f t="shared" si="2"/>
        <v>100</v>
      </c>
      <c r="X8" s="666"/>
      <c r="Y8" s="3430" t="s">
        <v>1683</v>
      </c>
      <c r="Z8" s="343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63" t="s">
        <v>1686</v>
      </c>
      <c r="Q9" s="530" t="str">
        <f t="shared" ref="Q9:Q14" si="6">B9</f>
        <v>用途</v>
      </c>
      <c r="R9" s="664" t="s">
        <v>14</v>
      </c>
      <c r="S9" s="665">
        <f t="shared" si="0"/>
        <v>100</v>
      </c>
      <c r="T9" s="664" t="s">
        <v>14</v>
      </c>
      <c r="U9" s="665">
        <f t="shared" si="1"/>
        <v>100</v>
      </c>
      <c r="V9" s="664" t="s">
        <v>14</v>
      </c>
      <c r="W9" s="665">
        <f t="shared" si="2"/>
        <v>100</v>
      </c>
      <c r="X9" s="666"/>
      <c r="Y9" s="3355"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63"/>
      <c r="Q10" s="530" t="str">
        <f t="shared" si="6"/>
        <v>土地使用年限（年）</v>
      </c>
      <c r="R10" s="664" t="s">
        <v>14</v>
      </c>
      <c r="S10" s="665">
        <f t="shared" si="0"/>
        <v>100</v>
      </c>
      <c r="T10" s="664" t="s">
        <v>14</v>
      </c>
      <c r="U10" s="665">
        <f t="shared" si="1"/>
        <v>100</v>
      </c>
      <c r="V10" s="664" t="s">
        <v>14</v>
      </c>
      <c r="W10" s="665">
        <f t="shared" si="2"/>
        <v>100</v>
      </c>
      <c r="X10" s="666"/>
      <c r="Y10" s="335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63"/>
      <c r="Q11" s="530">
        <f t="shared" si="6"/>
        <v>111</v>
      </c>
      <c r="R11" s="664" t="s">
        <v>14</v>
      </c>
      <c r="S11" s="665">
        <f t="shared" si="0"/>
        <v>100</v>
      </c>
      <c r="T11" s="664" t="s">
        <v>14</v>
      </c>
      <c r="U11" s="665">
        <f t="shared" si="1"/>
        <v>100</v>
      </c>
      <c r="V11" s="664" t="s">
        <v>14</v>
      </c>
      <c r="W11" s="665">
        <f t="shared" si="2"/>
        <v>100</v>
      </c>
      <c r="X11" s="666"/>
      <c r="Y11" s="335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63"/>
      <c r="Q12" s="530">
        <f t="shared" si="6"/>
        <v>111</v>
      </c>
      <c r="R12" s="664" t="s">
        <v>14</v>
      </c>
      <c r="S12" s="665">
        <f t="shared" si="0"/>
        <v>100</v>
      </c>
      <c r="T12" s="664" t="s">
        <v>14</v>
      </c>
      <c r="U12" s="665">
        <f t="shared" si="1"/>
        <v>100</v>
      </c>
      <c r="V12" s="664" t="s">
        <v>14</v>
      </c>
      <c r="W12" s="665">
        <f t="shared" si="2"/>
        <v>100</v>
      </c>
      <c r="X12" s="666"/>
      <c r="Y12" s="335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63"/>
      <c r="Q13" s="530">
        <f t="shared" si="6"/>
        <v>111</v>
      </c>
      <c r="R13" s="664" t="s">
        <v>14</v>
      </c>
      <c r="S13" s="665">
        <f t="shared" si="0"/>
        <v>100</v>
      </c>
      <c r="T13" s="664" t="s">
        <v>14</v>
      </c>
      <c r="U13" s="665">
        <f t="shared" si="1"/>
        <v>100</v>
      </c>
      <c r="V13" s="664" t="s">
        <v>14</v>
      </c>
      <c r="W13" s="665">
        <f t="shared" si="2"/>
        <v>100</v>
      </c>
      <c r="X13" s="666"/>
      <c r="Y13" s="3355"/>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64" t="s">
        <v>1691</v>
      </c>
      <c r="Q14" s="1263" t="str">
        <f t="shared" si="6"/>
        <v>交通便捷度</v>
      </c>
      <c r="R14" s="667" t="s">
        <v>14</v>
      </c>
      <c r="S14" s="668">
        <f t="shared" si="0"/>
        <v>100</v>
      </c>
      <c r="T14" s="667" t="s">
        <v>14</v>
      </c>
      <c r="U14" s="668">
        <f t="shared" si="1"/>
        <v>100</v>
      </c>
      <c r="V14" s="667" t="s">
        <v>14</v>
      </c>
      <c r="W14" s="668">
        <f t="shared" si="2"/>
        <v>100</v>
      </c>
      <c r="X14" s="1265"/>
      <c r="Y14" s="346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65"/>
      <c r="Q15" s="1263"/>
      <c r="R15" s="667"/>
      <c r="S15" s="668"/>
      <c r="T15" s="667"/>
      <c r="U15" s="668"/>
      <c r="V15" s="667"/>
      <c r="W15" s="668"/>
      <c r="X15" s="1265"/>
      <c r="Y15" s="3465"/>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65"/>
      <c r="Q16" s="1263" t="str">
        <f>B16</f>
        <v>公共配套设施</v>
      </c>
      <c r="R16" s="667" t="s">
        <v>14</v>
      </c>
      <c r="S16" s="668">
        <f>F16</f>
        <v>100</v>
      </c>
      <c r="T16" s="667" t="s">
        <v>14</v>
      </c>
      <c r="U16" s="668">
        <f>H16</f>
        <v>100</v>
      </c>
      <c r="V16" s="667" t="s">
        <v>14</v>
      </c>
      <c r="W16" s="668">
        <f>J16</f>
        <v>100</v>
      </c>
      <c r="X16" s="1265"/>
      <c r="Y16" s="346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65"/>
      <c r="Q17" s="1263"/>
      <c r="R17" s="667"/>
      <c r="S17" s="668"/>
      <c r="T17" s="667"/>
      <c r="U17" s="668"/>
      <c r="V17" s="667"/>
      <c r="W17" s="668"/>
      <c r="X17" s="1265"/>
      <c r="Y17" s="3465"/>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65"/>
      <c r="Q18" s="1263" t="str">
        <f>B18</f>
        <v>基础设施水平</v>
      </c>
      <c r="R18" s="667" t="s">
        <v>14</v>
      </c>
      <c r="S18" s="668">
        <f>F18</f>
        <v>100</v>
      </c>
      <c r="T18" s="667" t="s">
        <v>14</v>
      </c>
      <c r="U18" s="668">
        <f>H18</f>
        <v>100</v>
      </c>
      <c r="V18" s="667" t="s">
        <v>14</v>
      </c>
      <c r="W18" s="668">
        <f>J18</f>
        <v>100</v>
      </c>
      <c r="X18" s="1265"/>
      <c r="Y18" s="346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65"/>
      <c r="Q19" s="1263"/>
      <c r="R19" s="667"/>
      <c r="S19" s="668"/>
      <c r="T19" s="667"/>
      <c r="U19" s="668"/>
      <c r="V19" s="667"/>
      <c r="W19" s="668"/>
      <c r="X19" s="1265"/>
      <c r="Y19" s="3465"/>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65"/>
      <c r="Q20" s="1263" t="str">
        <f>B20</f>
        <v>自然及人文环境</v>
      </c>
      <c r="R20" s="667" t="s">
        <v>14</v>
      </c>
      <c r="S20" s="668">
        <f>F20</f>
        <v>100</v>
      </c>
      <c r="T20" s="667" t="s">
        <v>14</v>
      </c>
      <c r="U20" s="668">
        <f>H20</f>
        <v>100</v>
      </c>
      <c r="V20" s="667" t="s">
        <v>14</v>
      </c>
      <c r="W20" s="668">
        <f>J20</f>
        <v>100</v>
      </c>
      <c r="X20" s="1265"/>
      <c r="Y20" s="346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65"/>
      <c r="Q21" s="1263"/>
      <c r="R21" s="667"/>
      <c r="S21" s="668"/>
      <c r="T21" s="667"/>
      <c r="U21" s="668"/>
      <c r="V21" s="667"/>
      <c r="W21" s="668"/>
      <c r="X21" s="1265"/>
      <c r="Y21" s="346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65"/>
      <c r="Q22" s="1263" t="str">
        <f>B22</f>
        <v>楼层</v>
      </c>
      <c r="R22" s="667" t="s">
        <v>14</v>
      </c>
      <c r="S22" s="668">
        <f>F22</f>
        <v>100</v>
      </c>
      <c r="T22" s="667" t="s">
        <v>14</v>
      </c>
      <c r="U22" s="668">
        <f>H22</f>
        <v>100</v>
      </c>
      <c r="V22" s="667" t="s">
        <v>14</v>
      </c>
      <c r="W22" s="668">
        <f>J22</f>
        <v>100</v>
      </c>
      <c r="X22" s="1265"/>
      <c r="Y22" s="346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65"/>
      <c r="Q23" s="1263">
        <f>B23</f>
        <v>111</v>
      </c>
      <c r="R23" s="667" t="s">
        <v>14</v>
      </c>
      <c r="S23" s="668">
        <f>F23</f>
        <v>100</v>
      </c>
      <c r="T23" s="667" t="s">
        <v>14</v>
      </c>
      <c r="U23" s="668">
        <f>H23</f>
        <v>100</v>
      </c>
      <c r="V23" s="667" t="s">
        <v>14</v>
      </c>
      <c r="W23" s="668">
        <f>J23</f>
        <v>100</v>
      </c>
      <c r="X23" s="1265"/>
      <c r="Y23" s="346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65"/>
      <c r="Q24" s="1263">
        <f t="shared" ref="Q24:Q36" si="11">B24</f>
        <v>111</v>
      </c>
      <c r="R24" s="667" t="s">
        <v>14</v>
      </c>
      <c r="S24" s="668">
        <f>F24</f>
        <v>100</v>
      </c>
      <c r="T24" s="667" t="s">
        <v>14</v>
      </c>
      <c r="U24" s="668">
        <f>H24</f>
        <v>100</v>
      </c>
      <c r="V24" s="667" t="s">
        <v>14</v>
      </c>
      <c r="W24" s="668">
        <f>J24</f>
        <v>100</v>
      </c>
      <c r="X24" s="1265"/>
      <c r="Y24" s="346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65"/>
      <c r="Q25" s="530">
        <f t="shared" si="11"/>
        <v>111</v>
      </c>
      <c r="R25" s="664" t="s">
        <v>14</v>
      </c>
      <c r="S25" s="665">
        <f>F25</f>
        <v>100</v>
      </c>
      <c r="T25" s="664" t="s">
        <v>14</v>
      </c>
      <c r="U25" s="665">
        <f>H25</f>
        <v>100</v>
      </c>
      <c r="V25" s="664" t="s">
        <v>14</v>
      </c>
      <c r="W25" s="665">
        <f>J25</f>
        <v>100</v>
      </c>
      <c r="X25" s="666"/>
      <c r="Y25" s="346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8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6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69"/>
      <c r="Q27" s="531" t="str">
        <f t="shared" si="11"/>
        <v>项目停车位配比</v>
      </c>
      <c r="R27" s="669" t="s">
        <v>14</v>
      </c>
      <c r="S27" s="670">
        <f t="shared" si="12"/>
        <v>100</v>
      </c>
      <c r="T27" s="669" t="s">
        <v>14</v>
      </c>
      <c r="U27" s="670">
        <f t="shared" si="13"/>
        <v>100</v>
      </c>
      <c r="V27" s="669" t="s">
        <v>14</v>
      </c>
      <c r="W27" s="670">
        <f t="shared" si="14"/>
        <v>100</v>
      </c>
      <c r="X27" s="671"/>
      <c r="Y27" s="346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69"/>
      <c r="Q28" s="1263" t="str">
        <f t="shared" si="11"/>
        <v>公共部分装修</v>
      </c>
      <c r="R28" s="667" t="s">
        <v>14</v>
      </c>
      <c r="S28" s="668">
        <f t="shared" si="12"/>
        <v>100</v>
      </c>
      <c r="T28" s="667" t="s">
        <v>14</v>
      </c>
      <c r="U28" s="668">
        <f t="shared" si="13"/>
        <v>100</v>
      </c>
      <c r="V28" s="667" t="s">
        <v>14</v>
      </c>
      <c r="W28" s="668">
        <f t="shared" si="14"/>
        <v>100</v>
      </c>
      <c r="X28" s="1265"/>
      <c r="Y28" s="346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69"/>
      <c r="Q29" s="1263" t="str">
        <f t="shared" si="11"/>
        <v>成新率</v>
      </c>
      <c r="R29" s="667" t="s">
        <v>14</v>
      </c>
      <c r="S29" s="668" t="e">
        <f t="shared" si="12"/>
        <v>#N/A</v>
      </c>
      <c r="T29" s="667" t="s">
        <v>14</v>
      </c>
      <c r="U29" s="668" t="e">
        <f t="shared" si="13"/>
        <v>#N/A</v>
      </c>
      <c r="V29" s="667" t="s">
        <v>14</v>
      </c>
      <c r="W29" s="668" t="e">
        <f t="shared" si="14"/>
        <v>#N/A</v>
      </c>
      <c r="X29" s="1265"/>
      <c r="Y29" s="346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69"/>
      <c r="Q30" s="1263" t="str">
        <f t="shared" si="11"/>
        <v>物业等级</v>
      </c>
      <c r="R30" s="667" t="s">
        <v>14</v>
      </c>
      <c r="S30" s="668">
        <f t="shared" si="12"/>
        <v>100</v>
      </c>
      <c r="T30" s="667" t="s">
        <v>14</v>
      </c>
      <c r="U30" s="668">
        <f t="shared" si="13"/>
        <v>100</v>
      </c>
      <c r="V30" s="667" t="s">
        <v>14</v>
      </c>
      <c r="W30" s="668">
        <f t="shared" si="14"/>
        <v>100</v>
      </c>
      <c r="X30" s="1265"/>
      <c r="Y30" s="346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69"/>
      <c r="Q31" s="530" t="str">
        <f t="shared" si="11"/>
        <v>停车位面积</v>
      </c>
      <c r="R31" s="664" t="s">
        <v>14</v>
      </c>
      <c r="S31" s="665" t="e">
        <f t="shared" si="12"/>
        <v>#N/A</v>
      </c>
      <c r="T31" s="664" t="s">
        <v>14</v>
      </c>
      <c r="U31" s="665" t="e">
        <f t="shared" si="13"/>
        <v>#N/A</v>
      </c>
      <c r="V31" s="664" t="s">
        <v>14</v>
      </c>
      <c r="W31" s="665" t="e">
        <f t="shared" si="14"/>
        <v>#N/A</v>
      </c>
      <c r="X31" s="666"/>
      <c r="Y31" s="346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69" t="s">
        <v>1696</v>
      </c>
      <c r="Q32" s="1263" t="str">
        <f t="shared" si="11"/>
        <v>车位类型</v>
      </c>
      <c r="R32" s="667" t="s">
        <v>14</v>
      </c>
      <c r="S32" s="668">
        <f t="shared" si="12"/>
        <v>100</v>
      </c>
      <c r="T32" s="667" t="s">
        <v>14</v>
      </c>
      <c r="U32" s="668">
        <f t="shared" si="13"/>
        <v>100</v>
      </c>
      <c r="V32" s="667" t="s">
        <v>14</v>
      </c>
      <c r="W32" s="668">
        <f t="shared" si="14"/>
        <v>100</v>
      </c>
      <c r="X32" s="1265"/>
      <c r="Y32" s="346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69"/>
      <c r="Q33" s="1263" t="str">
        <f t="shared" si="11"/>
        <v>是否直接入户</v>
      </c>
      <c r="R33" s="667" t="s">
        <v>14</v>
      </c>
      <c r="S33" s="668">
        <f t="shared" si="12"/>
        <v>100</v>
      </c>
      <c r="T33" s="667" t="s">
        <v>14</v>
      </c>
      <c r="U33" s="668">
        <f t="shared" si="13"/>
        <v>100</v>
      </c>
      <c r="V33" s="667" t="s">
        <v>14</v>
      </c>
      <c r="W33" s="668">
        <f t="shared" si="14"/>
        <v>100</v>
      </c>
      <c r="X33" s="1265"/>
      <c r="Y33" s="346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69"/>
      <c r="Q34" s="1263">
        <f t="shared" si="11"/>
        <v>111</v>
      </c>
      <c r="R34" s="667" t="s">
        <v>14</v>
      </c>
      <c r="S34" s="668">
        <f t="shared" si="12"/>
        <v>100</v>
      </c>
      <c r="T34" s="667" t="s">
        <v>14</v>
      </c>
      <c r="U34" s="668">
        <f t="shared" si="13"/>
        <v>100</v>
      </c>
      <c r="V34" s="667" t="s">
        <v>14</v>
      </c>
      <c r="W34" s="668">
        <f t="shared" si="14"/>
        <v>100</v>
      </c>
      <c r="X34" s="1265"/>
      <c r="Y34" s="346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69"/>
      <c r="Q35" s="531">
        <f t="shared" si="11"/>
        <v>111</v>
      </c>
      <c r="R35" s="669" t="s">
        <v>14</v>
      </c>
      <c r="S35" s="670">
        <f t="shared" si="12"/>
        <v>100</v>
      </c>
      <c r="T35" s="669" t="s">
        <v>14</v>
      </c>
      <c r="U35" s="670">
        <f t="shared" si="13"/>
        <v>100</v>
      </c>
      <c r="V35" s="669" t="s">
        <v>14</v>
      </c>
      <c r="W35" s="670">
        <f t="shared" si="14"/>
        <v>100</v>
      </c>
      <c r="X35" s="671"/>
      <c r="Y35" s="346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69"/>
      <c r="Q36" s="1263">
        <f t="shared" si="11"/>
        <v>111</v>
      </c>
      <c r="R36" s="667" t="s">
        <v>14</v>
      </c>
      <c r="S36" s="668">
        <f t="shared" si="12"/>
        <v>100</v>
      </c>
      <c r="T36" s="667" t="s">
        <v>14</v>
      </c>
      <c r="U36" s="668">
        <f t="shared" si="13"/>
        <v>100</v>
      </c>
      <c r="V36" s="667" t="s">
        <v>14</v>
      </c>
      <c r="W36" s="668">
        <f t="shared" si="14"/>
        <v>100</v>
      </c>
      <c r="X36" s="1265"/>
      <c r="Y36" s="3469"/>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463" t="str">
        <f>A37</f>
        <v>成交单价</v>
      </c>
      <c r="Q37" s="3463"/>
      <c r="R37" s="3458">
        <f>E37</f>
        <v>0</v>
      </c>
      <c r="S37" s="3458"/>
      <c r="T37" s="3458">
        <f>G37</f>
        <v>0</v>
      </c>
      <c r="U37" s="3458"/>
      <c r="V37" s="3458">
        <f>I37</f>
        <v>0</v>
      </c>
      <c r="W37" s="3458"/>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63" t="str">
        <f>A38</f>
        <v>比较价值（元/平方米）</v>
      </c>
      <c r="Q38" s="3463"/>
      <c r="R38" s="3458" t="e">
        <f>IF(F1="售价",ROUND(PRODUCT(R37,AA7:AA36),0),ROUND(PRODUCT(R37,AA7:AA36),1))</f>
        <v>#DIV/0!</v>
      </c>
      <c r="S38" s="3458"/>
      <c r="T38" s="3458" t="e">
        <f>IF(F1="售价",ROUND(PRODUCT(T37,AB7:AB36),0),ROUND(PRODUCT(T37,AB7:AB36),1))</f>
        <v>#DIV/0!</v>
      </c>
      <c r="U38" s="3458"/>
      <c r="V38" s="3458" t="e">
        <f>IF(F1="售价",ROUND(PRODUCT(V37,AC7:AC36),0),ROUND(PRODUCT(V37,AC7:AC36),1))</f>
        <v>#DIV/0!</v>
      </c>
      <c r="W38" s="345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60" t="str">
        <f>A39</f>
        <v>估价对象XX用房的比较价值（楼面单价，元/平方米）</v>
      </c>
      <c r="Q39" s="3461"/>
      <c r="R39" s="3490" t="e">
        <f>IF(F1="售价",ROUND(IF(D38="简单平均",AVERAGE(R38:W38),R38*F38+T38*H38+V38*J38),0),ROUND(IF(D38="简单平均",AVERAGE(R38:V38),R38*F38+T38*H38+V38*J38),1))</f>
        <v>#DIV/0!</v>
      </c>
      <c r="S39" s="3490"/>
      <c r="T39" s="3490"/>
      <c r="U39" s="3490"/>
      <c r="V39" s="3490"/>
      <c r="W39" s="349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46" t="s">
        <v>1770</v>
      </c>
      <c r="D4" s="3447"/>
      <c r="E4" s="3448" t="s">
        <v>1771</v>
      </c>
      <c r="F4" s="3449"/>
      <c r="G4" s="3446" t="s">
        <v>1772</v>
      </c>
      <c r="H4" s="3447"/>
      <c r="I4" s="3446" t="s">
        <v>1773</v>
      </c>
      <c r="J4" s="3447"/>
      <c r="K4" s="537" t="s">
        <v>1774</v>
      </c>
      <c r="L4" s="2487"/>
      <c r="M4" s="2488"/>
      <c r="N4" s="2488"/>
      <c r="O4" s="2488"/>
      <c r="P4" s="3450" t="s">
        <v>1775</v>
      </c>
      <c r="Q4" s="3451"/>
      <c r="R4" s="3432" t="s">
        <v>1771</v>
      </c>
      <c r="S4" s="3433"/>
      <c r="T4" s="3432" t="s">
        <v>1772</v>
      </c>
      <c r="U4" s="3433"/>
      <c r="V4" s="3458" t="s">
        <v>1773</v>
      </c>
      <c r="W4" s="3458"/>
      <c r="X4" s="1265"/>
      <c r="Y4" s="3432" t="s">
        <v>1775</v>
      </c>
      <c r="Z4" s="3433"/>
      <c r="AA4" s="3427" t="s">
        <v>1771</v>
      </c>
      <c r="AB4" s="3428" t="s">
        <v>1772</v>
      </c>
      <c r="AC4" s="3427" t="s">
        <v>1773</v>
      </c>
    </row>
    <row r="5" spans="1:29" ht="15">
      <c r="A5" s="348"/>
      <c r="B5" s="349"/>
      <c r="C5" s="3442" t="s">
        <v>1673</v>
      </c>
      <c r="D5" s="3439"/>
      <c r="E5" s="3436" t="s">
        <v>1674</v>
      </c>
      <c r="F5" s="3437"/>
      <c r="G5" s="3442" t="s">
        <v>1675</v>
      </c>
      <c r="H5" s="3439"/>
      <c r="I5" s="3442" t="s">
        <v>1676</v>
      </c>
      <c r="J5" s="3439"/>
      <c r="K5" s="537"/>
      <c r="L5" s="2487"/>
      <c r="M5" s="2488"/>
      <c r="N5" s="2488"/>
      <c r="O5" s="2488"/>
      <c r="P5" s="3452"/>
      <c r="Q5" s="3453"/>
      <c r="R5" s="3434"/>
      <c r="S5" s="3435"/>
      <c r="T5" s="3434"/>
      <c r="U5" s="3435"/>
      <c r="V5" s="3458"/>
      <c r="W5" s="3458"/>
      <c r="X5" s="1265"/>
      <c r="Y5" s="3434"/>
      <c r="Z5" s="3435"/>
      <c r="AA5" s="3428"/>
      <c r="AB5" s="3428"/>
      <c r="AC5" s="3428"/>
    </row>
    <row r="6" spans="1:29" ht="15.75" thickBot="1">
      <c r="A6" s="350"/>
      <c r="B6" s="351"/>
      <c r="C6" s="3440" t="s">
        <v>1677</v>
      </c>
      <c r="D6" s="3441"/>
      <c r="E6" s="3473" t="s">
        <v>1677</v>
      </c>
      <c r="F6" s="3444"/>
      <c r="G6" s="3440" t="s">
        <v>1677</v>
      </c>
      <c r="H6" s="3441"/>
      <c r="I6" s="3440" t="s">
        <v>1677</v>
      </c>
      <c r="J6" s="3441"/>
      <c r="K6" s="537" t="s">
        <v>1678</v>
      </c>
      <c r="L6" s="2487"/>
      <c r="M6" s="2488"/>
      <c r="N6" s="2488"/>
      <c r="O6" s="2488"/>
      <c r="P6" s="3454"/>
      <c r="Q6" s="3455"/>
      <c r="R6" s="3434"/>
      <c r="S6" s="3435"/>
      <c r="T6" s="3456"/>
      <c r="U6" s="3457"/>
      <c r="V6" s="3458"/>
      <c r="W6" s="3458"/>
      <c r="X6" s="1265"/>
      <c r="Y6" s="3456"/>
      <c r="Z6" s="3457"/>
      <c r="AA6" s="3429"/>
      <c r="AB6" s="3429"/>
      <c r="AC6" s="3429"/>
    </row>
    <row r="7" spans="1:29" s="102" customFormat="1" ht="15.75" thickBot="1">
      <c r="A7" s="352" t="s">
        <v>1679</v>
      </c>
      <c r="B7" s="353"/>
      <c r="C7" s="354">
        <f>'数据-取费表'!B2</f>
        <v>46016</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30" t="s">
        <v>1680</v>
      </c>
      <c r="Q7" s="3459"/>
      <c r="R7" s="664" t="s">
        <v>14</v>
      </c>
      <c r="S7" s="665">
        <f t="shared" ref="S7:S14" si="0">F7</f>
        <v>0</v>
      </c>
      <c r="T7" s="664" t="s">
        <v>14</v>
      </c>
      <c r="U7" s="665">
        <f t="shared" ref="U7:U14" si="1">H7</f>
        <v>0</v>
      </c>
      <c r="V7" s="664" t="s">
        <v>14</v>
      </c>
      <c r="W7" s="665">
        <f t="shared" ref="W7:W14"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30" t="s">
        <v>1683</v>
      </c>
      <c r="Q8" s="3431"/>
      <c r="R8" s="664" t="s">
        <v>14</v>
      </c>
      <c r="S8" s="665">
        <f t="shared" si="0"/>
        <v>100</v>
      </c>
      <c r="T8" s="664" t="s">
        <v>14</v>
      </c>
      <c r="U8" s="665">
        <f t="shared" si="1"/>
        <v>100</v>
      </c>
      <c r="V8" s="664" t="s">
        <v>14</v>
      </c>
      <c r="W8" s="665">
        <f t="shared" si="2"/>
        <v>100</v>
      </c>
      <c r="X8" s="666"/>
      <c r="Y8" s="3430" t="s">
        <v>1683</v>
      </c>
      <c r="Z8" s="343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63" t="s">
        <v>1686</v>
      </c>
      <c r="Q9" s="530" t="str">
        <f t="shared" ref="Q9:Q14" si="6">B9</f>
        <v>用途</v>
      </c>
      <c r="R9" s="664" t="s">
        <v>14</v>
      </c>
      <c r="S9" s="665">
        <f t="shared" si="0"/>
        <v>100</v>
      </c>
      <c r="T9" s="664" t="s">
        <v>14</v>
      </c>
      <c r="U9" s="665">
        <f t="shared" si="1"/>
        <v>100</v>
      </c>
      <c r="V9" s="664" t="s">
        <v>14</v>
      </c>
      <c r="W9" s="665">
        <f t="shared" si="2"/>
        <v>100</v>
      </c>
      <c r="X9" s="666"/>
      <c r="Y9" s="3355"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63"/>
      <c r="Q10" s="530" t="str">
        <f t="shared" si="6"/>
        <v>土地使用年限（年）</v>
      </c>
      <c r="R10" s="664" t="s">
        <v>14</v>
      </c>
      <c r="S10" s="665">
        <f t="shared" si="0"/>
        <v>100</v>
      </c>
      <c r="T10" s="664" t="s">
        <v>14</v>
      </c>
      <c r="U10" s="665">
        <f t="shared" si="1"/>
        <v>100</v>
      </c>
      <c r="V10" s="664" t="s">
        <v>14</v>
      </c>
      <c r="W10" s="665">
        <f t="shared" si="2"/>
        <v>100</v>
      </c>
      <c r="X10" s="666"/>
      <c r="Y10" s="335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63"/>
      <c r="Q11" s="530">
        <f t="shared" si="6"/>
        <v>111</v>
      </c>
      <c r="R11" s="664" t="s">
        <v>14</v>
      </c>
      <c r="S11" s="665">
        <f t="shared" si="0"/>
        <v>100</v>
      </c>
      <c r="T11" s="664" t="s">
        <v>14</v>
      </c>
      <c r="U11" s="665">
        <f t="shared" si="1"/>
        <v>100</v>
      </c>
      <c r="V11" s="664" t="s">
        <v>14</v>
      </c>
      <c r="W11" s="665">
        <f t="shared" si="2"/>
        <v>100</v>
      </c>
      <c r="X11" s="666"/>
      <c r="Y11" s="335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63"/>
      <c r="Q12" s="530">
        <f t="shared" si="6"/>
        <v>111</v>
      </c>
      <c r="R12" s="664" t="s">
        <v>14</v>
      </c>
      <c r="S12" s="665">
        <f t="shared" si="0"/>
        <v>100</v>
      </c>
      <c r="T12" s="664" t="s">
        <v>14</v>
      </c>
      <c r="U12" s="665">
        <f t="shared" si="1"/>
        <v>100</v>
      </c>
      <c r="V12" s="664" t="s">
        <v>14</v>
      </c>
      <c r="W12" s="665">
        <f t="shared" si="2"/>
        <v>100</v>
      </c>
      <c r="X12" s="666"/>
      <c r="Y12" s="335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63"/>
      <c r="Q13" s="530">
        <f t="shared" si="6"/>
        <v>111</v>
      </c>
      <c r="R13" s="664" t="s">
        <v>14</v>
      </c>
      <c r="S13" s="665">
        <f t="shared" si="0"/>
        <v>100</v>
      </c>
      <c r="T13" s="664" t="s">
        <v>14</v>
      </c>
      <c r="U13" s="665">
        <f t="shared" si="1"/>
        <v>100</v>
      </c>
      <c r="V13" s="664" t="s">
        <v>14</v>
      </c>
      <c r="W13" s="665">
        <f t="shared" si="2"/>
        <v>100</v>
      </c>
      <c r="X13" s="666"/>
      <c r="Y13" s="3355"/>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64" t="s">
        <v>1691</v>
      </c>
      <c r="Q14" s="1263" t="str">
        <f t="shared" si="6"/>
        <v>交通便捷度</v>
      </c>
      <c r="R14" s="667" t="s">
        <v>14</v>
      </c>
      <c r="S14" s="668">
        <f t="shared" si="0"/>
        <v>100</v>
      </c>
      <c r="T14" s="667" t="s">
        <v>14</v>
      </c>
      <c r="U14" s="668">
        <f t="shared" si="1"/>
        <v>100</v>
      </c>
      <c r="V14" s="667" t="s">
        <v>14</v>
      </c>
      <c r="W14" s="668">
        <f t="shared" si="2"/>
        <v>100</v>
      </c>
      <c r="X14" s="1265"/>
      <c r="Y14" s="346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65"/>
      <c r="Q15" s="1263"/>
      <c r="R15" s="667"/>
      <c r="S15" s="668"/>
      <c r="T15" s="667"/>
      <c r="U15" s="668"/>
      <c r="V15" s="667"/>
      <c r="W15" s="668"/>
      <c r="X15" s="1265"/>
      <c r="Y15" s="3465"/>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65"/>
      <c r="Q16" s="1263" t="str">
        <f>B16</f>
        <v>公共配套设施</v>
      </c>
      <c r="R16" s="667" t="s">
        <v>14</v>
      </c>
      <c r="S16" s="668">
        <f>F16</f>
        <v>100</v>
      </c>
      <c r="T16" s="667" t="s">
        <v>14</v>
      </c>
      <c r="U16" s="668">
        <f>H16</f>
        <v>100</v>
      </c>
      <c r="V16" s="667" t="s">
        <v>14</v>
      </c>
      <c r="W16" s="668">
        <f>J16</f>
        <v>100</v>
      </c>
      <c r="X16" s="1265"/>
      <c r="Y16" s="346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65"/>
      <c r="Q17" s="1263"/>
      <c r="R17" s="667"/>
      <c r="S17" s="668"/>
      <c r="T17" s="667"/>
      <c r="U17" s="668"/>
      <c r="V17" s="667"/>
      <c r="W17" s="668"/>
      <c r="X17" s="1265"/>
      <c r="Y17" s="3465"/>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65"/>
      <c r="Q18" s="1263" t="str">
        <f>B18</f>
        <v>基础设施水平</v>
      </c>
      <c r="R18" s="667" t="s">
        <v>14</v>
      </c>
      <c r="S18" s="668">
        <f>F18</f>
        <v>100</v>
      </c>
      <c r="T18" s="667" t="s">
        <v>14</v>
      </c>
      <c r="U18" s="668">
        <f>H18</f>
        <v>100</v>
      </c>
      <c r="V18" s="667" t="s">
        <v>14</v>
      </c>
      <c r="W18" s="668">
        <f>J18</f>
        <v>100</v>
      </c>
      <c r="X18" s="1265"/>
      <c r="Y18" s="346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65"/>
      <c r="Q19" s="1263"/>
      <c r="R19" s="667"/>
      <c r="S19" s="668"/>
      <c r="T19" s="667"/>
      <c r="U19" s="668"/>
      <c r="V19" s="667"/>
      <c r="W19" s="668"/>
      <c r="X19" s="1265"/>
      <c r="Y19" s="3465"/>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65"/>
      <c r="Q20" s="1263" t="str">
        <f>B20</f>
        <v>自然及人文环境</v>
      </c>
      <c r="R20" s="667" t="s">
        <v>14</v>
      </c>
      <c r="S20" s="668">
        <f>F20</f>
        <v>100</v>
      </c>
      <c r="T20" s="667" t="s">
        <v>14</v>
      </c>
      <c r="U20" s="668">
        <f>H20</f>
        <v>100</v>
      </c>
      <c r="V20" s="667" t="s">
        <v>14</v>
      </c>
      <c r="W20" s="668">
        <f>J20</f>
        <v>100</v>
      </c>
      <c r="X20" s="1265"/>
      <c r="Y20" s="346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65"/>
      <c r="Q21" s="1263"/>
      <c r="R21" s="667"/>
      <c r="S21" s="668"/>
      <c r="T21" s="667"/>
      <c r="U21" s="668"/>
      <c r="V21" s="667"/>
      <c r="W21" s="668"/>
      <c r="X21" s="1265"/>
      <c r="Y21" s="346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65"/>
      <c r="Q22" s="1263" t="str">
        <f>B22</f>
        <v>楼层</v>
      </c>
      <c r="R22" s="667" t="s">
        <v>14</v>
      </c>
      <c r="S22" s="668">
        <f>F22</f>
        <v>100</v>
      </c>
      <c r="T22" s="667" t="s">
        <v>14</v>
      </c>
      <c r="U22" s="668">
        <f>H22</f>
        <v>100</v>
      </c>
      <c r="V22" s="667" t="s">
        <v>14</v>
      </c>
      <c r="W22" s="668">
        <f>J22</f>
        <v>100</v>
      </c>
      <c r="X22" s="1265"/>
      <c r="Y22" s="346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65"/>
      <c r="Q23" s="1263">
        <f>B23</f>
        <v>111</v>
      </c>
      <c r="R23" s="667" t="s">
        <v>14</v>
      </c>
      <c r="S23" s="668">
        <f>F23</f>
        <v>100</v>
      </c>
      <c r="T23" s="667" t="s">
        <v>14</v>
      </c>
      <c r="U23" s="668">
        <f>H23</f>
        <v>100</v>
      </c>
      <c r="V23" s="667" t="s">
        <v>14</v>
      </c>
      <c r="W23" s="668">
        <f>J23</f>
        <v>100</v>
      </c>
      <c r="X23" s="1265"/>
      <c r="Y23" s="346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65"/>
      <c r="Q24" s="1263">
        <f t="shared" ref="Q24:Q34" si="11">B24</f>
        <v>111</v>
      </c>
      <c r="R24" s="667" t="s">
        <v>14</v>
      </c>
      <c r="S24" s="668">
        <f>F24</f>
        <v>100</v>
      </c>
      <c r="T24" s="667" t="s">
        <v>14</v>
      </c>
      <c r="U24" s="668">
        <f>H24</f>
        <v>100</v>
      </c>
      <c r="V24" s="667" t="s">
        <v>14</v>
      </c>
      <c r="W24" s="668">
        <f>J24</f>
        <v>100</v>
      </c>
      <c r="X24" s="1265"/>
      <c r="Y24" s="346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65"/>
      <c r="Q25" s="530">
        <f t="shared" si="11"/>
        <v>111</v>
      </c>
      <c r="R25" s="664" t="s">
        <v>14</v>
      </c>
      <c r="S25" s="665">
        <f>F25</f>
        <v>100</v>
      </c>
      <c r="T25" s="664" t="s">
        <v>14</v>
      </c>
      <c r="U25" s="665">
        <f>H25</f>
        <v>100</v>
      </c>
      <c r="V25" s="664" t="s">
        <v>14</v>
      </c>
      <c r="W25" s="665">
        <f>J25</f>
        <v>100</v>
      </c>
      <c r="X25" s="666"/>
      <c r="Y25" s="346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8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6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69"/>
      <c r="Q27" s="531" t="str">
        <f t="shared" si="11"/>
        <v>成新率</v>
      </c>
      <c r="R27" s="669" t="s">
        <v>14</v>
      </c>
      <c r="S27" s="670" t="e">
        <f t="shared" si="12"/>
        <v>#N/A</v>
      </c>
      <c r="T27" s="669" t="s">
        <v>14</v>
      </c>
      <c r="U27" s="670" t="e">
        <f t="shared" si="13"/>
        <v>#N/A</v>
      </c>
      <c r="V27" s="669" t="s">
        <v>14</v>
      </c>
      <c r="W27" s="670" t="e">
        <f t="shared" si="14"/>
        <v>#N/A</v>
      </c>
      <c r="X27" s="671"/>
      <c r="Y27" s="346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69"/>
      <c r="Q28" s="1263" t="str">
        <f t="shared" si="11"/>
        <v>物业等级</v>
      </c>
      <c r="R28" s="667" t="s">
        <v>14</v>
      </c>
      <c r="S28" s="668">
        <f t="shared" si="12"/>
        <v>100</v>
      </c>
      <c r="T28" s="667" t="s">
        <v>14</v>
      </c>
      <c r="U28" s="668">
        <f t="shared" si="13"/>
        <v>100</v>
      </c>
      <c r="V28" s="667" t="s">
        <v>14</v>
      </c>
      <c r="W28" s="668">
        <f t="shared" si="14"/>
        <v>100</v>
      </c>
      <c r="X28" s="1265"/>
      <c r="Y28" s="346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69"/>
      <c r="Q29" s="1263" t="str">
        <f t="shared" si="11"/>
        <v>有无电梯</v>
      </c>
      <c r="R29" s="667" t="s">
        <v>14</v>
      </c>
      <c r="S29" s="668">
        <f t="shared" si="12"/>
        <v>100</v>
      </c>
      <c r="T29" s="667" t="s">
        <v>14</v>
      </c>
      <c r="U29" s="668">
        <f t="shared" si="13"/>
        <v>100</v>
      </c>
      <c r="V29" s="667" t="s">
        <v>14</v>
      </c>
      <c r="W29" s="668">
        <f t="shared" si="14"/>
        <v>100</v>
      </c>
      <c r="X29" s="1265"/>
      <c r="Y29" s="346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69"/>
      <c r="Q30" s="1263" t="str">
        <f t="shared" si="11"/>
        <v>建筑面积</v>
      </c>
      <c r="R30" s="667" t="s">
        <v>14</v>
      </c>
      <c r="S30" s="668" t="e">
        <f t="shared" si="12"/>
        <v>#N/A</v>
      </c>
      <c r="T30" s="667" t="s">
        <v>14</v>
      </c>
      <c r="U30" s="668" t="e">
        <f t="shared" si="13"/>
        <v>#N/A</v>
      </c>
      <c r="V30" s="667" t="s">
        <v>14</v>
      </c>
      <c r="W30" s="668" t="e">
        <f t="shared" si="14"/>
        <v>#N/A</v>
      </c>
      <c r="X30" s="1265"/>
      <c r="Y30" s="346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69"/>
      <c r="Q31" s="530" t="str">
        <f t="shared" si="11"/>
        <v>是否封闭</v>
      </c>
      <c r="R31" s="664" t="s">
        <v>14</v>
      </c>
      <c r="S31" s="665">
        <f t="shared" si="12"/>
        <v>100</v>
      </c>
      <c r="T31" s="664" t="s">
        <v>14</v>
      </c>
      <c r="U31" s="665">
        <f t="shared" si="13"/>
        <v>100</v>
      </c>
      <c r="V31" s="664" t="s">
        <v>14</v>
      </c>
      <c r="W31" s="665">
        <f t="shared" si="14"/>
        <v>100</v>
      </c>
      <c r="X31" s="666"/>
      <c r="Y31" s="346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69" t="s">
        <v>1696</v>
      </c>
      <c r="Q32" s="1263">
        <f t="shared" si="11"/>
        <v>111</v>
      </c>
      <c r="R32" s="667" t="s">
        <v>14</v>
      </c>
      <c r="S32" s="668">
        <f t="shared" si="12"/>
        <v>100</v>
      </c>
      <c r="T32" s="667" t="s">
        <v>14</v>
      </c>
      <c r="U32" s="668">
        <f t="shared" si="13"/>
        <v>100</v>
      </c>
      <c r="V32" s="667" t="s">
        <v>14</v>
      </c>
      <c r="W32" s="668">
        <f t="shared" si="14"/>
        <v>100</v>
      </c>
      <c r="X32" s="1265"/>
      <c r="Y32" s="346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69"/>
      <c r="Q33" s="1263">
        <f t="shared" si="11"/>
        <v>111</v>
      </c>
      <c r="R33" s="667" t="s">
        <v>14</v>
      </c>
      <c r="S33" s="668">
        <f t="shared" si="12"/>
        <v>100</v>
      </c>
      <c r="T33" s="667" t="s">
        <v>14</v>
      </c>
      <c r="U33" s="668">
        <f t="shared" si="13"/>
        <v>100</v>
      </c>
      <c r="V33" s="667" t="s">
        <v>14</v>
      </c>
      <c r="W33" s="668">
        <f t="shared" si="14"/>
        <v>100</v>
      </c>
      <c r="X33" s="1265"/>
      <c r="Y33" s="346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69"/>
      <c r="Q34" s="1263">
        <f t="shared" si="11"/>
        <v>111</v>
      </c>
      <c r="R34" s="667" t="s">
        <v>14</v>
      </c>
      <c r="S34" s="668">
        <f t="shared" si="12"/>
        <v>100</v>
      </c>
      <c r="T34" s="667" t="s">
        <v>14</v>
      </c>
      <c r="U34" s="668">
        <f t="shared" si="13"/>
        <v>100</v>
      </c>
      <c r="V34" s="667" t="s">
        <v>14</v>
      </c>
      <c r="W34" s="668">
        <f t="shared" si="14"/>
        <v>100</v>
      </c>
      <c r="X34" s="1265"/>
      <c r="Y34" s="346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63" t="str">
        <f>A35</f>
        <v>成交单价（元/平方米）</v>
      </c>
      <c r="Q35" s="3463"/>
      <c r="R35" s="3458">
        <f>E35</f>
        <v>0</v>
      </c>
      <c r="S35" s="3458"/>
      <c r="T35" s="3458">
        <f>G35</f>
        <v>0</v>
      </c>
      <c r="U35" s="3458"/>
      <c r="V35" s="3458">
        <f>I35</f>
        <v>0</v>
      </c>
      <c r="W35" s="3458"/>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63" t="str">
        <f>A36</f>
        <v>比较价值（元/平方米）</v>
      </c>
      <c r="Q36" s="3463"/>
      <c r="R36" s="3458" t="e">
        <f>IF(F1="售价",ROUND(PRODUCT(R35,AA7:AA34),0),ROUND(PRODUCT(R35,AA7:AA34),1))</f>
        <v>#DIV/0!</v>
      </c>
      <c r="S36" s="3458"/>
      <c r="T36" s="3458" t="e">
        <f>IF(F1="售价",ROUND(PRODUCT(T35,AB7:AB34),0),ROUND(PRODUCT(T35,AB7:AB34),1))</f>
        <v>#DIV/0!</v>
      </c>
      <c r="U36" s="3458"/>
      <c r="V36" s="3458" t="e">
        <f>IF(F1="售价",ROUND(PRODUCT(V35,AC7:AC34),0),ROUND(PRODUCT(V35,AC7:AC34),1))</f>
        <v>#DIV/0!</v>
      </c>
      <c r="W36" s="345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60" t="str">
        <f>A37</f>
        <v>估价对象XX用房的比较价值（楼面单价，元/平方米）</v>
      </c>
      <c r="Q37" s="3461"/>
      <c r="R37" s="3490" t="e">
        <f>IF(F1="售价",ROUND(IF(D36="简单平均",AVERAGE(R36:W36),R36*F36+T36*H36+V36*J36),0),ROUND(IF(D36="简单平均",AVERAGE(R36:V36),R36*F36+T36*H36+V36*J36),1))</f>
        <v>#DIV/0!</v>
      </c>
      <c r="S37" s="3490"/>
      <c r="T37" s="3490"/>
      <c r="U37" s="3490"/>
      <c r="V37" s="3490"/>
      <c r="W37" s="349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46" t="s">
        <v>1770</v>
      </c>
      <c r="D4" s="3447"/>
      <c r="E4" s="3448" t="s">
        <v>1771</v>
      </c>
      <c r="F4" s="3449"/>
      <c r="G4" s="3446" t="s">
        <v>1772</v>
      </c>
      <c r="H4" s="3447"/>
      <c r="I4" s="3446" t="s">
        <v>1773</v>
      </c>
      <c r="J4" s="3447"/>
      <c r="K4" s="537" t="s">
        <v>1774</v>
      </c>
      <c r="L4" s="2487"/>
      <c r="M4" s="2488"/>
      <c r="N4" s="2488"/>
      <c r="O4" s="2488"/>
      <c r="P4" s="3450" t="s">
        <v>1775</v>
      </c>
      <c r="Q4" s="3451"/>
      <c r="R4" s="3432" t="s">
        <v>1771</v>
      </c>
      <c r="S4" s="3433"/>
      <c r="T4" s="3432" t="s">
        <v>1772</v>
      </c>
      <c r="U4" s="3433"/>
      <c r="V4" s="3458" t="s">
        <v>1773</v>
      </c>
      <c r="W4" s="3458"/>
      <c r="X4" s="1265"/>
      <c r="Y4" s="3432" t="s">
        <v>1775</v>
      </c>
      <c r="Z4" s="3433"/>
      <c r="AA4" s="3427" t="s">
        <v>1771</v>
      </c>
      <c r="AB4" s="3428" t="s">
        <v>1772</v>
      </c>
      <c r="AC4" s="3427" t="s">
        <v>1773</v>
      </c>
    </row>
    <row r="5" spans="1:29" ht="15">
      <c r="A5" s="348"/>
      <c r="B5" s="349"/>
      <c r="C5" s="3442" t="s">
        <v>1673</v>
      </c>
      <c r="D5" s="3439"/>
      <c r="E5" s="3436" t="s">
        <v>1674</v>
      </c>
      <c r="F5" s="3437"/>
      <c r="G5" s="3442" t="s">
        <v>1675</v>
      </c>
      <c r="H5" s="3439"/>
      <c r="I5" s="3442" t="s">
        <v>1676</v>
      </c>
      <c r="J5" s="3439"/>
      <c r="K5" s="537"/>
      <c r="L5" s="2487"/>
      <c r="M5" s="2488"/>
      <c r="N5" s="2488"/>
      <c r="O5" s="2488"/>
      <c r="P5" s="3452"/>
      <c r="Q5" s="3453"/>
      <c r="R5" s="3434"/>
      <c r="S5" s="3435"/>
      <c r="T5" s="3434"/>
      <c r="U5" s="3435"/>
      <c r="V5" s="3458"/>
      <c r="W5" s="3458"/>
      <c r="X5" s="1265"/>
      <c r="Y5" s="3434"/>
      <c r="Z5" s="3435"/>
      <c r="AA5" s="3428"/>
      <c r="AB5" s="3428"/>
      <c r="AC5" s="3428"/>
    </row>
    <row r="6" spans="1:29" ht="15.75" thickBot="1">
      <c r="A6" s="350"/>
      <c r="B6" s="351"/>
      <c r="C6" s="3440" t="s">
        <v>1677</v>
      </c>
      <c r="D6" s="3441"/>
      <c r="E6" s="3473" t="s">
        <v>1677</v>
      </c>
      <c r="F6" s="3444"/>
      <c r="G6" s="3440" t="s">
        <v>1677</v>
      </c>
      <c r="H6" s="3441"/>
      <c r="I6" s="3440" t="s">
        <v>1677</v>
      </c>
      <c r="J6" s="3441"/>
      <c r="K6" s="537" t="s">
        <v>1678</v>
      </c>
      <c r="L6" s="2487"/>
      <c r="M6" s="2488"/>
      <c r="N6" s="2488"/>
      <c r="O6" s="2488"/>
      <c r="P6" s="3454"/>
      <c r="Q6" s="3455"/>
      <c r="R6" s="3434"/>
      <c r="S6" s="3435"/>
      <c r="T6" s="3456"/>
      <c r="U6" s="3457"/>
      <c r="V6" s="3458"/>
      <c r="W6" s="3458"/>
      <c r="X6" s="1265"/>
      <c r="Y6" s="3456"/>
      <c r="Z6" s="3457"/>
      <c r="AA6" s="3429"/>
      <c r="AB6" s="3429"/>
      <c r="AC6" s="3429"/>
    </row>
    <row r="7" spans="1:29" s="102" customFormat="1" ht="15.75" thickBot="1">
      <c r="A7" s="352" t="s">
        <v>1679</v>
      </c>
      <c r="B7" s="353"/>
      <c r="C7" s="354">
        <f>'数据-取费表'!B2</f>
        <v>46016</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30" t="s">
        <v>1680</v>
      </c>
      <c r="Q7" s="3459"/>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30" t="s">
        <v>1683</v>
      </c>
      <c r="Q8" s="3431"/>
      <c r="R8" s="664" t="s">
        <v>14</v>
      </c>
      <c r="S8" s="665">
        <f t="shared" si="0"/>
        <v>0</v>
      </c>
      <c r="T8" s="664" t="s">
        <v>14</v>
      </c>
      <c r="U8" s="665">
        <f t="shared" si="1"/>
        <v>0</v>
      </c>
      <c r="V8" s="664" t="s">
        <v>14</v>
      </c>
      <c r="W8" s="665">
        <f t="shared" si="2"/>
        <v>0</v>
      </c>
      <c r="X8" s="666"/>
      <c r="Y8" s="3430" t="s">
        <v>1683</v>
      </c>
      <c r="Z8" s="343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63" t="s">
        <v>1686</v>
      </c>
      <c r="Q9" s="530" t="str">
        <f t="shared" ref="Q9:Q15" si="6">B9</f>
        <v>用途</v>
      </c>
      <c r="R9" s="664" t="s">
        <v>14</v>
      </c>
      <c r="S9" s="665">
        <f t="shared" si="0"/>
        <v>100</v>
      </c>
      <c r="T9" s="664" t="s">
        <v>14</v>
      </c>
      <c r="U9" s="665">
        <f t="shared" si="1"/>
        <v>100</v>
      </c>
      <c r="V9" s="664" t="s">
        <v>14</v>
      </c>
      <c r="W9" s="665">
        <f t="shared" si="2"/>
        <v>100</v>
      </c>
      <c r="X9" s="666"/>
      <c r="Y9" s="335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108</v>
      </c>
      <c r="G10" s="402"/>
      <c r="H10" s="119">
        <f>ROUND(100/'数据-取费表'!G16,0)</f>
        <v>108</v>
      </c>
      <c r="I10" s="402"/>
      <c r="J10" s="119">
        <f>ROUND(100/'数据-取费表'!G16,0)</f>
        <v>108</v>
      </c>
      <c r="K10" s="592"/>
      <c r="L10" s="2490"/>
      <c r="M10" s="2491"/>
      <c r="N10" s="2491"/>
      <c r="O10" s="2542"/>
      <c r="P10" s="3463"/>
      <c r="Q10" s="530" t="str">
        <f t="shared" si="6"/>
        <v>土地使用年限（年）</v>
      </c>
      <c r="R10" s="664" t="s">
        <v>14</v>
      </c>
      <c r="S10" s="665">
        <f t="shared" si="0"/>
        <v>108</v>
      </c>
      <c r="T10" s="664" t="s">
        <v>14</v>
      </c>
      <c r="U10" s="665">
        <f t="shared" si="1"/>
        <v>108</v>
      </c>
      <c r="V10" s="664" t="s">
        <v>14</v>
      </c>
      <c r="W10" s="665">
        <f t="shared" si="2"/>
        <v>108</v>
      </c>
      <c r="X10" s="666"/>
      <c r="Y10" s="3355"/>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63"/>
      <c r="Q11" s="530" t="str">
        <f t="shared" si="6"/>
        <v>容积率</v>
      </c>
      <c r="R11" s="664" t="s">
        <v>14</v>
      </c>
      <c r="S11" s="665" t="e">
        <f t="shared" si="0"/>
        <v>#N/A</v>
      </c>
      <c r="T11" s="664" t="s">
        <v>14</v>
      </c>
      <c r="U11" s="665" t="e">
        <f t="shared" si="1"/>
        <v>#N/A</v>
      </c>
      <c r="V11" s="664" t="s">
        <v>14</v>
      </c>
      <c r="W11" s="665" t="e">
        <f t="shared" si="2"/>
        <v>#N/A</v>
      </c>
      <c r="X11" s="666"/>
      <c r="Y11" s="335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63"/>
      <c r="Q12" s="530" t="str">
        <f t="shared" si="6"/>
        <v>配建</v>
      </c>
      <c r="R12" s="664" t="s">
        <v>14</v>
      </c>
      <c r="S12" s="665">
        <f t="shared" si="0"/>
        <v>100</v>
      </c>
      <c r="T12" s="664" t="s">
        <v>14</v>
      </c>
      <c r="U12" s="665">
        <f t="shared" si="1"/>
        <v>100</v>
      </c>
      <c r="V12" s="664" t="s">
        <v>14</v>
      </c>
      <c r="W12" s="665">
        <f t="shared" si="2"/>
        <v>100</v>
      </c>
      <c r="X12" s="666"/>
      <c r="Y12" s="335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63"/>
      <c r="Q13" s="530">
        <f t="shared" si="6"/>
        <v>111</v>
      </c>
      <c r="R13" s="664" t="s">
        <v>14</v>
      </c>
      <c r="S13" s="665">
        <f t="shared" si="0"/>
        <v>100</v>
      </c>
      <c r="T13" s="664" t="s">
        <v>14</v>
      </c>
      <c r="U13" s="665">
        <f t="shared" si="1"/>
        <v>100</v>
      </c>
      <c r="V13" s="664" t="s">
        <v>14</v>
      </c>
      <c r="W13" s="665">
        <f t="shared" si="2"/>
        <v>100</v>
      </c>
      <c r="X13" s="666"/>
      <c r="Y13" s="3355"/>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63"/>
      <c r="Q14" s="530">
        <f t="shared" si="6"/>
        <v>111</v>
      </c>
      <c r="R14" s="664" t="s">
        <v>14</v>
      </c>
      <c r="S14" s="665">
        <f t="shared" si="0"/>
        <v>100</v>
      </c>
      <c r="T14" s="664" t="s">
        <v>14</v>
      </c>
      <c r="U14" s="665">
        <f t="shared" si="1"/>
        <v>100</v>
      </c>
      <c r="V14" s="664" t="s">
        <v>14</v>
      </c>
      <c r="W14" s="665">
        <f t="shared" si="2"/>
        <v>100</v>
      </c>
      <c r="X14" s="666"/>
      <c r="Y14" s="3355"/>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64" t="s">
        <v>1691</v>
      </c>
      <c r="Q15" s="1263" t="str">
        <f t="shared" si="6"/>
        <v>居住社区成熟度</v>
      </c>
      <c r="R15" s="667" t="s">
        <v>14</v>
      </c>
      <c r="S15" s="668">
        <f t="shared" si="0"/>
        <v>100</v>
      </c>
      <c r="T15" s="667" t="s">
        <v>14</v>
      </c>
      <c r="U15" s="668">
        <f t="shared" si="1"/>
        <v>100</v>
      </c>
      <c r="V15" s="667" t="s">
        <v>14</v>
      </c>
      <c r="W15" s="668">
        <f t="shared" si="2"/>
        <v>100</v>
      </c>
      <c r="X15" s="1265"/>
      <c r="Y15" s="346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65"/>
      <c r="Q16" s="1263"/>
      <c r="R16" s="667"/>
      <c r="S16" s="668"/>
      <c r="T16" s="667"/>
      <c r="U16" s="668"/>
      <c r="V16" s="667"/>
      <c r="W16" s="668"/>
      <c r="X16" s="1265"/>
      <c r="Y16" s="3465"/>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65"/>
      <c r="Q17" s="1263" t="str">
        <f>B17</f>
        <v>商业繁华度</v>
      </c>
      <c r="R17" s="667" t="s">
        <v>14</v>
      </c>
      <c r="S17" s="668">
        <f>F17</f>
        <v>100</v>
      </c>
      <c r="T17" s="667" t="s">
        <v>14</v>
      </c>
      <c r="U17" s="668">
        <f>H17</f>
        <v>100</v>
      </c>
      <c r="V17" s="667" t="s">
        <v>14</v>
      </c>
      <c r="W17" s="668">
        <f>J17</f>
        <v>100</v>
      </c>
      <c r="X17" s="1265"/>
      <c r="Y17" s="346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65"/>
      <c r="Q18" s="1263"/>
      <c r="R18" s="667"/>
      <c r="S18" s="668"/>
      <c r="T18" s="667"/>
      <c r="U18" s="668"/>
      <c r="V18" s="667"/>
      <c r="W18" s="668"/>
      <c r="X18" s="1265"/>
      <c r="Y18" s="3465"/>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65"/>
      <c r="Q19" s="1263" t="str">
        <f>B19</f>
        <v>办公集聚程度</v>
      </c>
      <c r="R19" s="667" t="s">
        <v>14</v>
      </c>
      <c r="S19" s="668">
        <f>F19</f>
        <v>100</v>
      </c>
      <c r="T19" s="667" t="s">
        <v>14</v>
      </c>
      <c r="U19" s="668">
        <f>H19</f>
        <v>100</v>
      </c>
      <c r="V19" s="667" t="s">
        <v>14</v>
      </c>
      <c r="W19" s="668">
        <f>J19</f>
        <v>100</v>
      </c>
      <c r="X19" s="1265"/>
      <c r="Y19" s="346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65"/>
      <c r="Q20" s="1263"/>
      <c r="R20" s="667"/>
      <c r="S20" s="668"/>
      <c r="T20" s="667"/>
      <c r="U20" s="668"/>
      <c r="V20" s="667"/>
      <c r="W20" s="668"/>
      <c r="X20" s="1265"/>
      <c r="Y20" s="3465"/>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65"/>
      <c r="Q21" s="1263" t="str">
        <f>B21</f>
        <v>交通便捷度</v>
      </c>
      <c r="R21" s="667" t="s">
        <v>14</v>
      </c>
      <c r="S21" s="668">
        <f>F21</f>
        <v>100</v>
      </c>
      <c r="T21" s="667" t="s">
        <v>14</v>
      </c>
      <c r="U21" s="668">
        <f>H21</f>
        <v>100</v>
      </c>
      <c r="V21" s="667" t="s">
        <v>14</v>
      </c>
      <c r="W21" s="668">
        <f>J21</f>
        <v>100</v>
      </c>
      <c r="X21" s="1265"/>
      <c r="Y21" s="346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65"/>
      <c r="Q22" s="1263"/>
      <c r="R22" s="667"/>
      <c r="S22" s="668"/>
      <c r="T22" s="667"/>
      <c r="U22" s="668"/>
      <c r="V22" s="667"/>
      <c r="W22" s="668"/>
      <c r="X22" s="1265"/>
      <c r="Y22" s="346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65"/>
      <c r="Q23" s="1263" t="str">
        <f t="shared" ref="Q23:Q37" si="8">B23</f>
        <v>区域土地利用方向</v>
      </c>
      <c r="R23" s="667" t="s">
        <v>14</v>
      </c>
      <c r="S23" s="668">
        <f>F23</f>
        <v>100</v>
      </c>
      <c r="T23" s="667" t="s">
        <v>14</v>
      </c>
      <c r="U23" s="668">
        <f>H23</f>
        <v>100</v>
      </c>
      <c r="V23" s="667" t="s">
        <v>14</v>
      </c>
      <c r="W23" s="668">
        <f>J23</f>
        <v>100</v>
      </c>
      <c r="X23" s="1265"/>
      <c r="Y23" s="346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65"/>
      <c r="Q24" s="1263"/>
      <c r="R24" s="667"/>
      <c r="S24" s="668"/>
      <c r="T24" s="667"/>
      <c r="U24" s="668"/>
      <c r="V24" s="667"/>
      <c r="W24" s="668"/>
      <c r="X24" s="1265"/>
      <c r="Y24" s="3465"/>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65"/>
      <c r="Q25" s="1263" t="str">
        <f t="shared" si="8"/>
        <v>自然及人文环境状况</v>
      </c>
      <c r="R25" s="667" t="s">
        <v>14</v>
      </c>
      <c r="S25" s="668">
        <f>F25</f>
        <v>100</v>
      </c>
      <c r="T25" s="667" t="s">
        <v>14</v>
      </c>
      <c r="U25" s="668">
        <f>H25</f>
        <v>100</v>
      </c>
      <c r="V25" s="667" t="s">
        <v>14</v>
      </c>
      <c r="W25" s="668">
        <f>J25</f>
        <v>100</v>
      </c>
      <c r="X25" s="1265"/>
      <c r="Y25" s="346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65"/>
      <c r="Q26" s="1263"/>
      <c r="R26" s="667"/>
      <c r="S26" s="668"/>
      <c r="T26" s="667"/>
      <c r="U26" s="668"/>
      <c r="V26" s="667"/>
      <c r="W26" s="668"/>
      <c r="X26" s="1265"/>
      <c r="Y26" s="3465"/>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65"/>
      <c r="Q27" s="530" t="str">
        <f t="shared" si="8"/>
        <v>公共配套设施</v>
      </c>
      <c r="R27" s="664" t="s">
        <v>14</v>
      </c>
      <c r="S27" s="665">
        <f>F27</f>
        <v>100</v>
      </c>
      <c r="T27" s="664" t="s">
        <v>14</v>
      </c>
      <c r="U27" s="665">
        <f>H27</f>
        <v>100</v>
      </c>
      <c r="V27" s="664" t="s">
        <v>14</v>
      </c>
      <c r="W27" s="665">
        <f>J27</f>
        <v>100</v>
      </c>
      <c r="X27" s="666"/>
      <c r="Y27" s="346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65"/>
      <c r="Q28" s="530"/>
      <c r="R28" s="664"/>
      <c r="S28" s="665"/>
      <c r="T28" s="664"/>
      <c r="U28" s="665"/>
      <c r="V28" s="664"/>
      <c r="W28" s="665"/>
      <c r="X28" s="666"/>
      <c r="Y28" s="3465"/>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65"/>
      <c r="Q29" s="530" t="str">
        <f t="shared" ref="Q29" si="9">B29</f>
        <v>基础设施水平</v>
      </c>
      <c r="R29" s="664" t="s">
        <v>14</v>
      </c>
      <c r="S29" s="665">
        <f>F29</f>
        <v>100</v>
      </c>
      <c r="T29" s="664" t="s">
        <v>14</v>
      </c>
      <c r="U29" s="665">
        <f>H29</f>
        <v>100</v>
      </c>
      <c r="V29" s="664" t="s">
        <v>14</v>
      </c>
      <c r="W29" s="665">
        <f>J29</f>
        <v>100</v>
      </c>
      <c r="X29" s="666"/>
      <c r="Y29" s="346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65"/>
      <c r="Q30" s="530"/>
      <c r="R30" s="664"/>
      <c r="S30" s="665"/>
      <c r="T30" s="664"/>
      <c r="U30" s="665"/>
      <c r="V30" s="664"/>
      <c r="W30" s="665"/>
      <c r="X30" s="666"/>
      <c r="Y30" s="346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6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6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65"/>
      <c r="Q32" s="1263" t="str">
        <f t="shared" si="8"/>
        <v>毗邻道路的类型与等级</v>
      </c>
      <c r="R32" s="667" t="s">
        <v>14</v>
      </c>
      <c r="S32" s="668">
        <f t="shared" si="10"/>
        <v>100</v>
      </c>
      <c r="T32" s="667" t="s">
        <v>14</v>
      </c>
      <c r="U32" s="668">
        <f t="shared" si="11"/>
        <v>100</v>
      </c>
      <c r="V32" s="667" t="s">
        <v>14</v>
      </c>
      <c r="W32" s="668">
        <f t="shared" si="12"/>
        <v>100</v>
      </c>
      <c r="X32" s="1265"/>
      <c r="Y32" s="346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65"/>
      <c r="Q33" s="1263"/>
      <c r="R33" s="667"/>
      <c r="S33" s="668"/>
      <c r="T33" s="667"/>
      <c r="U33" s="668"/>
      <c r="V33" s="667"/>
      <c r="W33" s="668"/>
      <c r="X33" s="1265"/>
      <c r="Y33" s="346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65"/>
      <c r="Q34" s="1263" t="str">
        <f t="shared" si="8"/>
        <v>土地级别</v>
      </c>
      <c r="R34" s="667" t="s">
        <v>14</v>
      </c>
      <c r="S34" s="668">
        <f t="shared" si="10"/>
        <v>100</v>
      </c>
      <c r="T34" s="667" t="s">
        <v>14</v>
      </c>
      <c r="U34" s="668">
        <f t="shared" si="11"/>
        <v>100</v>
      </c>
      <c r="V34" s="667" t="s">
        <v>14</v>
      </c>
      <c r="W34" s="668">
        <f t="shared" si="12"/>
        <v>100</v>
      </c>
      <c r="X34" s="1265"/>
      <c r="Y34" s="346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65"/>
      <c r="Q35" s="1263">
        <f t="shared" si="8"/>
        <v>111</v>
      </c>
      <c r="R35" s="667" t="s">
        <v>14</v>
      </c>
      <c r="S35" s="668">
        <f t="shared" si="10"/>
        <v>100</v>
      </c>
      <c r="T35" s="667" t="s">
        <v>14</v>
      </c>
      <c r="U35" s="668">
        <f t="shared" si="11"/>
        <v>100</v>
      </c>
      <c r="V35" s="667" t="s">
        <v>14</v>
      </c>
      <c r="W35" s="668">
        <f t="shared" si="12"/>
        <v>100</v>
      </c>
      <c r="X35" s="1265"/>
      <c r="Y35" s="346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89" t="s">
        <v>1696</v>
      </c>
      <c r="Q36" s="1263">
        <f t="shared" si="8"/>
        <v>111</v>
      </c>
      <c r="R36" s="667" t="s">
        <v>14</v>
      </c>
      <c r="S36" s="668">
        <f t="shared" si="10"/>
        <v>100</v>
      </c>
      <c r="T36" s="667" t="s">
        <v>14</v>
      </c>
      <c r="U36" s="668">
        <f t="shared" si="11"/>
        <v>100</v>
      </c>
      <c r="V36" s="667" t="s">
        <v>14</v>
      </c>
      <c r="W36" s="668">
        <f t="shared" si="12"/>
        <v>100</v>
      </c>
      <c r="X36" s="1265"/>
      <c r="Y36" s="346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69"/>
      <c r="Q37" s="1263">
        <f t="shared" si="8"/>
        <v>111</v>
      </c>
      <c r="R37" s="669" t="s">
        <v>14</v>
      </c>
      <c r="S37" s="670">
        <f t="shared" si="10"/>
        <v>100</v>
      </c>
      <c r="T37" s="669" t="s">
        <v>14</v>
      </c>
      <c r="U37" s="670">
        <f t="shared" si="11"/>
        <v>100</v>
      </c>
      <c r="V37" s="669" t="s">
        <v>14</v>
      </c>
      <c r="W37" s="670">
        <f t="shared" si="12"/>
        <v>100</v>
      </c>
      <c r="X37" s="671"/>
      <c r="Y37" s="346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69"/>
      <c r="Q38" s="1263" t="str">
        <f>B38</f>
        <v>宗地面积</v>
      </c>
      <c r="R38" s="667" t="s">
        <v>14</v>
      </c>
      <c r="S38" s="668" t="e">
        <f t="shared" si="10"/>
        <v>#N/A</v>
      </c>
      <c r="T38" s="667" t="s">
        <v>14</v>
      </c>
      <c r="U38" s="668" t="e">
        <f t="shared" si="11"/>
        <v>#N/A</v>
      </c>
      <c r="V38" s="667" t="s">
        <v>14</v>
      </c>
      <c r="W38" s="668" t="e">
        <f t="shared" si="12"/>
        <v>#N/A</v>
      </c>
      <c r="X38" s="1265"/>
      <c r="Y38" s="346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69"/>
      <c r="Q39" s="1263" t="str">
        <f t="shared" ref="Q39:Q45" si="14">B39</f>
        <v>宗地形状</v>
      </c>
      <c r="R39" s="667" t="s">
        <v>14</v>
      </c>
      <c r="S39" s="668">
        <f t="shared" si="10"/>
        <v>100</v>
      </c>
      <c r="T39" s="667" t="s">
        <v>14</v>
      </c>
      <c r="U39" s="668">
        <f t="shared" si="11"/>
        <v>100</v>
      </c>
      <c r="V39" s="667" t="s">
        <v>14</v>
      </c>
      <c r="W39" s="668">
        <f t="shared" si="12"/>
        <v>100</v>
      </c>
      <c r="X39" s="1265"/>
      <c r="Y39" s="346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69"/>
      <c r="Q40" s="1263" t="str">
        <f t="shared" si="14"/>
        <v>临街宽度及深度</v>
      </c>
      <c r="R40" s="667" t="s">
        <v>14</v>
      </c>
      <c r="S40" s="668">
        <f t="shared" si="10"/>
        <v>100</v>
      </c>
      <c r="T40" s="667" t="s">
        <v>14</v>
      </c>
      <c r="U40" s="668">
        <f t="shared" si="11"/>
        <v>100</v>
      </c>
      <c r="V40" s="667" t="s">
        <v>14</v>
      </c>
      <c r="W40" s="668">
        <f t="shared" si="12"/>
        <v>100</v>
      </c>
      <c r="X40" s="1265"/>
      <c r="Y40" s="346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69"/>
      <c r="Q41" s="1263" t="str">
        <f t="shared" si="14"/>
        <v>宗地开发程度</v>
      </c>
      <c r="R41" s="664" t="s">
        <v>14</v>
      </c>
      <c r="S41" s="665">
        <f t="shared" si="10"/>
        <v>100</v>
      </c>
      <c r="T41" s="664" t="s">
        <v>14</v>
      </c>
      <c r="U41" s="665">
        <f t="shared" si="11"/>
        <v>100</v>
      </c>
      <c r="V41" s="664" t="s">
        <v>14</v>
      </c>
      <c r="W41" s="665">
        <f t="shared" si="12"/>
        <v>100</v>
      </c>
      <c r="X41" s="666"/>
      <c r="Y41" s="346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69" t="s">
        <v>1696</v>
      </c>
      <c r="Q42" s="1263" t="str">
        <f t="shared" si="14"/>
        <v>工程地质条件</v>
      </c>
      <c r="R42" s="667" t="s">
        <v>14</v>
      </c>
      <c r="S42" s="668">
        <f t="shared" si="10"/>
        <v>100</v>
      </c>
      <c r="T42" s="667" t="s">
        <v>14</v>
      </c>
      <c r="U42" s="668">
        <f t="shared" si="11"/>
        <v>100</v>
      </c>
      <c r="V42" s="667" t="s">
        <v>14</v>
      </c>
      <c r="W42" s="668">
        <f t="shared" si="12"/>
        <v>100</v>
      </c>
      <c r="X42" s="1265"/>
      <c r="Y42" s="346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69"/>
      <c r="Q43" s="1263">
        <f t="shared" si="14"/>
        <v>111</v>
      </c>
      <c r="R43" s="667" t="s">
        <v>14</v>
      </c>
      <c r="S43" s="668">
        <f t="shared" si="10"/>
        <v>100</v>
      </c>
      <c r="T43" s="667" t="s">
        <v>14</v>
      </c>
      <c r="U43" s="668">
        <f t="shared" si="11"/>
        <v>100</v>
      </c>
      <c r="V43" s="667" t="s">
        <v>14</v>
      </c>
      <c r="W43" s="668">
        <f t="shared" si="12"/>
        <v>100</v>
      </c>
      <c r="X43" s="1265"/>
      <c r="Y43" s="346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69"/>
      <c r="Q44" s="1263">
        <f t="shared" si="14"/>
        <v>111</v>
      </c>
      <c r="R44" s="667" t="s">
        <v>14</v>
      </c>
      <c r="S44" s="668">
        <f t="shared" si="10"/>
        <v>100</v>
      </c>
      <c r="T44" s="667" t="s">
        <v>14</v>
      </c>
      <c r="U44" s="668">
        <f t="shared" si="11"/>
        <v>100</v>
      </c>
      <c r="V44" s="667" t="s">
        <v>14</v>
      </c>
      <c r="W44" s="668">
        <f t="shared" si="12"/>
        <v>100</v>
      </c>
      <c r="X44" s="1265"/>
      <c r="Y44" s="346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69"/>
      <c r="Q45" s="1263">
        <f t="shared" si="14"/>
        <v>111</v>
      </c>
      <c r="R45" s="669" t="s">
        <v>14</v>
      </c>
      <c r="S45" s="670">
        <f t="shared" si="10"/>
        <v>100</v>
      </c>
      <c r="T45" s="669" t="s">
        <v>14</v>
      </c>
      <c r="U45" s="670">
        <f t="shared" si="11"/>
        <v>100</v>
      </c>
      <c r="V45" s="669" t="s">
        <v>14</v>
      </c>
      <c r="W45" s="670">
        <f t="shared" si="12"/>
        <v>100</v>
      </c>
      <c r="X45" s="671"/>
      <c r="Y45" s="346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63" t="str">
        <f>A46</f>
        <v>成交单价</v>
      </c>
      <c r="Q46" s="3463"/>
      <c r="R46" s="3458">
        <f>E46</f>
        <v>0</v>
      </c>
      <c r="S46" s="3458"/>
      <c r="T46" s="3458">
        <f>G46</f>
        <v>0</v>
      </c>
      <c r="U46" s="3458"/>
      <c r="V46" s="3458">
        <f>I46</f>
        <v>0</v>
      </c>
      <c r="W46" s="3458"/>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63" t="str">
        <f>A47</f>
        <v>比较价值（元/平方米）</v>
      </c>
      <c r="Q47" s="3463"/>
      <c r="R47" s="3491" t="e">
        <f>ROUND(PRODUCT(R46,AA7:AA45),0)</f>
        <v>#DIV/0!</v>
      </c>
      <c r="S47" s="3491"/>
      <c r="T47" s="3491" t="e">
        <f>ROUND(PRODUCT(T46,AB7:AB45),0)</f>
        <v>#DIV/0!</v>
      </c>
      <c r="U47" s="3491"/>
      <c r="V47" s="3491" t="e">
        <f>ROUND(PRODUCT(V46,AC7:AC45),0)</f>
        <v>#DIV/0!</v>
      </c>
      <c r="W47" s="3491"/>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60" t="str">
        <f>A48</f>
        <v>估价对象XX用房的比较价值（楼面单价，元/平方米）</v>
      </c>
      <c r="Q48" s="3461"/>
      <c r="R48" s="3492" t="e">
        <f>ROUND(IF(D47="简单平均",AVERAGE(R47:W47),R47*F47+T47*H47+V47*J47),0)</f>
        <v>#DIV/0!</v>
      </c>
      <c r="S48" s="3492"/>
      <c r="T48" s="3492"/>
      <c r="U48" s="3492"/>
      <c r="V48" s="3492"/>
      <c r="W48" s="349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46" t="s">
        <v>1887</v>
      </c>
      <c r="H55" s="349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53.77</v>
      </c>
      <c r="F56" s="833" t="e">
        <f t="shared" ref="F56:F64" si="15">ROUND(B56*E56/10000,0)</f>
        <v>#DIV/0!</v>
      </c>
      <c r="G56" s="3445"/>
      <c r="H56" s="346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三级</v>
      </c>
      <c r="I62" s="838">
        <f>SUMIF(修正!A59:A70,H62,修正!G59:G70)</f>
        <v>0.15</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53.77</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46" t="s">
        <v>1770</v>
      </c>
      <c r="D4" s="3447"/>
      <c r="E4" s="3448" t="s">
        <v>1771</v>
      </c>
      <c r="F4" s="3449"/>
      <c r="G4" s="3446" t="s">
        <v>1772</v>
      </c>
      <c r="H4" s="3447"/>
      <c r="I4" s="3446" t="s">
        <v>1773</v>
      </c>
      <c r="J4" s="3447"/>
      <c r="K4" s="537" t="s">
        <v>1774</v>
      </c>
      <c r="L4" s="2487"/>
      <c r="M4" s="2488"/>
      <c r="N4" s="2488"/>
      <c r="O4" s="2488"/>
      <c r="P4" s="3450" t="s">
        <v>1775</v>
      </c>
      <c r="Q4" s="3451"/>
      <c r="R4" s="3432" t="s">
        <v>1771</v>
      </c>
      <c r="S4" s="3433"/>
      <c r="T4" s="3432" t="s">
        <v>1772</v>
      </c>
      <c r="U4" s="3433"/>
      <c r="V4" s="3458" t="s">
        <v>1773</v>
      </c>
      <c r="W4" s="3458"/>
      <c r="X4" s="1265"/>
      <c r="Y4" s="3432" t="s">
        <v>1775</v>
      </c>
      <c r="Z4" s="3433"/>
      <c r="AA4" s="3427" t="s">
        <v>1771</v>
      </c>
      <c r="AB4" s="3428" t="s">
        <v>1772</v>
      </c>
      <c r="AC4" s="3427" t="s">
        <v>1773</v>
      </c>
    </row>
    <row r="5" spans="1:29" ht="15">
      <c r="A5" s="348"/>
      <c r="B5" s="349"/>
      <c r="C5" s="3442" t="s">
        <v>1673</v>
      </c>
      <c r="D5" s="3439"/>
      <c r="E5" s="3436" t="s">
        <v>1674</v>
      </c>
      <c r="F5" s="3437"/>
      <c r="G5" s="3442" t="s">
        <v>1675</v>
      </c>
      <c r="H5" s="3439"/>
      <c r="I5" s="3442" t="s">
        <v>1676</v>
      </c>
      <c r="J5" s="3439"/>
      <c r="K5" s="537"/>
      <c r="L5" s="2487"/>
      <c r="M5" s="2488"/>
      <c r="N5" s="2488"/>
      <c r="O5" s="2488"/>
      <c r="P5" s="3452"/>
      <c r="Q5" s="3453"/>
      <c r="R5" s="3434"/>
      <c r="S5" s="3435"/>
      <c r="T5" s="3434"/>
      <c r="U5" s="3435"/>
      <c r="V5" s="3458"/>
      <c r="W5" s="3458"/>
      <c r="X5" s="1265"/>
      <c r="Y5" s="3434"/>
      <c r="Z5" s="3435"/>
      <c r="AA5" s="3428"/>
      <c r="AB5" s="3428"/>
      <c r="AC5" s="3428"/>
    </row>
    <row r="6" spans="1:29" ht="15.75" thickBot="1">
      <c r="A6" s="350"/>
      <c r="B6" s="351"/>
      <c r="C6" s="3494" t="s">
        <v>1919</v>
      </c>
      <c r="D6" s="3495"/>
      <c r="E6" s="3496" t="s">
        <v>1919</v>
      </c>
      <c r="F6" s="3497"/>
      <c r="G6" s="3494" t="s">
        <v>1919</v>
      </c>
      <c r="H6" s="3495"/>
      <c r="I6" s="3494" t="s">
        <v>1919</v>
      </c>
      <c r="J6" s="3495"/>
      <c r="K6" s="537" t="s">
        <v>1678</v>
      </c>
      <c r="L6" s="2487"/>
      <c r="M6" s="2488"/>
      <c r="N6" s="2488"/>
      <c r="O6" s="2488"/>
      <c r="P6" s="3454"/>
      <c r="Q6" s="3455"/>
      <c r="R6" s="3434"/>
      <c r="S6" s="3435"/>
      <c r="T6" s="3456"/>
      <c r="U6" s="3457"/>
      <c r="V6" s="3458"/>
      <c r="W6" s="3458"/>
      <c r="X6" s="1265"/>
      <c r="Y6" s="3456"/>
      <c r="Z6" s="3457"/>
      <c r="AA6" s="3429"/>
      <c r="AB6" s="3429"/>
      <c r="AC6" s="3429"/>
    </row>
    <row r="7" spans="1:29" s="102" customFormat="1" ht="15.75" thickBot="1">
      <c r="A7" s="352" t="s">
        <v>1679</v>
      </c>
      <c r="B7" s="353"/>
      <c r="C7" s="354">
        <f>'数据-取费表'!B2</f>
        <v>46016</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30" t="s">
        <v>1680</v>
      </c>
      <c r="Q7" s="3459"/>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30" t="s">
        <v>1683</v>
      </c>
      <c r="Q8" s="3431"/>
      <c r="R8" s="664" t="s">
        <v>14</v>
      </c>
      <c r="S8" s="665">
        <f t="shared" si="0"/>
        <v>0</v>
      </c>
      <c r="T8" s="664" t="s">
        <v>14</v>
      </c>
      <c r="U8" s="665">
        <f t="shared" si="1"/>
        <v>0</v>
      </c>
      <c r="V8" s="664" t="s">
        <v>14</v>
      </c>
      <c r="W8" s="665">
        <f t="shared" si="2"/>
        <v>0</v>
      </c>
      <c r="X8" s="666"/>
      <c r="Y8" s="3430" t="s">
        <v>1683</v>
      </c>
      <c r="Z8" s="343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63" t="s">
        <v>1686</v>
      </c>
      <c r="Q9" s="530" t="str">
        <f t="shared" ref="Q9:Q15" si="6">B9</f>
        <v>用途</v>
      </c>
      <c r="R9" s="664" t="s">
        <v>14</v>
      </c>
      <c r="S9" s="665">
        <f t="shared" si="0"/>
        <v>100</v>
      </c>
      <c r="T9" s="664" t="s">
        <v>14</v>
      </c>
      <c r="U9" s="665">
        <f t="shared" si="1"/>
        <v>100</v>
      </c>
      <c r="V9" s="664" t="s">
        <v>14</v>
      </c>
      <c r="W9" s="665">
        <f t="shared" si="2"/>
        <v>100</v>
      </c>
      <c r="X9" s="666"/>
      <c r="Y9" s="335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108</v>
      </c>
      <c r="G10" s="371"/>
      <c r="H10" s="119">
        <f>ROUND(100/'数据-取费表'!G16,0)</f>
        <v>108</v>
      </c>
      <c r="I10" s="371"/>
      <c r="J10" s="119">
        <f>ROUND(100/'数据-取费表'!G16,0)</f>
        <v>108</v>
      </c>
      <c r="K10" s="592"/>
      <c r="L10" s="2490"/>
      <c r="M10" s="2491"/>
      <c r="N10" s="2491"/>
      <c r="O10" s="2542"/>
      <c r="P10" s="3463"/>
      <c r="Q10" s="530" t="str">
        <f t="shared" si="6"/>
        <v>土地使用年限（年）</v>
      </c>
      <c r="R10" s="664" t="s">
        <v>14</v>
      </c>
      <c r="S10" s="665">
        <f t="shared" si="0"/>
        <v>108</v>
      </c>
      <c r="T10" s="664" t="s">
        <v>14</v>
      </c>
      <c r="U10" s="665">
        <f t="shared" si="1"/>
        <v>108</v>
      </c>
      <c r="V10" s="664" t="s">
        <v>14</v>
      </c>
      <c r="W10" s="665">
        <f t="shared" si="2"/>
        <v>108</v>
      </c>
      <c r="X10" s="666"/>
      <c r="Y10" s="3355"/>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63"/>
      <c r="Q11" s="530" t="str">
        <f t="shared" si="6"/>
        <v>容积率</v>
      </c>
      <c r="R11" s="664" t="s">
        <v>14</v>
      </c>
      <c r="S11" s="665" t="e">
        <f t="shared" si="0"/>
        <v>#N/A</v>
      </c>
      <c r="T11" s="664" t="s">
        <v>14</v>
      </c>
      <c r="U11" s="665" t="e">
        <f t="shared" si="1"/>
        <v>#N/A</v>
      </c>
      <c r="V11" s="664" t="s">
        <v>14</v>
      </c>
      <c r="W11" s="665" t="e">
        <f t="shared" si="2"/>
        <v>#N/A</v>
      </c>
      <c r="X11" s="666"/>
      <c r="Y11" s="335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63"/>
      <c r="Q12" s="530">
        <f t="shared" si="6"/>
        <v>111</v>
      </c>
      <c r="R12" s="664" t="s">
        <v>14</v>
      </c>
      <c r="S12" s="665">
        <f t="shared" si="0"/>
        <v>100</v>
      </c>
      <c r="T12" s="664" t="s">
        <v>14</v>
      </c>
      <c r="U12" s="665">
        <f t="shared" si="1"/>
        <v>100</v>
      </c>
      <c r="V12" s="664" t="s">
        <v>14</v>
      </c>
      <c r="W12" s="665">
        <f t="shared" si="2"/>
        <v>100</v>
      </c>
      <c r="X12" s="666"/>
      <c r="Y12" s="335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63"/>
      <c r="Q13" s="530">
        <f t="shared" si="6"/>
        <v>111</v>
      </c>
      <c r="R13" s="664" t="s">
        <v>14</v>
      </c>
      <c r="S13" s="665">
        <f t="shared" si="0"/>
        <v>100</v>
      </c>
      <c r="T13" s="664" t="s">
        <v>14</v>
      </c>
      <c r="U13" s="665">
        <f t="shared" si="1"/>
        <v>100</v>
      </c>
      <c r="V13" s="664" t="s">
        <v>14</v>
      </c>
      <c r="W13" s="665">
        <f t="shared" si="2"/>
        <v>100</v>
      </c>
      <c r="X13" s="666"/>
      <c r="Y13" s="3355"/>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63"/>
      <c r="Q14" s="530">
        <f t="shared" si="6"/>
        <v>111</v>
      </c>
      <c r="R14" s="664" t="s">
        <v>14</v>
      </c>
      <c r="S14" s="665">
        <f t="shared" si="0"/>
        <v>100</v>
      </c>
      <c r="T14" s="664" t="s">
        <v>14</v>
      </c>
      <c r="U14" s="665">
        <f t="shared" si="1"/>
        <v>100</v>
      </c>
      <c r="V14" s="664" t="s">
        <v>14</v>
      </c>
      <c r="W14" s="665">
        <f t="shared" si="2"/>
        <v>100</v>
      </c>
      <c r="X14" s="666"/>
      <c r="Y14" s="3355"/>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64" t="s">
        <v>1691</v>
      </c>
      <c r="Q15" s="1263" t="str">
        <f t="shared" si="6"/>
        <v>产业集聚程度</v>
      </c>
      <c r="R15" s="667" t="s">
        <v>14</v>
      </c>
      <c r="S15" s="668">
        <f t="shared" si="0"/>
        <v>100</v>
      </c>
      <c r="T15" s="667" t="s">
        <v>14</v>
      </c>
      <c r="U15" s="668">
        <f t="shared" si="1"/>
        <v>100</v>
      </c>
      <c r="V15" s="667" t="s">
        <v>14</v>
      </c>
      <c r="W15" s="668">
        <f t="shared" si="2"/>
        <v>100</v>
      </c>
      <c r="X15" s="1265"/>
      <c r="Y15" s="346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65"/>
      <c r="Q16" s="1263"/>
      <c r="R16" s="667"/>
      <c r="S16" s="668"/>
      <c r="T16" s="667"/>
      <c r="U16" s="668"/>
      <c r="V16" s="667"/>
      <c r="W16" s="668"/>
      <c r="X16" s="1265"/>
      <c r="Y16" s="346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65"/>
      <c r="Q17" s="1263" t="str">
        <f>B17</f>
        <v>交通便捷度</v>
      </c>
      <c r="R17" s="667" t="s">
        <v>14</v>
      </c>
      <c r="S17" s="668">
        <f>F17</f>
        <v>100</v>
      </c>
      <c r="T17" s="667" t="s">
        <v>14</v>
      </c>
      <c r="U17" s="668">
        <f>H17</f>
        <v>100</v>
      </c>
      <c r="V17" s="667" t="s">
        <v>14</v>
      </c>
      <c r="W17" s="668">
        <f>J17</f>
        <v>100</v>
      </c>
      <c r="X17" s="1265"/>
      <c r="Y17" s="346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65"/>
      <c r="Q18" s="1263"/>
      <c r="R18" s="667"/>
      <c r="S18" s="668"/>
      <c r="T18" s="667"/>
      <c r="U18" s="668"/>
      <c r="V18" s="667"/>
      <c r="W18" s="668"/>
      <c r="X18" s="1265"/>
      <c r="Y18" s="346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65"/>
      <c r="Q19" s="1263" t="str">
        <f t="shared" ref="Q19:Q33" si="8">B19</f>
        <v>区域土地利用方向</v>
      </c>
      <c r="R19" s="667" t="s">
        <v>14</v>
      </c>
      <c r="S19" s="668">
        <f>F19</f>
        <v>100</v>
      </c>
      <c r="T19" s="667" t="s">
        <v>14</v>
      </c>
      <c r="U19" s="668">
        <f>H19</f>
        <v>100</v>
      </c>
      <c r="V19" s="667" t="s">
        <v>14</v>
      </c>
      <c r="W19" s="668">
        <f>J19</f>
        <v>100</v>
      </c>
      <c r="X19" s="1265"/>
      <c r="Y19" s="346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65"/>
      <c r="Q20" s="1263"/>
      <c r="R20" s="667"/>
      <c r="S20" s="668"/>
      <c r="T20" s="667"/>
      <c r="U20" s="668"/>
      <c r="V20" s="667"/>
      <c r="W20" s="668"/>
      <c r="X20" s="1265"/>
      <c r="Y20" s="346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65"/>
      <c r="Q21" s="1263" t="str">
        <f t="shared" si="8"/>
        <v>环境状况</v>
      </c>
      <c r="R21" s="667" t="s">
        <v>14</v>
      </c>
      <c r="S21" s="668">
        <f>F21</f>
        <v>100</v>
      </c>
      <c r="T21" s="667" t="s">
        <v>14</v>
      </c>
      <c r="U21" s="668">
        <f>H21</f>
        <v>100</v>
      </c>
      <c r="V21" s="667" t="s">
        <v>14</v>
      </c>
      <c r="W21" s="668">
        <f>J21</f>
        <v>100</v>
      </c>
      <c r="X21" s="1265"/>
      <c r="Y21" s="346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65"/>
      <c r="Q22" s="1263"/>
      <c r="R22" s="667"/>
      <c r="S22" s="668"/>
      <c r="T22" s="667"/>
      <c r="U22" s="668"/>
      <c r="V22" s="667"/>
      <c r="W22" s="668"/>
      <c r="X22" s="1265"/>
      <c r="Y22" s="346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65"/>
      <c r="Q23" s="530" t="str">
        <f t="shared" si="8"/>
        <v>公共配套设施</v>
      </c>
      <c r="R23" s="664" t="s">
        <v>14</v>
      </c>
      <c r="S23" s="665">
        <f>F23</f>
        <v>100</v>
      </c>
      <c r="T23" s="664" t="s">
        <v>14</v>
      </c>
      <c r="U23" s="665">
        <f>H23</f>
        <v>100</v>
      </c>
      <c r="V23" s="664" t="s">
        <v>14</v>
      </c>
      <c r="W23" s="665">
        <f>J23</f>
        <v>100</v>
      </c>
      <c r="X23" s="666"/>
      <c r="Y23" s="346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65"/>
      <c r="Q24" s="530"/>
      <c r="R24" s="664"/>
      <c r="S24" s="665"/>
      <c r="T24" s="664"/>
      <c r="U24" s="665"/>
      <c r="V24" s="664"/>
      <c r="W24" s="665"/>
      <c r="X24" s="666"/>
      <c r="Y24" s="3465"/>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65"/>
      <c r="Q25" s="530" t="str">
        <f t="shared" ref="Q25" si="9">B25</f>
        <v>基础设施水平</v>
      </c>
      <c r="R25" s="664" t="s">
        <v>14</v>
      </c>
      <c r="S25" s="665">
        <f>F25</f>
        <v>100</v>
      </c>
      <c r="T25" s="664" t="s">
        <v>14</v>
      </c>
      <c r="U25" s="665">
        <f>H25</f>
        <v>100</v>
      </c>
      <c r="V25" s="664" t="s">
        <v>14</v>
      </c>
      <c r="W25" s="665">
        <f>J25</f>
        <v>100</v>
      </c>
      <c r="X25" s="666"/>
      <c r="Y25" s="346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65"/>
      <c r="Q26" s="530"/>
      <c r="R26" s="664"/>
      <c r="S26" s="665"/>
      <c r="T26" s="664"/>
      <c r="U26" s="665"/>
      <c r="V26" s="664"/>
      <c r="W26" s="665"/>
      <c r="X26" s="666"/>
      <c r="Y26" s="346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6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6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65"/>
      <c r="Q28" s="1263" t="str">
        <f t="shared" si="8"/>
        <v>毗邻道路的类型与等级</v>
      </c>
      <c r="R28" s="667" t="s">
        <v>14</v>
      </c>
      <c r="S28" s="668">
        <f t="shared" si="10"/>
        <v>100</v>
      </c>
      <c r="T28" s="667" t="s">
        <v>14</v>
      </c>
      <c r="U28" s="668">
        <f t="shared" si="11"/>
        <v>100</v>
      </c>
      <c r="V28" s="667" t="s">
        <v>14</v>
      </c>
      <c r="W28" s="668">
        <f t="shared" si="12"/>
        <v>100</v>
      </c>
      <c r="X28" s="1265"/>
      <c r="Y28" s="346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65"/>
      <c r="Q29" s="1263"/>
      <c r="R29" s="667"/>
      <c r="S29" s="668"/>
      <c r="T29" s="667"/>
      <c r="U29" s="668"/>
      <c r="V29" s="667"/>
      <c r="W29" s="668"/>
      <c r="X29" s="1265"/>
      <c r="Y29" s="346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65"/>
      <c r="Q30" s="1263" t="str">
        <f t="shared" si="8"/>
        <v>土地级别</v>
      </c>
      <c r="R30" s="667" t="s">
        <v>14</v>
      </c>
      <c r="S30" s="668">
        <f t="shared" si="10"/>
        <v>100</v>
      </c>
      <c r="T30" s="667" t="s">
        <v>14</v>
      </c>
      <c r="U30" s="668">
        <f t="shared" si="11"/>
        <v>100</v>
      </c>
      <c r="V30" s="667" t="s">
        <v>14</v>
      </c>
      <c r="W30" s="668">
        <f t="shared" si="12"/>
        <v>100</v>
      </c>
      <c r="X30" s="1265"/>
      <c r="Y30" s="346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65"/>
      <c r="Q31" s="1263">
        <f t="shared" si="8"/>
        <v>111</v>
      </c>
      <c r="R31" s="667" t="s">
        <v>14</v>
      </c>
      <c r="S31" s="668">
        <f t="shared" si="10"/>
        <v>100</v>
      </c>
      <c r="T31" s="667" t="s">
        <v>14</v>
      </c>
      <c r="U31" s="668">
        <f t="shared" si="11"/>
        <v>100</v>
      </c>
      <c r="V31" s="667" t="s">
        <v>14</v>
      </c>
      <c r="W31" s="668">
        <f t="shared" si="12"/>
        <v>100</v>
      </c>
      <c r="X31" s="1265"/>
      <c r="Y31" s="346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89" t="s">
        <v>1696</v>
      </c>
      <c r="Q32" s="1263">
        <f t="shared" si="8"/>
        <v>111</v>
      </c>
      <c r="R32" s="667" t="s">
        <v>14</v>
      </c>
      <c r="S32" s="668">
        <f t="shared" si="10"/>
        <v>100</v>
      </c>
      <c r="T32" s="667" t="s">
        <v>14</v>
      </c>
      <c r="U32" s="668">
        <f t="shared" si="11"/>
        <v>100</v>
      </c>
      <c r="V32" s="667" t="s">
        <v>14</v>
      </c>
      <c r="W32" s="668">
        <f t="shared" si="12"/>
        <v>100</v>
      </c>
      <c r="X32" s="1265"/>
      <c r="Y32" s="346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69"/>
      <c r="Q33" s="1263">
        <f t="shared" si="8"/>
        <v>111</v>
      </c>
      <c r="R33" s="669" t="s">
        <v>14</v>
      </c>
      <c r="S33" s="670">
        <f t="shared" si="10"/>
        <v>100</v>
      </c>
      <c r="T33" s="669" t="s">
        <v>14</v>
      </c>
      <c r="U33" s="670">
        <f t="shared" si="11"/>
        <v>100</v>
      </c>
      <c r="V33" s="669" t="s">
        <v>14</v>
      </c>
      <c r="W33" s="670">
        <f t="shared" si="12"/>
        <v>100</v>
      </c>
      <c r="X33" s="671"/>
      <c r="Y33" s="346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69"/>
      <c r="Q34" s="1263" t="str">
        <f>B34</f>
        <v>宗地面积</v>
      </c>
      <c r="R34" s="667" t="s">
        <v>14</v>
      </c>
      <c r="S34" s="668" t="e">
        <f t="shared" si="10"/>
        <v>#N/A</v>
      </c>
      <c r="T34" s="667" t="s">
        <v>14</v>
      </c>
      <c r="U34" s="668" t="e">
        <f t="shared" si="11"/>
        <v>#N/A</v>
      </c>
      <c r="V34" s="667" t="s">
        <v>14</v>
      </c>
      <c r="W34" s="668" t="e">
        <f t="shared" si="12"/>
        <v>#N/A</v>
      </c>
      <c r="X34" s="1265"/>
      <c r="Y34" s="346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69"/>
      <c r="Q35" s="1263" t="str">
        <f t="shared" ref="Q35:Q40" si="14">B35</f>
        <v>宗地形状</v>
      </c>
      <c r="R35" s="667" t="s">
        <v>14</v>
      </c>
      <c r="S35" s="668">
        <f t="shared" si="10"/>
        <v>100</v>
      </c>
      <c r="T35" s="667" t="s">
        <v>14</v>
      </c>
      <c r="U35" s="668">
        <f t="shared" si="11"/>
        <v>100</v>
      </c>
      <c r="V35" s="667" t="s">
        <v>14</v>
      </c>
      <c r="W35" s="668">
        <f t="shared" si="12"/>
        <v>100</v>
      </c>
      <c r="X35" s="1265"/>
      <c r="Y35" s="346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69"/>
      <c r="Q36" s="1263" t="str">
        <f t="shared" si="14"/>
        <v>宗地开发程度</v>
      </c>
      <c r="R36" s="664" t="s">
        <v>14</v>
      </c>
      <c r="S36" s="665">
        <f t="shared" si="10"/>
        <v>100</v>
      </c>
      <c r="T36" s="664" t="s">
        <v>14</v>
      </c>
      <c r="U36" s="665">
        <f t="shared" si="11"/>
        <v>100</v>
      </c>
      <c r="V36" s="664" t="s">
        <v>14</v>
      </c>
      <c r="W36" s="665">
        <f t="shared" si="12"/>
        <v>100</v>
      </c>
      <c r="X36" s="666"/>
      <c r="Y36" s="346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69" t="s">
        <v>1696</v>
      </c>
      <c r="Q37" s="1263" t="str">
        <f t="shared" si="14"/>
        <v>工程地质条件</v>
      </c>
      <c r="R37" s="667" t="s">
        <v>14</v>
      </c>
      <c r="S37" s="668">
        <f t="shared" si="10"/>
        <v>100</v>
      </c>
      <c r="T37" s="667" t="s">
        <v>14</v>
      </c>
      <c r="U37" s="668">
        <f t="shared" si="11"/>
        <v>100</v>
      </c>
      <c r="V37" s="667" t="s">
        <v>14</v>
      </c>
      <c r="W37" s="668">
        <f t="shared" si="12"/>
        <v>100</v>
      </c>
      <c r="X37" s="1265"/>
      <c r="Y37" s="346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69"/>
      <c r="Q38" s="1263">
        <f t="shared" si="14"/>
        <v>111</v>
      </c>
      <c r="R38" s="667" t="s">
        <v>14</v>
      </c>
      <c r="S38" s="668">
        <f t="shared" si="10"/>
        <v>100</v>
      </c>
      <c r="T38" s="667" t="s">
        <v>14</v>
      </c>
      <c r="U38" s="668">
        <f t="shared" si="11"/>
        <v>100</v>
      </c>
      <c r="V38" s="667" t="s">
        <v>14</v>
      </c>
      <c r="W38" s="668">
        <f t="shared" si="12"/>
        <v>100</v>
      </c>
      <c r="X38" s="1265"/>
      <c r="Y38" s="346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69"/>
      <c r="Q39" s="1263">
        <f t="shared" si="14"/>
        <v>111</v>
      </c>
      <c r="R39" s="667" t="s">
        <v>14</v>
      </c>
      <c r="S39" s="668">
        <f t="shared" si="10"/>
        <v>100</v>
      </c>
      <c r="T39" s="667" t="s">
        <v>14</v>
      </c>
      <c r="U39" s="668">
        <f t="shared" si="11"/>
        <v>100</v>
      </c>
      <c r="V39" s="667" t="s">
        <v>14</v>
      </c>
      <c r="W39" s="668">
        <f t="shared" si="12"/>
        <v>100</v>
      </c>
      <c r="X39" s="1265"/>
      <c r="Y39" s="346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69"/>
      <c r="Q40" s="1263">
        <f t="shared" si="14"/>
        <v>111</v>
      </c>
      <c r="R40" s="669" t="s">
        <v>14</v>
      </c>
      <c r="S40" s="670">
        <f t="shared" si="10"/>
        <v>100</v>
      </c>
      <c r="T40" s="669" t="s">
        <v>14</v>
      </c>
      <c r="U40" s="670">
        <f t="shared" si="11"/>
        <v>100</v>
      </c>
      <c r="V40" s="669" t="s">
        <v>14</v>
      </c>
      <c r="W40" s="670">
        <f t="shared" si="12"/>
        <v>100</v>
      </c>
      <c r="X40" s="671"/>
      <c r="Y40" s="346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63" t="str">
        <f>A41</f>
        <v>成交单价</v>
      </c>
      <c r="Q41" s="3463"/>
      <c r="R41" s="3458">
        <f>E41</f>
        <v>0</v>
      </c>
      <c r="S41" s="3458"/>
      <c r="T41" s="3458">
        <f>G41</f>
        <v>0</v>
      </c>
      <c r="U41" s="3458"/>
      <c r="V41" s="3458">
        <f>I41</f>
        <v>0</v>
      </c>
      <c r="W41" s="3458"/>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63" t="str">
        <f>A42</f>
        <v>比较价值（元/平方米）</v>
      </c>
      <c r="Q42" s="3463"/>
      <c r="R42" s="3491" t="e">
        <f>ROUND(PRODUCT(R41,AA7:AA40),0)</f>
        <v>#DIV/0!</v>
      </c>
      <c r="S42" s="3491"/>
      <c r="T42" s="3491" t="e">
        <f>ROUND(PRODUCT(T41,AB7:AB40),0)</f>
        <v>#DIV/0!</v>
      </c>
      <c r="U42" s="3491"/>
      <c r="V42" s="3491" t="e">
        <f>ROUND(PRODUCT(V41,AC7:AC40),0)</f>
        <v>#DIV/0!</v>
      </c>
      <c r="W42" s="3491"/>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60" t="str">
        <f>A43</f>
        <v>估价对象XX用房的比较价值（楼面单价，元/平方米）</v>
      </c>
      <c r="Q43" s="3461"/>
      <c r="R43" s="3492" t="e">
        <f>ROUND(IF(D42="简单平均",AVERAGE(R42:W42),R42*F42+T42*H42+V42*J42),0)</f>
        <v>#DIV/0!</v>
      </c>
      <c r="S43" s="3492"/>
      <c r="T43" s="3492"/>
      <c r="U43" s="3492"/>
      <c r="V43" s="3492"/>
      <c r="W43" s="349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46" t="s">
        <v>1887</v>
      </c>
      <c r="H50" s="349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53.77</v>
      </c>
      <c r="F51" s="611" t="e">
        <f t="shared" ref="F51:F60" si="15">ROUND(B51*E51/10000,0)</f>
        <v>#DIV/0!</v>
      </c>
      <c r="G51" s="3445"/>
      <c r="H51" s="346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三级</v>
      </c>
      <c r="I58" s="727">
        <f>SUMIF(修正!A59:A70,H58,修正!G59:G70)</f>
        <v>0.15</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01" t="s">
        <v>2084</v>
      </c>
      <c r="D1" s="3502"/>
      <c r="E1" s="3502"/>
      <c r="F1" s="3502"/>
      <c r="G1" s="3502"/>
      <c r="H1" s="3502"/>
      <c r="I1" s="3502"/>
      <c r="J1" s="3502"/>
      <c r="K1" s="3502"/>
      <c r="L1" s="3502"/>
      <c r="M1" s="3502"/>
      <c r="N1" s="3502"/>
      <c r="O1" s="3502"/>
      <c r="P1" s="3502"/>
      <c r="Q1" s="3502"/>
      <c r="R1" s="3502"/>
      <c r="S1" s="350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98" t="s">
        <v>27</v>
      </c>
      <c r="D22" s="3499"/>
      <c r="E22" s="3499"/>
      <c r="F22" s="3499"/>
      <c r="G22" s="3499"/>
      <c r="H22" s="3499"/>
      <c r="I22" s="3499"/>
      <c r="J22" s="3499"/>
      <c r="K22" s="3499"/>
      <c r="L22" s="3499"/>
      <c r="M22" s="3499"/>
      <c r="N22" s="3499"/>
      <c r="O22" s="3499"/>
      <c r="P22" s="3499"/>
      <c r="Q22" s="350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210</v>
      </c>
      <c r="C2" s="1984" t="s">
        <v>2074</v>
      </c>
      <c r="D2" s="1984" t="s">
        <v>2075</v>
      </c>
      <c r="E2" s="2398">
        <f ca="1">SUMIF(E6:E13,"&lt;&gt;#ref!",E6:E13)</f>
        <v>53.77</v>
      </c>
      <c r="F2" s="2545"/>
      <c r="G2" s="2545"/>
      <c r="H2" s="2545"/>
      <c r="I2" s="2545"/>
      <c r="J2" s="2545"/>
      <c r="K2" s="2545"/>
      <c r="L2" s="2545"/>
      <c r="M2" s="2545"/>
      <c r="N2" s="2545"/>
      <c r="O2" s="2545"/>
      <c r="P2" s="2545"/>
    </row>
    <row r="3" spans="1:16" ht="15.75">
      <c r="A3" s="1984" t="s">
        <v>2076</v>
      </c>
      <c r="B3" s="2388">
        <f ca="1">ROUND(B2*10000/E2,0)</f>
        <v>39055</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210</v>
      </c>
      <c r="C6" s="1984" t="s">
        <v>2074</v>
      </c>
      <c r="D6" s="2545"/>
      <c r="E6" s="2398">
        <f ca="1">SUMIF(INDIRECT("'"&amp;A6&amp;"'"&amp;"!C:C"),"建筑面积",INDIRECT("'"&amp;A6&amp;"'"&amp;"!D:D"))</f>
        <v>53.77</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54"/>
  <sheetViews>
    <sheetView topLeftCell="A31" workbookViewId="0">
      <selection activeCell="A55" sqref="A55"/>
    </sheetView>
  </sheetViews>
  <sheetFormatPr defaultRowHeight="13.5"/>
  <cols>
    <col min="1" max="1" width="11.5" customWidth="1"/>
    <col min="7" max="7" width="12.5" customWidth="1"/>
    <col min="21" max="21" width="14.625" customWidth="1"/>
  </cols>
  <sheetData>
    <row r="1" spans="1:9">
      <c r="A1" s="3184" t="s">
        <v>3496</v>
      </c>
      <c r="B1" s="3184" t="s">
        <v>3497</v>
      </c>
      <c r="C1" s="3184" t="s">
        <v>3498</v>
      </c>
      <c r="D1" s="3184" t="s">
        <v>3499</v>
      </c>
      <c r="E1" s="3184" t="s">
        <v>3500</v>
      </c>
      <c r="F1" s="3184" t="s">
        <v>3501</v>
      </c>
      <c r="G1" s="3184" t="s">
        <v>3502</v>
      </c>
      <c r="H1" s="3184" t="s">
        <v>3503</v>
      </c>
      <c r="I1" s="3184" t="s">
        <v>3459</v>
      </c>
    </row>
    <row r="2" spans="1:9">
      <c r="A2" s="3185">
        <v>46018</v>
      </c>
      <c r="B2" s="3184" t="s">
        <v>3504</v>
      </c>
      <c r="C2" s="3184">
        <v>69</v>
      </c>
      <c r="D2" s="3184"/>
      <c r="E2" s="3184" t="s">
        <v>3505</v>
      </c>
      <c r="F2" s="3184">
        <v>0</v>
      </c>
      <c r="G2" s="3184" t="s">
        <v>3506</v>
      </c>
      <c r="H2" s="3184">
        <v>207</v>
      </c>
      <c r="I2" s="3184">
        <v>29818</v>
      </c>
    </row>
    <row r="3" spans="1:9">
      <c r="A3" s="3195">
        <v>45997</v>
      </c>
      <c r="B3" s="3196" t="s">
        <v>3507</v>
      </c>
      <c r="C3" s="3196">
        <v>69</v>
      </c>
      <c r="D3" s="3196" t="s">
        <v>3508</v>
      </c>
      <c r="E3" s="3196" t="s">
        <v>3509</v>
      </c>
      <c r="F3" s="3196">
        <v>255</v>
      </c>
      <c r="G3" s="3196">
        <v>20250209</v>
      </c>
      <c r="H3" s="3196">
        <v>207</v>
      </c>
      <c r="I3" s="3196">
        <v>29891</v>
      </c>
    </row>
    <row r="4" spans="1:9">
      <c r="A4" s="3195">
        <v>45987</v>
      </c>
      <c r="B4" s="3196" t="s">
        <v>3507</v>
      </c>
      <c r="C4" s="3196">
        <v>69</v>
      </c>
      <c r="D4" s="3196" t="s">
        <v>3508</v>
      </c>
      <c r="E4" s="3196" t="s">
        <v>3509</v>
      </c>
      <c r="F4" s="3196">
        <v>249</v>
      </c>
      <c r="G4" s="3196">
        <v>20251017</v>
      </c>
      <c r="H4" s="3196">
        <v>208</v>
      </c>
      <c r="I4" s="3196">
        <v>29963</v>
      </c>
    </row>
    <row r="5" spans="1:9">
      <c r="A5" s="3185">
        <v>45956</v>
      </c>
      <c r="B5" s="3184" t="s">
        <v>3510</v>
      </c>
      <c r="C5" s="3184">
        <v>63</v>
      </c>
      <c r="D5" s="3184"/>
      <c r="E5" s="3184" t="s">
        <v>3511</v>
      </c>
      <c r="F5" s="3184">
        <v>0</v>
      </c>
      <c r="G5" s="3184" t="s">
        <v>3506</v>
      </c>
      <c r="H5" s="3184">
        <v>157</v>
      </c>
      <c r="I5" s="3184">
        <v>24747</v>
      </c>
    </row>
    <row r="6" spans="1:9">
      <c r="A6" s="3185">
        <v>45916</v>
      </c>
      <c r="B6" s="3184" t="s">
        <v>3507</v>
      </c>
      <c r="C6" s="3184">
        <v>69</v>
      </c>
      <c r="D6" s="3184" t="s">
        <v>3512</v>
      </c>
      <c r="E6" s="3184" t="s">
        <v>3509</v>
      </c>
      <c r="F6" s="3184">
        <v>279</v>
      </c>
      <c r="G6" s="3185">
        <v>45869</v>
      </c>
      <c r="H6" s="3184">
        <v>230</v>
      </c>
      <c r="I6" s="3184">
        <v>33131</v>
      </c>
    </row>
    <row r="7" spans="1:9">
      <c r="A7" s="3185">
        <v>45802</v>
      </c>
      <c r="B7" s="3184" t="s">
        <v>3507</v>
      </c>
      <c r="C7" s="3184">
        <v>69</v>
      </c>
      <c r="D7" s="3184" t="s">
        <v>3513</v>
      </c>
      <c r="E7" s="3184" t="s">
        <v>3509</v>
      </c>
      <c r="F7" s="3184">
        <v>319</v>
      </c>
      <c r="G7" s="3185">
        <v>45770</v>
      </c>
      <c r="H7" s="3184">
        <v>296</v>
      </c>
      <c r="I7" s="3184">
        <v>42639</v>
      </c>
    </row>
    <row r="8" spans="1:9">
      <c r="A8" s="3185">
        <v>45785</v>
      </c>
      <c r="B8" s="3184" t="s">
        <v>3514</v>
      </c>
      <c r="C8" s="3184">
        <v>55</v>
      </c>
      <c r="D8" s="3184" t="s">
        <v>3515</v>
      </c>
      <c r="E8" s="3184" t="s">
        <v>3511</v>
      </c>
      <c r="F8" s="3184">
        <v>169</v>
      </c>
      <c r="G8" s="3185">
        <v>45383</v>
      </c>
      <c r="H8" s="3184">
        <v>152</v>
      </c>
      <c r="I8" s="3184">
        <v>27541</v>
      </c>
    </row>
    <row r="9" spans="1:9">
      <c r="A9" s="3185">
        <v>45774</v>
      </c>
      <c r="B9" s="3184" t="s">
        <v>3514</v>
      </c>
      <c r="C9" s="3184">
        <v>42</v>
      </c>
      <c r="D9" s="3184" t="s">
        <v>3513</v>
      </c>
      <c r="E9" s="3184" t="s">
        <v>3505</v>
      </c>
      <c r="F9" s="3184">
        <v>152</v>
      </c>
      <c r="G9" s="3185">
        <v>45708</v>
      </c>
      <c r="H9" s="3184">
        <v>144</v>
      </c>
      <c r="I9" s="3184">
        <v>34115</v>
      </c>
    </row>
    <row r="10" spans="1:9">
      <c r="A10" s="3185">
        <v>45774</v>
      </c>
      <c r="B10" s="3184" t="s">
        <v>3504</v>
      </c>
      <c r="C10" s="3184">
        <v>69</v>
      </c>
      <c r="D10" s="3184"/>
      <c r="E10" s="3184" t="s">
        <v>3505</v>
      </c>
      <c r="F10" s="3184">
        <v>0</v>
      </c>
      <c r="G10" s="3184" t="s">
        <v>3506</v>
      </c>
      <c r="H10" s="3184">
        <v>268</v>
      </c>
      <c r="I10" s="3184">
        <v>38605</v>
      </c>
    </row>
    <row r="11" spans="1:9">
      <c r="A11" s="3185">
        <v>45762</v>
      </c>
      <c r="B11" s="3184" t="s">
        <v>3516</v>
      </c>
      <c r="C11" s="3184">
        <v>91</v>
      </c>
      <c r="D11" s="3184" t="s">
        <v>3513</v>
      </c>
      <c r="E11" s="3184" t="s">
        <v>3509</v>
      </c>
      <c r="F11" s="3184">
        <v>375</v>
      </c>
      <c r="G11" s="3185">
        <v>45718</v>
      </c>
      <c r="H11" s="3184">
        <v>333</v>
      </c>
      <c r="I11" s="3184">
        <v>36433</v>
      </c>
    </row>
    <row r="12" spans="1:9">
      <c r="A12" s="3185">
        <v>45751</v>
      </c>
      <c r="B12" s="3184" t="s">
        <v>3507</v>
      </c>
      <c r="C12" s="3184">
        <v>69</v>
      </c>
      <c r="D12" s="3184" t="s">
        <v>3517</v>
      </c>
      <c r="E12" s="3184" t="s">
        <v>3509</v>
      </c>
      <c r="F12" s="3184">
        <v>285</v>
      </c>
      <c r="G12" s="3185">
        <v>45565</v>
      </c>
      <c r="H12" s="3184">
        <v>262</v>
      </c>
      <c r="I12" s="3184">
        <v>37741</v>
      </c>
    </row>
    <row r="13" spans="1:9">
      <c r="A13" s="3185">
        <v>45749</v>
      </c>
      <c r="B13" s="3184" t="s">
        <v>3507</v>
      </c>
      <c r="C13" s="3184">
        <v>69</v>
      </c>
      <c r="D13" s="3184" t="s">
        <v>3512</v>
      </c>
      <c r="E13" s="3184" t="s">
        <v>3509</v>
      </c>
      <c r="F13" s="3184">
        <v>309</v>
      </c>
      <c r="G13" s="3185">
        <v>45575</v>
      </c>
      <c r="H13" s="3184">
        <v>298</v>
      </c>
      <c r="I13" s="3184">
        <v>42927</v>
      </c>
    </row>
    <row r="14" spans="1:9">
      <c r="A14" s="3185">
        <v>45744</v>
      </c>
      <c r="B14" s="3184" t="s">
        <v>3507</v>
      </c>
      <c r="C14" s="3184">
        <v>78</v>
      </c>
      <c r="D14" s="3184" t="s">
        <v>3518</v>
      </c>
      <c r="E14" s="3184" t="s">
        <v>3509</v>
      </c>
      <c r="F14" s="3184">
        <v>265</v>
      </c>
      <c r="G14" s="3185">
        <v>45612</v>
      </c>
      <c r="H14" s="3184">
        <v>213</v>
      </c>
      <c r="I14" s="3184">
        <v>27255</v>
      </c>
    </row>
    <row r="15" spans="1:9">
      <c r="A15" s="3185">
        <v>45739</v>
      </c>
      <c r="B15" s="3184" t="s">
        <v>3507</v>
      </c>
      <c r="C15" s="3184">
        <v>76</v>
      </c>
      <c r="D15" s="3184" t="s">
        <v>3517</v>
      </c>
      <c r="E15" s="3184" t="s">
        <v>3509</v>
      </c>
      <c r="F15" s="3184">
        <v>285</v>
      </c>
      <c r="G15" s="3185">
        <v>45657</v>
      </c>
      <c r="H15" s="3184">
        <v>253</v>
      </c>
      <c r="I15" s="3184">
        <v>33002</v>
      </c>
    </row>
    <row r="16" spans="1:9">
      <c r="A16" s="3185">
        <v>45736</v>
      </c>
      <c r="B16" s="3184" t="s">
        <v>3514</v>
      </c>
      <c r="C16" s="3184">
        <v>57</v>
      </c>
      <c r="D16" s="3184" t="s">
        <v>3515</v>
      </c>
      <c r="E16" s="3184" t="s">
        <v>3519</v>
      </c>
      <c r="F16" s="3184">
        <v>199</v>
      </c>
      <c r="G16" s="3185">
        <v>45710</v>
      </c>
      <c r="H16" s="3184">
        <v>173</v>
      </c>
      <c r="I16" s="3184">
        <v>30160</v>
      </c>
    </row>
    <row r="17" spans="1:21">
      <c r="A17" s="3185">
        <v>45729</v>
      </c>
      <c r="B17" s="3184" t="s">
        <v>3504</v>
      </c>
      <c r="C17" s="3184">
        <v>53</v>
      </c>
      <c r="D17" s="3184"/>
      <c r="E17" s="3184" t="s">
        <v>3505</v>
      </c>
      <c r="F17" s="3184">
        <v>0</v>
      </c>
      <c r="G17" s="3184" t="s">
        <v>3506</v>
      </c>
      <c r="H17" s="3184">
        <v>201</v>
      </c>
      <c r="I17" s="3184">
        <v>37305</v>
      </c>
    </row>
    <row r="18" spans="1:21">
      <c r="A18" s="3185">
        <v>45726</v>
      </c>
      <c r="B18" s="3184" t="s">
        <v>3514</v>
      </c>
      <c r="C18" s="3184">
        <v>50</v>
      </c>
      <c r="D18" s="3184" t="s">
        <v>3515</v>
      </c>
      <c r="E18" s="3184" t="s">
        <v>3511</v>
      </c>
      <c r="F18" s="3184">
        <v>185</v>
      </c>
      <c r="G18" s="3185">
        <v>45527</v>
      </c>
      <c r="H18" s="3184">
        <v>175</v>
      </c>
      <c r="I18" s="3184">
        <v>34770</v>
      </c>
    </row>
    <row r="19" spans="1:21">
      <c r="A19" s="3185">
        <v>45704</v>
      </c>
      <c r="B19" s="3184" t="s">
        <v>3510</v>
      </c>
      <c r="C19" s="3184">
        <v>56</v>
      </c>
      <c r="D19" s="3184"/>
      <c r="E19" s="3184" t="s">
        <v>3511</v>
      </c>
      <c r="F19" s="3184">
        <v>0</v>
      </c>
      <c r="G19" s="3184" t="s">
        <v>3506</v>
      </c>
      <c r="H19" s="3184">
        <v>241</v>
      </c>
      <c r="I19" s="3184">
        <v>42783</v>
      </c>
    </row>
    <row r="20" spans="1:21">
      <c r="A20" s="3185">
        <v>45672</v>
      </c>
      <c r="B20" s="3184" t="s">
        <v>3507</v>
      </c>
      <c r="C20" s="3184">
        <v>84</v>
      </c>
      <c r="D20" s="3184" t="s">
        <v>3513</v>
      </c>
      <c r="E20" s="3184" t="s">
        <v>3520</v>
      </c>
      <c r="F20" s="3184">
        <v>379</v>
      </c>
      <c r="G20" s="3185">
        <v>45546</v>
      </c>
      <c r="H20" s="3184">
        <v>365</v>
      </c>
      <c r="I20" s="3184">
        <v>43302</v>
      </c>
    </row>
    <row r="21" spans="1:21">
      <c r="A21" s="3185">
        <v>45668</v>
      </c>
      <c r="B21" s="3184" t="s">
        <v>3504</v>
      </c>
      <c r="C21" s="3184">
        <v>69</v>
      </c>
      <c r="D21" s="3184"/>
      <c r="E21" s="3184" t="s">
        <v>3505</v>
      </c>
      <c r="F21" s="3184">
        <v>0</v>
      </c>
      <c r="G21" s="3184" t="s">
        <v>3506</v>
      </c>
      <c r="H21" s="3184">
        <v>295</v>
      </c>
      <c r="I21" s="3184">
        <v>42494</v>
      </c>
    </row>
    <row r="22" spans="1:21">
      <c r="A22" s="3185">
        <v>45655</v>
      </c>
      <c r="B22" s="3184" t="s">
        <v>3514</v>
      </c>
      <c r="C22" s="3184">
        <v>55</v>
      </c>
      <c r="D22" s="3184" t="s">
        <v>3518</v>
      </c>
      <c r="E22" s="3184" t="s">
        <v>3519</v>
      </c>
      <c r="F22" s="3184">
        <v>180</v>
      </c>
      <c r="G22" s="3185">
        <v>45451</v>
      </c>
      <c r="H22" s="3184">
        <v>170</v>
      </c>
      <c r="I22" s="3184">
        <v>30625</v>
      </c>
    </row>
    <row r="23" spans="1:21">
      <c r="A23" s="3185">
        <v>45643</v>
      </c>
      <c r="B23" s="3184" t="s">
        <v>3507</v>
      </c>
      <c r="C23" s="3184">
        <v>55</v>
      </c>
      <c r="D23" s="3184" t="s">
        <v>3521</v>
      </c>
      <c r="E23" s="3184" t="s">
        <v>3509</v>
      </c>
      <c r="F23" s="3184">
        <v>198</v>
      </c>
      <c r="G23" s="3185">
        <v>45637</v>
      </c>
      <c r="H23" s="3184">
        <v>182</v>
      </c>
      <c r="I23" s="3184">
        <v>32941</v>
      </c>
    </row>
    <row r="24" spans="1:21">
      <c r="A24" s="3185">
        <v>45641</v>
      </c>
      <c r="B24" s="3184" t="s">
        <v>3514</v>
      </c>
      <c r="C24" s="3184">
        <v>59</v>
      </c>
      <c r="D24" s="3184" t="s">
        <v>3518</v>
      </c>
      <c r="E24" s="3184" t="s">
        <v>3509</v>
      </c>
      <c r="F24" s="3184">
        <v>243</v>
      </c>
      <c r="G24" s="3185">
        <v>45601</v>
      </c>
      <c r="H24" s="3184">
        <v>191</v>
      </c>
      <c r="I24" s="3184">
        <v>32318</v>
      </c>
    </row>
    <row r="25" spans="1:21">
      <c r="A25" s="3185">
        <v>45634</v>
      </c>
      <c r="B25" s="3184" t="s">
        <v>3507</v>
      </c>
      <c r="C25" s="3184">
        <v>78</v>
      </c>
      <c r="D25" s="3184" t="s">
        <v>3513</v>
      </c>
      <c r="E25" s="3184" t="s">
        <v>3509</v>
      </c>
      <c r="F25" s="3184">
        <v>309</v>
      </c>
      <c r="G25" s="3185">
        <v>45617</v>
      </c>
      <c r="H25" s="3184">
        <v>285</v>
      </c>
      <c r="I25" s="3184">
        <v>36468</v>
      </c>
    </row>
    <row r="26" spans="1:21">
      <c r="A26" s="3185">
        <v>45633</v>
      </c>
      <c r="B26" s="3184" t="s">
        <v>3514</v>
      </c>
      <c r="C26" s="3184">
        <v>37</v>
      </c>
      <c r="D26" s="3184" t="s">
        <v>3513</v>
      </c>
      <c r="E26" s="3184" t="s">
        <v>3522</v>
      </c>
      <c r="F26" s="3184">
        <v>165</v>
      </c>
      <c r="G26" s="3185">
        <v>45359</v>
      </c>
      <c r="H26" s="3184">
        <v>140</v>
      </c>
      <c r="I26" s="3184">
        <v>37776</v>
      </c>
    </row>
    <row r="27" spans="1:21" ht="14.25" thickBot="1"/>
    <row r="28" spans="1:21">
      <c r="A28" s="3191" t="s">
        <v>3445</v>
      </c>
      <c r="B28" s="3191" t="s">
        <v>3591</v>
      </c>
      <c r="C28" s="3191" t="s">
        <v>3446</v>
      </c>
      <c r="D28" s="3191" t="s">
        <v>3447</v>
      </c>
      <c r="E28" s="3191" t="s">
        <v>3448</v>
      </c>
      <c r="F28" s="3191" t="s">
        <v>3449</v>
      </c>
      <c r="G28" s="3191" t="s">
        <v>3450</v>
      </c>
      <c r="H28" s="3191" t="s">
        <v>3451</v>
      </c>
      <c r="I28" s="3191" t="s">
        <v>3452</v>
      </c>
      <c r="J28" s="3191" t="s">
        <v>3453</v>
      </c>
      <c r="K28" s="3191" t="s">
        <v>3454</v>
      </c>
      <c r="L28" s="3191" t="s">
        <v>3455</v>
      </c>
      <c r="M28" s="3191" t="s">
        <v>3456</v>
      </c>
      <c r="N28" s="3191" t="s">
        <v>3457</v>
      </c>
      <c r="O28" s="3191" t="s">
        <v>3458</v>
      </c>
      <c r="P28" s="3191" t="s">
        <v>3592</v>
      </c>
      <c r="Q28" s="3191" t="s">
        <v>3593</v>
      </c>
      <c r="R28" s="3191" t="s">
        <v>3459</v>
      </c>
      <c r="S28" s="3191" t="s">
        <v>3460</v>
      </c>
      <c r="T28" s="3191" t="s">
        <v>3461</v>
      </c>
      <c r="U28" s="3191" t="s">
        <v>3462</v>
      </c>
    </row>
    <row r="29" spans="1:21" ht="39" thickBot="1">
      <c r="A29" s="3171">
        <v>1</v>
      </c>
      <c r="B29" s="3186" t="s">
        <v>3594</v>
      </c>
      <c r="C29" s="3171" t="s">
        <v>3595</v>
      </c>
      <c r="D29" s="3171" t="s">
        <v>3596</v>
      </c>
      <c r="E29" s="3171" t="s">
        <v>3463</v>
      </c>
      <c r="F29" s="3171" t="s">
        <v>3597</v>
      </c>
      <c r="G29" s="3171" t="s">
        <v>3598</v>
      </c>
      <c r="H29" s="3171"/>
      <c r="I29" s="3171" t="s">
        <v>3464</v>
      </c>
      <c r="J29" s="3171">
        <v>69.42</v>
      </c>
      <c r="K29" s="3171" t="s">
        <v>3402</v>
      </c>
      <c r="L29" s="3171">
        <v>6</v>
      </c>
      <c r="M29" s="3171">
        <v>2</v>
      </c>
      <c r="N29" s="3171" t="s">
        <v>633</v>
      </c>
      <c r="O29" s="3171">
        <v>2000</v>
      </c>
      <c r="P29" s="3171" t="s">
        <v>633</v>
      </c>
      <c r="Q29" s="3171" t="s">
        <v>633</v>
      </c>
      <c r="R29" s="3171">
        <v>30971</v>
      </c>
      <c r="S29" s="3171">
        <v>31297</v>
      </c>
      <c r="T29" s="3171">
        <v>2172638</v>
      </c>
      <c r="U29" s="3172">
        <v>46029</v>
      </c>
    </row>
    <row r="30" spans="1:21" ht="26.25" thickBot="1">
      <c r="A30" s="3173">
        <v>2</v>
      </c>
      <c r="B30" s="3187" t="s">
        <v>3594</v>
      </c>
      <c r="C30" s="3173" t="s">
        <v>3599</v>
      </c>
      <c r="D30" s="3173" t="s">
        <v>3600</v>
      </c>
      <c r="E30" s="3173" t="s">
        <v>3463</v>
      </c>
      <c r="F30" s="3173" t="s">
        <v>3601</v>
      </c>
      <c r="G30" s="3173" t="s">
        <v>3598</v>
      </c>
      <c r="H30" s="3173" t="s">
        <v>3467</v>
      </c>
      <c r="I30" s="3173" t="s">
        <v>3465</v>
      </c>
      <c r="J30" s="3173">
        <v>69.42</v>
      </c>
      <c r="K30" s="3173" t="s">
        <v>3402</v>
      </c>
      <c r="L30" s="3173">
        <v>6</v>
      </c>
      <c r="M30" s="3173">
        <v>1</v>
      </c>
      <c r="N30" s="3173">
        <v>2000</v>
      </c>
      <c r="O30" s="3173" t="s">
        <v>633</v>
      </c>
      <c r="P30" s="3173" t="s">
        <v>633</v>
      </c>
      <c r="Q30" s="3173" t="s">
        <v>633</v>
      </c>
      <c r="R30" s="3173">
        <v>29818</v>
      </c>
      <c r="S30" s="3173">
        <v>29919</v>
      </c>
      <c r="T30" s="3173">
        <v>2076977</v>
      </c>
      <c r="U30" s="3174">
        <v>46030</v>
      </c>
    </row>
    <row r="31" spans="1:21" ht="26.25" thickBot="1">
      <c r="A31" s="3192">
        <v>3</v>
      </c>
      <c r="B31" s="3193" t="s">
        <v>3594</v>
      </c>
      <c r="C31" s="3192" t="s">
        <v>3602</v>
      </c>
      <c r="D31" s="3192" t="s">
        <v>3466</v>
      </c>
      <c r="E31" s="3192" t="s">
        <v>3463</v>
      </c>
      <c r="F31" s="3192" t="s">
        <v>3603</v>
      </c>
      <c r="G31" s="3192" t="s">
        <v>3598</v>
      </c>
      <c r="H31" s="3192"/>
      <c r="I31" s="3192" t="s">
        <v>3464</v>
      </c>
      <c r="J31" s="3192">
        <v>69.42</v>
      </c>
      <c r="K31" s="3192" t="s">
        <v>3402</v>
      </c>
      <c r="L31" s="3192">
        <v>6</v>
      </c>
      <c r="M31" s="3192">
        <v>2</v>
      </c>
      <c r="N31" s="3192" t="s">
        <v>633</v>
      </c>
      <c r="O31" s="3192">
        <v>2000</v>
      </c>
      <c r="P31" s="3192" t="s">
        <v>633</v>
      </c>
      <c r="Q31" s="3192" t="s">
        <v>633</v>
      </c>
      <c r="R31" s="3192">
        <v>33132</v>
      </c>
      <c r="S31" s="3192">
        <v>33223</v>
      </c>
      <c r="T31" s="3192">
        <v>2306341</v>
      </c>
      <c r="U31" s="3194">
        <v>45940</v>
      </c>
    </row>
    <row r="32" spans="1:21" ht="39" thickBot="1">
      <c r="A32" s="3173">
        <v>4</v>
      </c>
      <c r="B32" s="3187" t="s">
        <v>3594</v>
      </c>
      <c r="C32" s="3173" t="s">
        <v>3604</v>
      </c>
      <c r="D32" s="3173" t="s">
        <v>3605</v>
      </c>
      <c r="E32" s="3173" t="s">
        <v>3463</v>
      </c>
      <c r="F32" s="3173" t="s">
        <v>3606</v>
      </c>
      <c r="G32" s="3173" t="s">
        <v>3598</v>
      </c>
      <c r="H32" s="3173" t="s">
        <v>3467</v>
      </c>
      <c r="I32" s="3173" t="s">
        <v>3465</v>
      </c>
      <c r="J32" s="3173">
        <v>53.88</v>
      </c>
      <c r="K32" s="3173" t="s">
        <v>3402</v>
      </c>
      <c r="L32" s="3173">
        <v>5</v>
      </c>
      <c r="M32" s="3173">
        <v>3</v>
      </c>
      <c r="N32" s="3173">
        <v>1980</v>
      </c>
      <c r="O32" s="3173" t="s">
        <v>633</v>
      </c>
      <c r="P32" s="3173" t="s">
        <v>633</v>
      </c>
      <c r="Q32" s="3173" t="s">
        <v>633</v>
      </c>
      <c r="R32" s="3173">
        <v>37305</v>
      </c>
      <c r="S32" s="3173">
        <v>37338</v>
      </c>
      <c r="T32" s="3173">
        <v>2011771</v>
      </c>
      <c r="U32" s="3174">
        <v>45855</v>
      </c>
    </row>
    <row r="33" spans="1:21" ht="39" thickBot="1">
      <c r="A33" s="3171">
        <v>5</v>
      </c>
      <c r="B33" s="3186" t="s">
        <v>3594</v>
      </c>
      <c r="C33" s="3171" t="s">
        <v>3607</v>
      </c>
      <c r="D33" s="3171" t="s">
        <v>3608</v>
      </c>
      <c r="E33" s="3171" t="s">
        <v>3463</v>
      </c>
      <c r="F33" s="3171" t="s">
        <v>3609</v>
      </c>
      <c r="G33" s="3171" t="s">
        <v>3598</v>
      </c>
      <c r="H33" s="3171" t="s">
        <v>3467</v>
      </c>
      <c r="I33" s="3171" t="s">
        <v>3465</v>
      </c>
      <c r="J33" s="3171">
        <v>69.42</v>
      </c>
      <c r="K33" s="3171" t="s">
        <v>3402</v>
      </c>
      <c r="L33" s="3171">
        <v>6</v>
      </c>
      <c r="M33" s="3171">
        <v>3</v>
      </c>
      <c r="N33" s="3171" t="s">
        <v>633</v>
      </c>
      <c r="O33" s="3171">
        <v>2000</v>
      </c>
      <c r="P33" s="3171" t="s">
        <v>633</v>
      </c>
      <c r="Q33" s="3171" t="s">
        <v>633</v>
      </c>
      <c r="R33" s="3171">
        <v>42711</v>
      </c>
      <c r="S33" s="3171">
        <v>43065</v>
      </c>
      <c r="T33" s="3171">
        <v>2989572</v>
      </c>
      <c r="U33" s="3172">
        <v>45814</v>
      </c>
    </row>
    <row r="34" spans="1:21" ht="26.25" thickBot="1">
      <c r="A34" s="3173">
        <v>6</v>
      </c>
      <c r="B34" s="3187" t="s">
        <v>3594</v>
      </c>
      <c r="C34" s="3173" t="s">
        <v>3610</v>
      </c>
      <c r="D34" s="3173" t="s">
        <v>3611</v>
      </c>
      <c r="E34" s="3173" t="s">
        <v>3463</v>
      </c>
      <c r="F34" s="3173" t="s">
        <v>3612</v>
      </c>
      <c r="G34" s="3173" t="s">
        <v>3598</v>
      </c>
      <c r="H34" s="3173" t="s">
        <v>3467</v>
      </c>
      <c r="I34" s="3173" t="s">
        <v>3465</v>
      </c>
      <c r="J34" s="3173">
        <v>69.42</v>
      </c>
      <c r="K34" s="3173" t="s">
        <v>3402</v>
      </c>
      <c r="L34" s="3173">
        <v>6</v>
      </c>
      <c r="M34" s="3173">
        <v>4</v>
      </c>
      <c r="N34" s="3173" t="s">
        <v>633</v>
      </c>
      <c r="O34" s="3173">
        <v>2000</v>
      </c>
      <c r="P34" s="3173" t="s">
        <v>633</v>
      </c>
      <c r="Q34" s="3173" t="s">
        <v>633</v>
      </c>
      <c r="R34" s="3173">
        <v>38606</v>
      </c>
      <c r="S34" s="3173">
        <v>38762</v>
      </c>
      <c r="T34" s="3173">
        <v>2690858</v>
      </c>
      <c r="U34" s="3174">
        <v>45812</v>
      </c>
    </row>
    <row r="35" spans="1:21" ht="39" thickBot="1">
      <c r="A35" s="3171">
        <v>7</v>
      </c>
      <c r="B35" s="3186" t="s">
        <v>3594</v>
      </c>
      <c r="C35" s="3171" t="s">
        <v>3613</v>
      </c>
      <c r="D35" s="3171" t="s">
        <v>3614</v>
      </c>
      <c r="E35" s="3171" t="s">
        <v>3463</v>
      </c>
      <c r="F35" s="3171" t="s">
        <v>3615</v>
      </c>
      <c r="G35" s="3171" t="s">
        <v>3598</v>
      </c>
      <c r="H35" s="3171" t="s">
        <v>3467</v>
      </c>
      <c r="I35" s="3171" t="s">
        <v>3465</v>
      </c>
      <c r="J35" s="3171">
        <v>42.21</v>
      </c>
      <c r="K35" s="3171" t="s">
        <v>3402</v>
      </c>
      <c r="L35" s="3171">
        <v>6</v>
      </c>
      <c r="M35" s="3171">
        <v>4</v>
      </c>
      <c r="N35" s="3171">
        <v>1985</v>
      </c>
      <c r="O35" s="3171" t="s">
        <v>3616</v>
      </c>
      <c r="P35" s="3171" t="s">
        <v>633</v>
      </c>
      <c r="Q35" s="3171" t="s">
        <v>633</v>
      </c>
      <c r="R35" s="3171">
        <v>34115</v>
      </c>
      <c r="S35" s="3171">
        <v>34355</v>
      </c>
      <c r="T35" s="3171">
        <v>1450125</v>
      </c>
      <c r="U35" s="3172">
        <v>45776</v>
      </c>
    </row>
    <row r="36" spans="1:21" ht="39" thickBot="1">
      <c r="A36" s="3188">
        <v>8</v>
      </c>
      <c r="B36" s="3189" t="s">
        <v>3594</v>
      </c>
      <c r="C36" s="3188" t="s">
        <v>3617</v>
      </c>
      <c r="D36" s="3188" t="s">
        <v>3618</v>
      </c>
      <c r="E36" s="3188" t="s">
        <v>3463</v>
      </c>
      <c r="F36" s="3188" t="s">
        <v>3619</v>
      </c>
      <c r="G36" s="3188" t="s">
        <v>3598</v>
      </c>
      <c r="H36" s="3188" t="s">
        <v>3467</v>
      </c>
      <c r="I36" s="3188" t="s">
        <v>3464</v>
      </c>
      <c r="J36" s="3188">
        <v>90.25</v>
      </c>
      <c r="K36" s="3188" t="s">
        <v>3402</v>
      </c>
      <c r="L36" s="3188">
        <v>6</v>
      </c>
      <c r="M36" s="3188">
        <v>2</v>
      </c>
      <c r="N36" s="3188">
        <v>2001</v>
      </c>
      <c r="O36" s="3188" t="s">
        <v>633</v>
      </c>
      <c r="P36" s="3188" t="s">
        <v>633</v>
      </c>
      <c r="Q36" s="3188" t="s">
        <v>633</v>
      </c>
      <c r="R36" s="3188">
        <v>0</v>
      </c>
      <c r="S36" s="3188">
        <v>37152</v>
      </c>
      <c r="T36" s="3188">
        <v>3352968</v>
      </c>
      <c r="U36" s="3190">
        <v>45757</v>
      </c>
    </row>
    <row r="50" spans="1:5">
      <c r="A50">
        <v>251117</v>
      </c>
      <c r="B50">
        <v>69</v>
      </c>
      <c r="C50" s="1405" t="s">
        <v>3623</v>
      </c>
      <c r="D50">
        <v>4600</v>
      </c>
      <c r="E50">
        <f>ROUND(D50/B50,0)</f>
        <v>67</v>
      </c>
    </row>
    <row r="51" spans="1:5">
      <c r="A51">
        <v>251116</v>
      </c>
      <c r="B51">
        <v>69.42</v>
      </c>
      <c r="C51" s="1405" t="s">
        <v>3624</v>
      </c>
      <c r="D51">
        <v>4500</v>
      </c>
      <c r="E51">
        <f t="shared" ref="E51:E54" si="0">ROUND(D51/B51,0)</f>
        <v>65</v>
      </c>
    </row>
    <row r="52" spans="1:5">
      <c r="A52">
        <v>1025</v>
      </c>
      <c r="B52">
        <v>61</v>
      </c>
      <c r="C52" s="1405" t="s">
        <v>3623</v>
      </c>
      <c r="D52">
        <v>4100</v>
      </c>
      <c r="E52">
        <f t="shared" si="0"/>
        <v>67</v>
      </c>
    </row>
    <row r="53" spans="1:5">
      <c r="A53">
        <v>930</v>
      </c>
      <c r="B53">
        <v>42.28</v>
      </c>
      <c r="C53" s="1405" t="s">
        <v>3625</v>
      </c>
      <c r="D53">
        <v>4300</v>
      </c>
      <c r="E53">
        <f t="shared" si="0"/>
        <v>102</v>
      </c>
    </row>
    <row r="54" spans="1:5">
      <c r="A54">
        <v>910</v>
      </c>
      <c r="B54">
        <v>69</v>
      </c>
      <c r="C54" s="1405" t="s">
        <v>3626</v>
      </c>
      <c r="D54">
        <v>5000</v>
      </c>
      <c r="E54">
        <f t="shared" si="0"/>
        <v>72</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439"/>
  <sheetViews>
    <sheetView workbookViewId="0">
      <selection sqref="A1:I26"/>
    </sheetView>
  </sheetViews>
  <sheetFormatPr defaultColWidth="9.625" defaultRowHeight="13.5"/>
  <cols>
    <col min="1" max="1" width="15.625" style="3184" customWidth="1"/>
    <col min="2" max="3" width="9.625" style="3184"/>
    <col min="4" max="4" width="23.5" style="3184" customWidth="1"/>
    <col min="5" max="6" width="9.625" style="3184"/>
    <col min="7" max="7" width="16" style="3184" customWidth="1"/>
    <col min="8" max="256" width="9.625" style="3184"/>
    <col min="257" max="257" width="15.625" style="3184" customWidth="1"/>
    <col min="258" max="259" width="9.625" style="3184"/>
    <col min="260" max="260" width="23.5" style="3184" customWidth="1"/>
    <col min="261" max="262" width="9.625" style="3184"/>
    <col min="263" max="263" width="16" style="3184" customWidth="1"/>
    <col min="264" max="512" width="9.625" style="3184"/>
    <col min="513" max="513" width="15.625" style="3184" customWidth="1"/>
    <col min="514" max="515" width="9.625" style="3184"/>
    <col min="516" max="516" width="23.5" style="3184" customWidth="1"/>
    <col min="517" max="518" width="9.625" style="3184"/>
    <col min="519" max="519" width="16" style="3184" customWidth="1"/>
    <col min="520" max="768" width="9.625" style="3184"/>
    <col min="769" max="769" width="15.625" style="3184" customWidth="1"/>
    <col min="770" max="771" width="9.625" style="3184"/>
    <col min="772" max="772" width="23.5" style="3184" customWidth="1"/>
    <col min="773" max="774" width="9.625" style="3184"/>
    <col min="775" max="775" width="16" style="3184" customWidth="1"/>
    <col min="776" max="1024" width="9.625" style="3184"/>
    <col min="1025" max="1025" width="15.625" style="3184" customWidth="1"/>
    <col min="1026" max="1027" width="9.625" style="3184"/>
    <col min="1028" max="1028" width="23.5" style="3184" customWidth="1"/>
    <col min="1029" max="1030" width="9.625" style="3184"/>
    <col min="1031" max="1031" width="16" style="3184" customWidth="1"/>
    <col min="1032" max="1280" width="9.625" style="3184"/>
    <col min="1281" max="1281" width="15.625" style="3184" customWidth="1"/>
    <col min="1282" max="1283" width="9.625" style="3184"/>
    <col min="1284" max="1284" width="23.5" style="3184" customWidth="1"/>
    <col min="1285" max="1286" width="9.625" style="3184"/>
    <col min="1287" max="1287" width="16" style="3184" customWidth="1"/>
    <col min="1288" max="1536" width="9.625" style="3184"/>
    <col min="1537" max="1537" width="15.625" style="3184" customWidth="1"/>
    <col min="1538" max="1539" width="9.625" style="3184"/>
    <col min="1540" max="1540" width="23.5" style="3184" customWidth="1"/>
    <col min="1541" max="1542" width="9.625" style="3184"/>
    <col min="1543" max="1543" width="16" style="3184" customWidth="1"/>
    <col min="1544" max="1792" width="9.625" style="3184"/>
    <col min="1793" max="1793" width="15.625" style="3184" customWidth="1"/>
    <col min="1794" max="1795" width="9.625" style="3184"/>
    <col min="1796" max="1796" width="23.5" style="3184" customWidth="1"/>
    <col min="1797" max="1798" width="9.625" style="3184"/>
    <col min="1799" max="1799" width="16" style="3184" customWidth="1"/>
    <col min="1800" max="2048" width="9.625" style="3184"/>
    <col min="2049" max="2049" width="15.625" style="3184" customWidth="1"/>
    <col min="2050" max="2051" width="9.625" style="3184"/>
    <col min="2052" max="2052" width="23.5" style="3184" customWidth="1"/>
    <col min="2053" max="2054" width="9.625" style="3184"/>
    <col min="2055" max="2055" width="16" style="3184" customWidth="1"/>
    <col min="2056" max="2304" width="9.625" style="3184"/>
    <col min="2305" max="2305" width="15.625" style="3184" customWidth="1"/>
    <col min="2306" max="2307" width="9.625" style="3184"/>
    <col min="2308" max="2308" width="23.5" style="3184" customWidth="1"/>
    <col min="2309" max="2310" width="9.625" style="3184"/>
    <col min="2311" max="2311" width="16" style="3184" customWidth="1"/>
    <col min="2312" max="2560" width="9.625" style="3184"/>
    <col min="2561" max="2561" width="15.625" style="3184" customWidth="1"/>
    <col min="2562" max="2563" width="9.625" style="3184"/>
    <col min="2564" max="2564" width="23.5" style="3184" customWidth="1"/>
    <col min="2565" max="2566" width="9.625" style="3184"/>
    <col min="2567" max="2567" width="16" style="3184" customWidth="1"/>
    <col min="2568" max="2816" width="9.625" style="3184"/>
    <col min="2817" max="2817" width="15.625" style="3184" customWidth="1"/>
    <col min="2818" max="2819" width="9.625" style="3184"/>
    <col min="2820" max="2820" width="23.5" style="3184" customWidth="1"/>
    <col min="2821" max="2822" width="9.625" style="3184"/>
    <col min="2823" max="2823" width="16" style="3184" customWidth="1"/>
    <col min="2824" max="3072" width="9.625" style="3184"/>
    <col min="3073" max="3073" width="15.625" style="3184" customWidth="1"/>
    <col min="3074" max="3075" width="9.625" style="3184"/>
    <col min="3076" max="3076" width="23.5" style="3184" customWidth="1"/>
    <col min="3077" max="3078" width="9.625" style="3184"/>
    <col min="3079" max="3079" width="16" style="3184" customWidth="1"/>
    <col min="3080" max="3328" width="9.625" style="3184"/>
    <col min="3329" max="3329" width="15.625" style="3184" customWidth="1"/>
    <col min="3330" max="3331" width="9.625" style="3184"/>
    <col min="3332" max="3332" width="23.5" style="3184" customWidth="1"/>
    <col min="3333" max="3334" width="9.625" style="3184"/>
    <col min="3335" max="3335" width="16" style="3184" customWidth="1"/>
    <col min="3336" max="3584" width="9.625" style="3184"/>
    <col min="3585" max="3585" width="15.625" style="3184" customWidth="1"/>
    <col min="3586" max="3587" width="9.625" style="3184"/>
    <col min="3588" max="3588" width="23.5" style="3184" customWidth="1"/>
    <col min="3589" max="3590" width="9.625" style="3184"/>
    <col min="3591" max="3591" width="16" style="3184" customWidth="1"/>
    <col min="3592" max="3840" width="9.625" style="3184"/>
    <col min="3841" max="3841" width="15.625" style="3184" customWidth="1"/>
    <col min="3842" max="3843" width="9.625" style="3184"/>
    <col min="3844" max="3844" width="23.5" style="3184" customWidth="1"/>
    <col min="3845" max="3846" width="9.625" style="3184"/>
    <col min="3847" max="3847" width="16" style="3184" customWidth="1"/>
    <col min="3848" max="4096" width="9.625" style="3184"/>
    <col min="4097" max="4097" width="15.625" style="3184" customWidth="1"/>
    <col min="4098" max="4099" width="9.625" style="3184"/>
    <col min="4100" max="4100" width="23.5" style="3184" customWidth="1"/>
    <col min="4101" max="4102" width="9.625" style="3184"/>
    <col min="4103" max="4103" width="16" style="3184" customWidth="1"/>
    <col min="4104" max="4352" width="9.625" style="3184"/>
    <col min="4353" max="4353" width="15.625" style="3184" customWidth="1"/>
    <col min="4354" max="4355" width="9.625" style="3184"/>
    <col min="4356" max="4356" width="23.5" style="3184" customWidth="1"/>
    <col min="4357" max="4358" width="9.625" style="3184"/>
    <col min="4359" max="4359" width="16" style="3184" customWidth="1"/>
    <col min="4360" max="4608" width="9.625" style="3184"/>
    <col min="4609" max="4609" width="15.625" style="3184" customWidth="1"/>
    <col min="4610" max="4611" width="9.625" style="3184"/>
    <col min="4612" max="4612" width="23.5" style="3184" customWidth="1"/>
    <col min="4613" max="4614" width="9.625" style="3184"/>
    <col min="4615" max="4615" width="16" style="3184" customWidth="1"/>
    <col min="4616" max="4864" width="9.625" style="3184"/>
    <col min="4865" max="4865" width="15.625" style="3184" customWidth="1"/>
    <col min="4866" max="4867" width="9.625" style="3184"/>
    <col min="4868" max="4868" width="23.5" style="3184" customWidth="1"/>
    <col min="4869" max="4870" width="9.625" style="3184"/>
    <col min="4871" max="4871" width="16" style="3184" customWidth="1"/>
    <col min="4872" max="5120" width="9.625" style="3184"/>
    <col min="5121" max="5121" width="15.625" style="3184" customWidth="1"/>
    <col min="5122" max="5123" width="9.625" style="3184"/>
    <col min="5124" max="5124" width="23.5" style="3184" customWidth="1"/>
    <col min="5125" max="5126" width="9.625" style="3184"/>
    <col min="5127" max="5127" width="16" style="3184" customWidth="1"/>
    <col min="5128" max="5376" width="9.625" style="3184"/>
    <col min="5377" max="5377" width="15.625" style="3184" customWidth="1"/>
    <col min="5378" max="5379" width="9.625" style="3184"/>
    <col min="5380" max="5380" width="23.5" style="3184" customWidth="1"/>
    <col min="5381" max="5382" width="9.625" style="3184"/>
    <col min="5383" max="5383" width="16" style="3184" customWidth="1"/>
    <col min="5384" max="5632" width="9.625" style="3184"/>
    <col min="5633" max="5633" width="15.625" style="3184" customWidth="1"/>
    <col min="5634" max="5635" width="9.625" style="3184"/>
    <col min="5636" max="5636" width="23.5" style="3184" customWidth="1"/>
    <col min="5637" max="5638" width="9.625" style="3184"/>
    <col min="5639" max="5639" width="16" style="3184" customWidth="1"/>
    <col min="5640" max="5888" width="9.625" style="3184"/>
    <col min="5889" max="5889" width="15.625" style="3184" customWidth="1"/>
    <col min="5890" max="5891" width="9.625" style="3184"/>
    <col min="5892" max="5892" width="23.5" style="3184" customWidth="1"/>
    <col min="5893" max="5894" width="9.625" style="3184"/>
    <col min="5895" max="5895" width="16" style="3184" customWidth="1"/>
    <col min="5896" max="6144" width="9.625" style="3184"/>
    <col min="6145" max="6145" width="15.625" style="3184" customWidth="1"/>
    <col min="6146" max="6147" width="9.625" style="3184"/>
    <col min="6148" max="6148" width="23.5" style="3184" customWidth="1"/>
    <col min="6149" max="6150" width="9.625" style="3184"/>
    <col min="6151" max="6151" width="16" style="3184" customWidth="1"/>
    <col min="6152" max="6400" width="9.625" style="3184"/>
    <col min="6401" max="6401" width="15.625" style="3184" customWidth="1"/>
    <col min="6402" max="6403" width="9.625" style="3184"/>
    <col min="6404" max="6404" width="23.5" style="3184" customWidth="1"/>
    <col min="6405" max="6406" width="9.625" style="3184"/>
    <col min="6407" max="6407" width="16" style="3184" customWidth="1"/>
    <col min="6408" max="6656" width="9.625" style="3184"/>
    <col min="6657" max="6657" width="15.625" style="3184" customWidth="1"/>
    <col min="6658" max="6659" width="9.625" style="3184"/>
    <col min="6660" max="6660" width="23.5" style="3184" customWidth="1"/>
    <col min="6661" max="6662" width="9.625" style="3184"/>
    <col min="6663" max="6663" width="16" style="3184" customWidth="1"/>
    <col min="6664" max="6912" width="9.625" style="3184"/>
    <col min="6913" max="6913" width="15.625" style="3184" customWidth="1"/>
    <col min="6914" max="6915" width="9.625" style="3184"/>
    <col min="6916" max="6916" width="23.5" style="3184" customWidth="1"/>
    <col min="6917" max="6918" width="9.625" style="3184"/>
    <col min="6919" max="6919" width="16" style="3184" customWidth="1"/>
    <col min="6920" max="7168" width="9.625" style="3184"/>
    <col min="7169" max="7169" width="15.625" style="3184" customWidth="1"/>
    <col min="7170" max="7171" width="9.625" style="3184"/>
    <col min="7172" max="7172" width="23.5" style="3184" customWidth="1"/>
    <col min="7173" max="7174" width="9.625" style="3184"/>
    <col min="7175" max="7175" width="16" style="3184" customWidth="1"/>
    <col min="7176" max="7424" width="9.625" style="3184"/>
    <col min="7425" max="7425" width="15.625" style="3184" customWidth="1"/>
    <col min="7426" max="7427" width="9.625" style="3184"/>
    <col min="7428" max="7428" width="23.5" style="3184" customWidth="1"/>
    <col min="7429" max="7430" width="9.625" style="3184"/>
    <col min="7431" max="7431" width="16" style="3184" customWidth="1"/>
    <col min="7432" max="7680" width="9.625" style="3184"/>
    <col min="7681" max="7681" width="15.625" style="3184" customWidth="1"/>
    <col min="7682" max="7683" width="9.625" style="3184"/>
    <col min="7684" max="7684" width="23.5" style="3184" customWidth="1"/>
    <col min="7685" max="7686" width="9.625" style="3184"/>
    <col min="7687" max="7687" width="16" style="3184" customWidth="1"/>
    <col min="7688" max="7936" width="9.625" style="3184"/>
    <col min="7937" max="7937" width="15.625" style="3184" customWidth="1"/>
    <col min="7938" max="7939" width="9.625" style="3184"/>
    <col min="7940" max="7940" width="23.5" style="3184" customWidth="1"/>
    <col min="7941" max="7942" width="9.625" style="3184"/>
    <col min="7943" max="7943" width="16" style="3184" customWidth="1"/>
    <col min="7944" max="8192" width="9.625" style="3184"/>
    <col min="8193" max="8193" width="15.625" style="3184" customWidth="1"/>
    <col min="8194" max="8195" width="9.625" style="3184"/>
    <col min="8196" max="8196" width="23.5" style="3184" customWidth="1"/>
    <col min="8197" max="8198" width="9.625" style="3184"/>
    <col min="8199" max="8199" width="16" style="3184" customWidth="1"/>
    <col min="8200" max="8448" width="9.625" style="3184"/>
    <col min="8449" max="8449" width="15.625" style="3184" customWidth="1"/>
    <col min="8450" max="8451" width="9.625" style="3184"/>
    <col min="8452" max="8452" width="23.5" style="3184" customWidth="1"/>
    <col min="8453" max="8454" width="9.625" style="3184"/>
    <col min="8455" max="8455" width="16" style="3184" customWidth="1"/>
    <col min="8456" max="8704" width="9.625" style="3184"/>
    <col min="8705" max="8705" width="15.625" style="3184" customWidth="1"/>
    <col min="8706" max="8707" width="9.625" style="3184"/>
    <col min="8708" max="8708" width="23.5" style="3184" customWidth="1"/>
    <col min="8709" max="8710" width="9.625" style="3184"/>
    <col min="8711" max="8711" width="16" style="3184" customWidth="1"/>
    <col min="8712" max="8960" width="9.625" style="3184"/>
    <col min="8961" max="8961" width="15.625" style="3184" customWidth="1"/>
    <col min="8962" max="8963" width="9.625" style="3184"/>
    <col min="8964" max="8964" width="23.5" style="3184" customWidth="1"/>
    <col min="8965" max="8966" width="9.625" style="3184"/>
    <col min="8967" max="8967" width="16" style="3184" customWidth="1"/>
    <col min="8968" max="9216" width="9.625" style="3184"/>
    <col min="9217" max="9217" width="15.625" style="3184" customWidth="1"/>
    <col min="9218" max="9219" width="9.625" style="3184"/>
    <col min="9220" max="9220" width="23.5" style="3184" customWidth="1"/>
    <col min="9221" max="9222" width="9.625" style="3184"/>
    <col min="9223" max="9223" width="16" style="3184" customWidth="1"/>
    <col min="9224" max="9472" width="9.625" style="3184"/>
    <col min="9473" max="9473" width="15.625" style="3184" customWidth="1"/>
    <col min="9474" max="9475" width="9.625" style="3184"/>
    <col min="9476" max="9476" width="23.5" style="3184" customWidth="1"/>
    <col min="9477" max="9478" width="9.625" style="3184"/>
    <col min="9479" max="9479" width="16" style="3184" customWidth="1"/>
    <col min="9480" max="9728" width="9.625" style="3184"/>
    <col min="9729" max="9729" width="15.625" style="3184" customWidth="1"/>
    <col min="9730" max="9731" width="9.625" style="3184"/>
    <col min="9732" max="9732" width="23.5" style="3184" customWidth="1"/>
    <col min="9733" max="9734" width="9.625" style="3184"/>
    <col min="9735" max="9735" width="16" style="3184" customWidth="1"/>
    <col min="9736" max="9984" width="9.625" style="3184"/>
    <col min="9985" max="9985" width="15.625" style="3184" customWidth="1"/>
    <col min="9986" max="9987" width="9.625" style="3184"/>
    <col min="9988" max="9988" width="23.5" style="3184" customWidth="1"/>
    <col min="9989" max="9990" width="9.625" style="3184"/>
    <col min="9991" max="9991" width="16" style="3184" customWidth="1"/>
    <col min="9992" max="10240" width="9.625" style="3184"/>
    <col min="10241" max="10241" width="15.625" style="3184" customWidth="1"/>
    <col min="10242" max="10243" width="9.625" style="3184"/>
    <col min="10244" max="10244" width="23.5" style="3184" customWidth="1"/>
    <col min="10245" max="10246" width="9.625" style="3184"/>
    <col min="10247" max="10247" width="16" style="3184" customWidth="1"/>
    <col min="10248" max="10496" width="9.625" style="3184"/>
    <col min="10497" max="10497" width="15.625" style="3184" customWidth="1"/>
    <col min="10498" max="10499" width="9.625" style="3184"/>
    <col min="10500" max="10500" width="23.5" style="3184" customWidth="1"/>
    <col min="10501" max="10502" width="9.625" style="3184"/>
    <col min="10503" max="10503" width="16" style="3184" customWidth="1"/>
    <col min="10504" max="10752" width="9.625" style="3184"/>
    <col min="10753" max="10753" width="15.625" style="3184" customWidth="1"/>
    <col min="10754" max="10755" width="9.625" style="3184"/>
    <col min="10756" max="10756" width="23.5" style="3184" customWidth="1"/>
    <col min="10757" max="10758" width="9.625" style="3184"/>
    <col min="10759" max="10759" width="16" style="3184" customWidth="1"/>
    <col min="10760" max="11008" width="9.625" style="3184"/>
    <col min="11009" max="11009" width="15.625" style="3184" customWidth="1"/>
    <col min="11010" max="11011" width="9.625" style="3184"/>
    <col min="11012" max="11012" width="23.5" style="3184" customWidth="1"/>
    <col min="11013" max="11014" width="9.625" style="3184"/>
    <col min="11015" max="11015" width="16" style="3184" customWidth="1"/>
    <col min="11016" max="11264" width="9.625" style="3184"/>
    <col min="11265" max="11265" width="15.625" style="3184" customWidth="1"/>
    <col min="11266" max="11267" width="9.625" style="3184"/>
    <col min="11268" max="11268" width="23.5" style="3184" customWidth="1"/>
    <col min="11269" max="11270" width="9.625" style="3184"/>
    <col min="11271" max="11271" width="16" style="3184" customWidth="1"/>
    <col min="11272" max="11520" width="9.625" style="3184"/>
    <col min="11521" max="11521" width="15.625" style="3184" customWidth="1"/>
    <col min="11522" max="11523" width="9.625" style="3184"/>
    <col min="11524" max="11524" width="23.5" style="3184" customWidth="1"/>
    <col min="11525" max="11526" width="9.625" style="3184"/>
    <col min="11527" max="11527" width="16" style="3184" customWidth="1"/>
    <col min="11528" max="11776" width="9.625" style="3184"/>
    <col min="11777" max="11777" width="15.625" style="3184" customWidth="1"/>
    <col min="11778" max="11779" width="9.625" style="3184"/>
    <col min="11780" max="11780" width="23.5" style="3184" customWidth="1"/>
    <col min="11781" max="11782" width="9.625" style="3184"/>
    <col min="11783" max="11783" width="16" style="3184" customWidth="1"/>
    <col min="11784" max="12032" width="9.625" style="3184"/>
    <col min="12033" max="12033" width="15.625" style="3184" customWidth="1"/>
    <col min="12034" max="12035" width="9.625" style="3184"/>
    <col min="12036" max="12036" width="23.5" style="3184" customWidth="1"/>
    <col min="12037" max="12038" width="9.625" style="3184"/>
    <col min="12039" max="12039" width="16" style="3184" customWidth="1"/>
    <col min="12040" max="12288" width="9.625" style="3184"/>
    <col min="12289" max="12289" width="15.625" style="3184" customWidth="1"/>
    <col min="12290" max="12291" width="9.625" style="3184"/>
    <col min="12292" max="12292" width="23.5" style="3184" customWidth="1"/>
    <col min="12293" max="12294" width="9.625" style="3184"/>
    <col min="12295" max="12295" width="16" style="3184" customWidth="1"/>
    <col min="12296" max="12544" width="9.625" style="3184"/>
    <col min="12545" max="12545" width="15.625" style="3184" customWidth="1"/>
    <col min="12546" max="12547" width="9.625" style="3184"/>
    <col min="12548" max="12548" width="23.5" style="3184" customWidth="1"/>
    <col min="12549" max="12550" width="9.625" style="3184"/>
    <col min="12551" max="12551" width="16" style="3184" customWidth="1"/>
    <col min="12552" max="12800" width="9.625" style="3184"/>
    <col min="12801" max="12801" width="15.625" style="3184" customWidth="1"/>
    <col min="12802" max="12803" width="9.625" style="3184"/>
    <col min="12804" max="12804" width="23.5" style="3184" customWidth="1"/>
    <col min="12805" max="12806" width="9.625" style="3184"/>
    <col min="12807" max="12807" width="16" style="3184" customWidth="1"/>
    <col min="12808" max="13056" width="9.625" style="3184"/>
    <col min="13057" max="13057" width="15.625" style="3184" customWidth="1"/>
    <col min="13058" max="13059" width="9.625" style="3184"/>
    <col min="13060" max="13060" width="23.5" style="3184" customWidth="1"/>
    <col min="13061" max="13062" width="9.625" style="3184"/>
    <col min="13063" max="13063" width="16" style="3184" customWidth="1"/>
    <col min="13064" max="13312" width="9.625" style="3184"/>
    <col min="13313" max="13313" width="15.625" style="3184" customWidth="1"/>
    <col min="13314" max="13315" width="9.625" style="3184"/>
    <col min="13316" max="13316" width="23.5" style="3184" customWidth="1"/>
    <col min="13317" max="13318" width="9.625" style="3184"/>
    <col min="13319" max="13319" width="16" style="3184" customWidth="1"/>
    <col min="13320" max="13568" width="9.625" style="3184"/>
    <col min="13569" max="13569" width="15.625" style="3184" customWidth="1"/>
    <col min="13570" max="13571" width="9.625" style="3184"/>
    <col min="13572" max="13572" width="23.5" style="3184" customWidth="1"/>
    <col min="13573" max="13574" width="9.625" style="3184"/>
    <col min="13575" max="13575" width="16" style="3184" customWidth="1"/>
    <col min="13576" max="13824" width="9.625" style="3184"/>
    <col min="13825" max="13825" width="15.625" style="3184" customWidth="1"/>
    <col min="13826" max="13827" width="9.625" style="3184"/>
    <col min="13828" max="13828" width="23.5" style="3184" customWidth="1"/>
    <col min="13829" max="13830" width="9.625" style="3184"/>
    <col min="13831" max="13831" width="16" style="3184" customWidth="1"/>
    <col min="13832" max="14080" width="9.625" style="3184"/>
    <col min="14081" max="14081" width="15.625" style="3184" customWidth="1"/>
    <col min="14082" max="14083" width="9.625" style="3184"/>
    <col min="14084" max="14084" width="23.5" style="3184" customWidth="1"/>
    <col min="14085" max="14086" width="9.625" style="3184"/>
    <col min="14087" max="14087" width="16" style="3184" customWidth="1"/>
    <col min="14088" max="14336" width="9.625" style="3184"/>
    <col min="14337" max="14337" width="15.625" style="3184" customWidth="1"/>
    <col min="14338" max="14339" width="9.625" style="3184"/>
    <col min="14340" max="14340" width="23.5" style="3184" customWidth="1"/>
    <col min="14341" max="14342" width="9.625" style="3184"/>
    <col min="14343" max="14343" width="16" style="3184" customWidth="1"/>
    <col min="14344" max="14592" width="9.625" style="3184"/>
    <col min="14593" max="14593" width="15.625" style="3184" customWidth="1"/>
    <col min="14594" max="14595" width="9.625" style="3184"/>
    <col min="14596" max="14596" width="23.5" style="3184" customWidth="1"/>
    <col min="14597" max="14598" width="9.625" style="3184"/>
    <col min="14599" max="14599" width="16" style="3184" customWidth="1"/>
    <col min="14600" max="14848" width="9.625" style="3184"/>
    <col min="14849" max="14849" width="15.625" style="3184" customWidth="1"/>
    <col min="14850" max="14851" width="9.625" style="3184"/>
    <col min="14852" max="14852" width="23.5" style="3184" customWidth="1"/>
    <col min="14853" max="14854" width="9.625" style="3184"/>
    <col min="14855" max="14855" width="16" style="3184" customWidth="1"/>
    <col min="14856" max="15104" width="9.625" style="3184"/>
    <col min="15105" max="15105" width="15.625" style="3184" customWidth="1"/>
    <col min="15106" max="15107" width="9.625" style="3184"/>
    <col min="15108" max="15108" width="23.5" style="3184" customWidth="1"/>
    <col min="15109" max="15110" width="9.625" style="3184"/>
    <col min="15111" max="15111" width="16" style="3184" customWidth="1"/>
    <col min="15112" max="15360" width="9.625" style="3184"/>
    <col min="15361" max="15361" width="15.625" style="3184" customWidth="1"/>
    <col min="15362" max="15363" width="9.625" style="3184"/>
    <col min="15364" max="15364" width="23.5" style="3184" customWidth="1"/>
    <col min="15365" max="15366" width="9.625" style="3184"/>
    <col min="15367" max="15367" width="16" style="3184" customWidth="1"/>
    <col min="15368" max="15616" width="9.625" style="3184"/>
    <col min="15617" max="15617" width="15.625" style="3184" customWidth="1"/>
    <col min="15618" max="15619" width="9.625" style="3184"/>
    <col min="15620" max="15620" width="23.5" style="3184" customWidth="1"/>
    <col min="15621" max="15622" width="9.625" style="3184"/>
    <col min="15623" max="15623" width="16" style="3184" customWidth="1"/>
    <col min="15624" max="15872" width="9.625" style="3184"/>
    <col min="15873" max="15873" width="15.625" style="3184" customWidth="1"/>
    <col min="15874" max="15875" width="9.625" style="3184"/>
    <col min="15876" max="15876" width="23.5" style="3184" customWidth="1"/>
    <col min="15877" max="15878" width="9.625" style="3184"/>
    <col min="15879" max="15879" width="16" style="3184" customWidth="1"/>
    <col min="15880" max="16128" width="9.625" style="3184"/>
    <col min="16129" max="16129" width="15.625" style="3184" customWidth="1"/>
    <col min="16130" max="16131" width="9.625" style="3184"/>
    <col min="16132" max="16132" width="23.5" style="3184" customWidth="1"/>
    <col min="16133" max="16134" width="9.625" style="3184"/>
    <col min="16135" max="16135" width="16" style="3184" customWidth="1"/>
    <col min="16136" max="16384" width="9.625" style="3184"/>
  </cols>
  <sheetData>
    <row r="1" spans="1:9">
      <c r="A1" s="3184" t="s">
        <v>3496</v>
      </c>
      <c r="B1" s="3184" t="s">
        <v>3497</v>
      </c>
      <c r="C1" s="3184" t="s">
        <v>3498</v>
      </c>
      <c r="D1" s="3184" t="s">
        <v>3499</v>
      </c>
      <c r="E1" s="3184" t="s">
        <v>3500</v>
      </c>
      <c r="F1" s="3184" t="s">
        <v>3501</v>
      </c>
      <c r="G1" s="3184" t="s">
        <v>3502</v>
      </c>
      <c r="H1" s="3184" t="s">
        <v>3503</v>
      </c>
      <c r="I1" s="3184" t="s">
        <v>3459</v>
      </c>
    </row>
    <row r="2" spans="1:9">
      <c r="A2" s="3185">
        <v>46018</v>
      </c>
      <c r="B2" s="3184" t="s">
        <v>3504</v>
      </c>
      <c r="C2" s="3184">
        <v>69</v>
      </c>
      <c r="E2" s="3184" t="s">
        <v>3505</v>
      </c>
      <c r="F2" s="3184">
        <v>0</v>
      </c>
      <c r="G2" s="3184" t="s">
        <v>3506</v>
      </c>
      <c r="H2" s="3184">
        <v>207</v>
      </c>
      <c r="I2" s="3184">
        <v>29818</v>
      </c>
    </row>
    <row r="3" spans="1:9">
      <c r="A3" s="3185">
        <v>45997</v>
      </c>
      <c r="B3" s="3184" t="s">
        <v>3507</v>
      </c>
      <c r="C3" s="3184">
        <v>69</v>
      </c>
      <c r="D3" s="3184" t="s">
        <v>3508</v>
      </c>
      <c r="E3" s="3184" t="s">
        <v>3509</v>
      </c>
      <c r="F3" s="3184">
        <v>255</v>
      </c>
      <c r="G3" s="3184">
        <v>20250209</v>
      </c>
      <c r="H3" s="3184">
        <v>207</v>
      </c>
      <c r="I3" s="3184">
        <v>29891</v>
      </c>
    </row>
    <row r="4" spans="1:9">
      <c r="A4" s="3185">
        <v>45987</v>
      </c>
      <c r="B4" s="3184" t="s">
        <v>3507</v>
      </c>
      <c r="C4" s="3184">
        <v>69</v>
      </c>
      <c r="D4" s="3184" t="s">
        <v>3508</v>
      </c>
      <c r="E4" s="3184" t="s">
        <v>3509</v>
      </c>
      <c r="F4" s="3184">
        <v>249</v>
      </c>
      <c r="G4" s="3184">
        <v>20251017</v>
      </c>
      <c r="H4" s="3184">
        <v>208</v>
      </c>
      <c r="I4" s="3184">
        <v>29963</v>
      </c>
    </row>
    <row r="5" spans="1:9">
      <c r="A5" s="3185">
        <v>45956</v>
      </c>
      <c r="B5" s="3184" t="s">
        <v>3510</v>
      </c>
      <c r="C5" s="3184">
        <v>63</v>
      </c>
      <c r="E5" s="3184" t="s">
        <v>3511</v>
      </c>
      <c r="F5" s="3184">
        <v>0</v>
      </c>
      <c r="G5" s="3184" t="s">
        <v>3506</v>
      </c>
      <c r="H5" s="3184">
        <v>157</v>
      </c>
      <c r="I5" s="3184">
        <v>24747</v>
      </c>
    </row>
    <row r="6" spans="1:9">
      <c r="A6" s="3185">
        <v>45916</v>
      </c>
      <c r="B6" s="3184" t="s">
        <v>3507</v>
      </c>
      <c r="C6" s="3184">
        <v>69</v>
      </c>
      <c r="D6" s="3184" t="s">
        <v>3512</v>
      </c>
      <c r="E6" s="3184" t="s">
        <v>3509</v>
      </c>
      <c r="F6" s="3184">
        <v>279</v>
      </c>
      <c r="G6" s="3185">
        <v>45869</v>
      </c>
      <c r="H6" s="3184">
        <v>230</v>
      </c>
      <c r="I6" s="3184">
        <v>33131</v>
      </c>
    </row>
    <row r="7" spans="1:9">
      <c r="A7" s="3185">
        <v>45802</v>
      </c>
      <c r="B7" s="3184" t="s">
        <v>3507</v>
      </c>
      <c r="C7" s="3184">
        <v>69</v>
      </c>
      <c r="D7" s="3184" t="s">
        <v>3513</v>
      </c>
      <c r="E7" s="3184" t="s">
        <v>3509</v>
      </c>
      <c r="F7" s="3184">
        <v>319</v>
      </c>
      <c r="G7" s="3185">
        <v>45770</v>
      </c>
      <c r="H7" s="3184">
        <v>296</v>
      </c>
      <c r="I7" s="3184">
        <v>42639</v>
      </c>
    </row>
    <row r="8" spans="1:9">
      <c r="A8" s="3185">
        <v>45785</v>
      </c>
      <c r="B8" s="3184" t="s">
        <v>3514</v>
      </c>
      <c r="C8" s="3184">
        <v>55</v>
      </c>
      <c r="D8" s="3184" t="s">
        <v>3515</v>
      </c>
      <c r="E8" s="3184" t="s">
        <v>3511</v>
      </c>
      <c r="F8" s="3184">
        <v>169</v>
      </c>
      <c r="G8" s="3185">
        <v>45383</v>
      </c>
      <c r="H8" s="3184">
        <v>152</v>
      </c>
      <c r="I8" s="3184">
        <v>27541</v>
      </c>
    </row>
    <row r="9" spans="1:9">
      <c r="A9" s="3185">
        <v>45774</v>
      </c>
      <c r="B9" s="3184" t="s">
        <v>3514</v>
      </c>
      <c r="C9" s="3184">
        <v>42</v>
      </c>
      <c r="D9" s="3184" t="s">
        <v>3513</v>
      </c>
      <c r="E9" s="3184" t="s">
        <v>3505</v>
      </c>
      <c r="F9" s="3184">
        <v>152</v>
      </c>
      <c r="G9" s="3185">
        <v>45708</v>
      </c>
      <c r="H9" s="3184">
        <v>144</v>
      </c>
      <c r="I9" s="3184">
        <v>34115</v>
      </c>
    </row>
    <row r="10" spans="1:9">
      <c r="A10" s="3185">
        <v>45774</v>
      </c>
      <c r="B10" s="3184" t="s">
        <v>3504</v>
      </c>
      <c r="C10" s="3184">
        <v>69</v>
      </c>
      <c r="E10" s="3184" t="s">
        <v>3505</v>
      </c>
      <c r="F10" s="3184">
        <v>0</v>
      </c>
      <c r="G10" s="3184" t="s">
        <v>3506</v>
      </c>
      <c r="H10" s="3184">
        <v>268</v>
      </c>
      <c r="I10" s="3184">
        <v>38605</v>
      </c>
    </row>
    <row r="11" spans="1:9">
      <c r="A11" s="3185">
        <v>45762</v>
      </c>
      <c r="B11" s="3184" t="s">
        <v>3516</v>
      </c>
      <c r="C11" s="3184">
        <v>91</v>
      </c>
      <c r="D11" s="3184" t="s">
        <v>3513</v>
      </c>
      <c r="E11" s="3184" t="s">
        <v>3509</v>
      </c>
      <c r="F11" s="3184">
        <v>375</v>
      </c>
      <c r="G11" s="3185">
        <v>45718</v>
      </c>
      <c r="H11" s="3184">
        <v>333</v>
      </c>
      <c r="I11" s="3184">
        <v>36433</v>
      </c>
    </row>
    <row r="12" spans="1:9">
      <c r="A12" s="3185">
        <v>45751</v>
      </c>
      <c r="B12" s="3184" t="s">
        <v>3507</v>
      </c>
      <c r="C12" s="3184">
        <v>69</v>
      </c>
      <c r="D12" s="3184" t="s">
        <v>3517</v>
      </c>
      <c r="E12" s="3184" t="s">
        <v>3509</v>
      </c>
      <c r="F12" s="3184">
        <v>285</v>
      </c>
      <c r="G12" s="3185">
        <v>45565</v>
      </c>
      <c r="H12" s="3184">
        <v>262</v>
      </c>
      <c r="I12" s="3184">
        <v>37741</v>
      </c>
    </row>
    <row r="13" spans="1:9">
      <c r="A13" s="3185">
        <v>45749</v>
      </c>
      <c r="B13" s="3184" t="s">
        <v>3507</v>
      </c>
      <c r="C13" s="3184">
        <v>69</v>
      </c>
      <c r="D13" s="3184" t="s">
        <v>3512</v>
      </c>
      <c r="E13" s="3184" t="s">
        <v>3509</v>
      </c>
      <c r="F13" s="3184">
        <v>309</v>
      </c>
      <c r="G13" s="3185">
        <v>45575</v>
      </c>
      <c r="H13" s="3184">
        <v>298</v>
      </c>
      <c r="I13" s="3184">
        <v>42927</v>
      </c>
    </row>
    <row r="14" spans="1:9">
      <c r="A14" s="3185">
        <v>45744</v>
      </c>
      <c r="B14" s="3184" t="s">
        <v>3507</v>
      </c>
      <c r="C14" s="3184">
        <v>78</v>
      </c>
      <c r="D14" s="3184" t="s">
        <v>3518</v>
      </c>
      <c r="E14" s="3184" t="s">
        <v>3509</v>
      </c>
      <c r="F14" s="3184">
        <v>265</v>
      </c>
      <c r="G14" s="3185">
        <v>45612</v>
      </c>
      <c r="H14" s="3184">
        <v>213</v>
      </c>
      <c r="I14" s="3184">
        <v>27255</v>
      </c>
    </row>
    <row r="15" spans="1:9">
      <c r="A15" s="3185">
        <v>45739</v>
      </c>
      <c r="B15" s="3184" t="s">
        <v>3507</v>
      </c>
      <c r="C15" s="3184">
        <v>76</v>
      </c>
      <c r="D15" s="3184" t="s">
        <v>3517</v>
      </c>
      <c r="E15" s="3184" t="s">
        <v>3509</v>
      </c>
      <c r="F15" s="3184">
        <v>285</v>
      </c>
      <c r="G15" s="3185">
        <v>45657</v>
      </c>
      <c r="H15" s="3184">
        <v>253</v>
      </c>
      <c r="I15" s="3184">
        <v>33002</v>
      </c>
    </row>
    <row r="16" spans="1:9">
      <c r="A16" s="3185">
        <v>45736</v>
      </c>
      <c r="B16" s="3184" t="s">
        <v>3514</v>
      </c>
      <c r="C16" s="3184">
        <v>57</v>
      </c>
      <c r="D16" s="3184" t="s">
        <v>3515</v>
      </c>
      <c r="E16" s="3184" t="s">
        <v>3519</v>
      </c>
      <c r="F16" s="3184">
        <v>199</v>
      </c>
      <c r="G16" s="3185">
        <v>45710</v>
      </c>
      <c r="H16" s="3184">
        <v>173</v>
      </c>
      <c r="I16" s="3184">
        <v>30160</v>
      </c>
    </row>
    <row r="17" spans="1:9">
      <c r="A17" s="3185">
        <v>45729</v>
      </c>
      <c r="B17" s="3184" t="s">
        <v>3504</v>
      </c>
      <c r="C17" s="3184">
        <v>53</v>
      </c>
      <c r="E17" s="3184" t="s">
        <v>3505</v>
      </c>
      <c r="F17" s="3184">
        <v>0</v>
      </c>
      <c r="G17" s="3184" t="s">
        <v>3506</v>
      </c>
      <c r="H17" s="3184">
        <v>201</v>
      </c>
      <c r="I17" s="3184">
        <v>37305</v>
      </c>
    </row>
    <row r="18" spans="1:9">
      <c r="A18" s="3185">
        <v>45726</v>
      </c>
      <c r="B18" s="3184" t="s">
        <v>3514</v>
      </c>
      <c r="C18" s="3184">
        <v>50</v>
      </c>
      <c r="D18" s="3184" t="s">
        <v>3515</v>
      </c>
      <c r="E18" s="3184" t="s">
        <v>3511</v>
      </c>
      <c r="F18" s="3184">
        <v>185</v>
      </c>
      <c r="G18" s="3185">
        <v>45527</v>
      </c>
      <c r="H18" s="3184">
        <v>175</v>
      </c>
      <c r="I18" s="3184">
        <v>34770</v>
      </c>
    </row>
    <row r="19" spans="1:9">
      <c r="A19" s="3185">
        <v>45704</v>
      </c>
      <c r="B19" s="3184" t="s">
        <v>3510</v>
      </c>
      <c r="C19" s="3184">
        <v>56</v>
      </c>
      <c r="E19" s="3184" t="s">
        <v>3511</v>
      </c>
      <c r="F19" s="3184">
        <v>0</v>
      </c>
      <c r="G19" s="3184" t="s">
        <v>3506</v>
      </c>
      <c r="H19" s="3184">
        <v>241</v>
      </c>
      <c r="I19" s="3184">
        <v>42783</v>
      </c>
    </row>
    <row r="20" spans="1:9">
      <c r="A20" s="3185">
        <v>45672</v>
      </c>
      <c r="B20" s="3184" t="s">
        <v>3507</v>
      </c>
      <c r="C20" s="3184">
        <v>84</v>
      </c>
      <c r="D20" s="3184" t="s">
        <v>3513</v>
      </c>
      <c r="E20" s="3184" t="s">
        <v>3520</v>
      </c>
      <c r="F20" s="3184">
        <v>379</v>
      </c>
      <c r="G20" s="3185">
        <v>45546</v>
      </c>
      <c r="H20" s="3184">
        <v>365</v>
      </c>
      <c r="I20" s="3184">
        <v>43302</v>
      </c>
    </row>
    <row r="21" spans="1:9">
      <c r="A21" s="3185">
        <v>45668</v>
      </c>
      <c r="B21" s="3184" t="s">
        <v>3504</v>
      </c>
      <c r="C21" s="3184">
        <v>69</v>
      </c>
      <c r="E21" s="3184" t="s">
        <v>3505</v>
      </c>
      <c r="F21" s="3184">
        <v>0</v>
      </c>
      <c r="G21" s="3184" t="s">
        <v>3506</v>
      </c>
      <c r="H21" s="3184">
        <v>295</v>
      </c>
      <c r="I21" s="3184">
        <v>42494</v>
      </c>
    </row>
    <row r="22" spans="1:9">
      <c r="A22" s="3185">
        <v>45655</v>
      </c>
      <c r="B22" s="3184" t="s">
        <v>3514</v>
      </c>
      <c r="C22" s="3184">
        <v>55</v>
      </c>
      <c r="D22" s="3184" t="s">
        <v>3518</v>
      </c>
      <c r="E22" s="3184" t="s">
        <v>3519</v>
      </c>
      <c r="F22" s="3184">
        <v>180</v>
      </c>
      <c r="G22" s="3185">
        <v>45451</v>
      </c>
      <c r="H22" s="3184">
        <v>170</v>
      </c>
      <c r="I22" s="3184">
        <v>30625</v>
      </c>
    </row>
    <row r="23" spans="1:9">
      <c r="A23" s="3185">
        <v>45643</v>
      </c>
      <c r="B23" s="3184" t="s">
        <v>3507</v>
      </c>
      <c r="C23" s="3184">
        <v>55</v>
      </c>
      <c r="D23" s="3184" t="s">
        <v>3521</v>
      </c>
      <c r="E23" s="3184" t="s">
        <v>3509</v>
      </c>
      <c r="F23" s="3184">
        <v>198</v>
      </c>
      <c r="G23" s="3185">
        <v>45637</v>
      </c>
      <c r="H23" s="3184">
        <v>182</v>
      </c>
      <c r="I23" s="3184">
        <v>32941</v>
      </c>
    </row>
    <row r="24" spans="1:9">
      <c r="A24" s="3185">
        <v>45641</v>
      </c>
      <c r="B24" s="3184" t="s">
        <v>3514</v>
      </c>
      <c r="C24" s="3184">
        <v>59</v>
      </c>
      <c r="D24" s="3184" t="s">
        <v>3518</v>
      </c>
      <c r="E24" s="3184" t="s">
        <v>3509</v>
      </c>
      <c r="F24" s="3184">
        <v>243</v>
      </c>
      <c r="G24" s="3185">
        <v>45601</v>
      </c>
      <c r="H24" s="3184">
        <v>191</v>
      </c>
      <c r="I24" s="3184">
        <v>32318</v>
      </c>
    </row>
    <row r="25" spans="1:9">
      <c r="A25" s="3185">
        <v>45634</v>
      </c>
      <c r="B25" s="3184" t="s">
        <v>3507</v>
      </c>
      <c r="C25" s="3184">
        <v>78</v>
      </c>
      <c r="D25" s="3184" t="s">
        <v>3513</v>
      </c>
      <c r="E25" s="3184" t="s">
        <v>3509</v>
      </c>
      <c r="F25" s="3184">
        <v>309</v>
      </c>
      <c r="G25" s="3185">
        <v>45617</v>
      </c>
      <c r="H25" s="3184">
        <v>285</v>
      </c>
      <c r="I25" s="3184">
        <v>36468</v>
      </c>
    </row>
    <row r="26" spans="1:9">
      <c r="A26" s="3185">
        <v>45633</v>
      </c>
      <c r="B26" s="3184" t="s">
        <v>3514</v>
      </c>
      <c r="C26" s="3184">
        <v>37</v>
      </c>
      <c r="D26" s="3184" t="s">
        <v>3513</v>
      </c>
      <c r="E26" s="3184" t="s">
        <v>3522</v>
      </c>
      <c r="F26" s="3184">
        <v>165</v>
      </c>
      <c r="G26" s="3185">
        <v>45359</v>
      </c>
      <c r="H26" s="3184">
        <v>140</v>
      </c>
      <c r="I26" s="3184">
        <v>37776</v>
      </c>
    </row>
    <row r="27" spans="1:9">
      <c r="A27" s="3185">
        <v>45626</v>
      </c>
      <c r="B27" s="3184" t="s">
        <v>3507</v>
      </c>
      <c r="C27" s="3184">
        <v>54</v>
      </c>
      <c r="D27" s="3184" t="s">
        <v>3513</v>
      </c>
      <c r="E27" s="3184" t="s">
        <v>3509</v>
      </c>
      <c r="F27" s="3184">
        <v>235</v>
      </c>
      <c r="G27" s="3185">
        <v>45617</v>
      </c>
      <c r="H27" s="3184">
        <v>220</v>
      </c>
      <c r="I27" s="3184">
        <v>40374</v>
      </c>
    </row>
    <row r="28" spans="1:9">
      <c r="A28" s="3185">
        <v>45624</v>
      </c>
      <c r="B28" s="3184" t="s">
        <v>3523</v>
      </c>
      <c r="C28" s="3184">
        <v>69</v>
      </c>
      <c r="E28" s="3184" t="s">
        <v>3505</v>
      </c>
      <c r="F28" s="3184">
        <v>0</v>
      </c>
      <c r="G28" s="3184" t="s">
        <v>3506</v>
      </c>
      <c r="H28" s="3184">
        <v>210</v>
      </c>
      <c r="I28" s="3184">
        <v>30276</v>
      </c>
    </row>
    <row r="29" spans="1:9">
      <c r="A29" s="3185">
        <v>45620</v>
      </c>
      <c r="B29" s="3184" t="s">
        <v>3507</v>
      </c>
      <c r="C29" s="3184">
        <v>70</v>
      </c>
      <c r="D29" s="3184" t="s">
        <v>3513</v>
      </c>
      <c r="E29" s="3184" t="s">
        <v>3519</v>
      </c>
      <c r="F29" s="3184">
        <v>279</v>
      </c>
      <c r="G29" s="3185">
        <v>45497</v>
      </c>
      <c r="H29" s="3184">
        <v>245</v>
      </c>
      <c r="I29" s="3184">
        <v>34820</v>
      </c>
    </row>
    <row r="30" spans="1:9">
      <c r="A30" s="3185">
        <v>45613</v>
      </c>
      <c r="B30" s="3184" t="s">
        <v>3507</v>
      </c>
      <c r="C30" s="3184">
        <v>69</v>
      </c>
      <c r="D30" s="3184" t="s">
        <v>3518</v>
      </c>
      <c r="E30" s="3184" t="s">
        <v>3509</v>
      </c>
      <c r="F30" s="3184">
        <v>252</v>
      </c>
      <c r="G30" s="3185">
        <v>45378</v>
      </c>
      <c r="H30" s="3184">
        <v>237</v>
      </c>
      <c r="I30" s="3184">
        <v>34194</v>
      </c>
    </row>
    <row r="31" spans="1:9">
      <c r="A31" s="3185">
        <v>45613</v>
      </c>
      <c r="B31" s="3184" t="s">
        <v>3504</v>
      </c>
      <c r="C31" s="3184">
        <v>69</v>
      </c>
      <c r="E31" s="3184" t="s">
        <v>3505</v>
      </c>
      <c r="F31" s="3184">
        <v>0</v>
      </c>
      <c r="G31" s="3184" t="s">
        <v>3506</v>
      </c>
      <c r="H31" s="3184">
        <v>260</v>
      </c>
      <c r="I31" s="3184">
        <v>37453</v>
      </c>
    </row>
    <row r="32" spans="1:9">
      <c r="A32" s="3185">
        <v>45604</v>
      </c>
      <c r="B32" s="3184" t="s">
        <v>3516</v>
      </c>
      <c r="C32" s="3184">
        <v>72</v>
      </c>
      <c r="D32" s="3184" t="s">
        <v>3513</v>
      </c>
      <c r="E32" s="3184" t="s">
        <v>3509</v>
      </c>
      <c r="F32" s="3184">
        <v>285</v>
      </c>
      <c r="G32" s="3185">
        <v>45547</v>
      </c>
      <c r="H32" s="3184">
        <v>265</v>
      </c>
      <c r="I32" s="3184">
        <v>36647</v>
      </c>
    </row>
    <row r="33" spans="1:9">
      <c r="A33" s="3185">
        <v>45599</v>
      </c>
      <c r="B33" s="3184" t="s">
        <v>3507</v>
      </c>
      <c r="C33" s="3184">
        <v>70</v>
      </c>
      <c r="D33" s="3184" t="s">
        <v>3524</v>
      </c>
      <c r="E33" s="3184" t="s">
        <v>3509</v>
      </c>
      <c r="F33" s="3184">
        <v>340</v>
      </c>
      <c r="G33" s="3185">
        <v>45537</v>
      </c>
      <c r="H33" s="3184">
        <v>325</v>
      </c>
      <c r="I33" s="3184">
        <v>46138</v>
      </c>
    </row>
    <row r="34" spans="1:9">
      <c r="A34" s="3185">
        <v>45587</v>
      </c>
      <c r="B34" s="3184" t="s">
        <v>3507</v>
      </c>
      <c r="C34" s="3184">
        <v>69</v>
      </c>
      <c r="D34" s="3184" t="s">
        <v>3517</v>
      </c>
      <c r="E34" s="3184" t="s">
        <v>3509</v>
      </c>
      <c r="F34" s="3184">
        <v>288</v>
      </c>
      <c r="G34" s="3185">
        <v>45466</v>
      </c>
      <c r="H34" s="3184">
        <v>252</v>
      </c>
      <c r="I34" s="3184">
        <v>36300</v>
      </c>
    </row>
    <row r="35" spans="1:9">
      <c r="A35" s="3185">
        <v>45573</v>
      </c>
      <c r="B35" s="3184" t="s">
        <v>3507</v>
      </c>
      <c r="C35" s="3184">
        <v>54</v>
      </c>
      <c r="D35" s="3184" t="s">
        <v>3521</v>
      </c>
      <c r="E35" s="3184" t="s">
        <v>3509</v>
      </c>
      <c r="F35" s="3184">
        <v>220</v>
      </c>
      <c r="G35" s="3185">
        <v>45070</v>
      </c>
      <c r="H35" s="3184">
        <v>195</v>
      </c>
      <c r="I35" s="3184">
        <v>35852</v>
      </c>
    </row>
    <row r="36" spans="1:9">
      <c r="A36" s="3185">
        <v>45571</v>
      </c>
      <c r="B36" s="3184" t="s">
        <v>3507</v>
      </c>
      <c r="C36" s="3184">
        <v>71</v>
      </c>
      <c r="D36" s="3184" t="s">
        <v>3517</v>
      </c>
      <c r="E36" s="3184" t="s">
        <v>3509</v>
      </c>
      <c r="F36" s="3184">
        <v>285</v>
      </c>
      <c r="G36" s="3185">
        <v>45401</v>
      </c>
      <c r="H36" s="3184">
        <v>260</v>
      </c>
      <c r="I36" s="3184">
        <v>36191</v>
      </c>
    </row>
    <row r="37" spans="1:9">
      <c r="A37" s="3185">
        <v>45560</v>
      </c>
      <c r="B37" s="3184" t="s">
        <v>3507</v>
      </c>
      <c r="C37" s="3184">
        <v>57</v>
      </c>
      <c r="D37" s="3184" t="s">
        <v>3513</v>
      </c>
      <c r="E37" s="3184" t="s">
        <v>3509</v>
      </c>
      <c r="F37" s="3184">
        <v>248</v>
      </c>
      <c r="G37" s="3185">
        <v>45347</v>
      </c>
      <c r="H37" s="3184">
        <v>210</v>
      </c>
      <c r="I37" s="3184">
        <v>36566</v>
      </c>
    </row>
    <row r="38" spans="1:9">
      <c r="A38" s="3185">
        <v>45521</v>
      </c>
      <c r="B38" s="3184" t="s">
        <v>3507</v>
      </c>
      <c r="C38" s="3184">
        <v>54</v>
      </c>
      <c r="D38" s="3184" t="s">
        <v>3512</v>
      </c>
      <c r="E38" s="3184" t="s">
        <v>3509</v>
      </c>
      <c r="F38" s="3184">
        <v>229</v>
      </c>
      <c r="G38" s="3185">
        <v>45480</v>
      </c>
      <c r="H38" s="3184">
        <v>202</v>
      </c>
      <c r="I38" s="3184">
        <v>37372</v>
      </c>
    </row>
    <row r="39" spans="1:9">
      <c r="A39" s="3185">
        <v>45497</v>
      </c>
      <c r="B39" s="3184" t="s">
        <v>3507</v>
      </c>
      <c r="C39" s="3184">
        <v>91</v>
      </c>
      <c r="D39" s="3184" t="s">
        <v>3512</v>
      </c>
      <c r="E39" s="3184" t="s">
        <v>3525</v>
      </c>
      <c r="F39" s="3184">
        <v>449</v>
      </c>
      <c r="G39" s="3185">
        <v>45251</v>
      </c>
      <c r="H39" s="3184">
        <v>400</v>
      </c>
      <c r="I39" s="3184">
        <v>43687</v>
      </c>
    </row>
    <row r="40" spans="1:9">
      <c r="A40" s="3185">
        <v>45489</v>
      </c>
      <c r="B40" s="3184" t="s">
        <v>3526</v>
      </c>
      <c r="C40" s="3184">
        <v>94</v>
      </c>
      <c r="D40" s="3184" t="s">
        <v>3527</v>
      </c>
      <c r="E40" s="3184" t="s">
        <v>3509</v>
      </c>
      <c r="F40" s="3184">
        <v>196</v>
      </c>
      <c r="G40" s="3185">
        <v>45283</v>
      </c>
      <c r="H40" s="3184">
        <v>160</v>
      </c>
      <c r="I40" s="3184">
        <v>16866</v>
      </c>
    </row>
    <row r="41" spans="1:9">
      <c r="A41" s="3185">
        <v>45479</v>
      </c>
      <c r="B41" s="3184" t="s">
        <v>3507</v>
      </c>
      <c r="C41" s="3184">
        <v>55</v>
      </c>
      <c r="D41" s="3184" t="s">
        <v>3521</v>
      </c>
      <c r="E41" s="3184" t="s">
        <v>3509</v>
      </c>
      <c r="F41" s="3184">
        <v>209</v>
      </c>
      <c r="G41" s="3185">
        <v>45371</v>
      </c>
      <c r="H41" s="3184">
        <v>189</v>
      </c>
      <c r="I41" s="3184">
        <v>33877</v>
      </c>
    </row>
    <row r="42" spans="1:9">
      <c r="A42" s="3185">
        <v>45473</v>
      </c>
      <c r="B42" s="3184" t="s">
        <v>3510</v>
      </c>
      <c r="C42" s="3184">
        <v>58</v>
      </c>
      <c r="E42" s="3184" t="s">
        <v>3505</v>
      </c>
      <c r="F42" s="3184">
        <v>0</v>
      </c>
      <c r="G42" s="3184" t="s">
        <v>3506</v>
      </c>
      <c r="H42" s="3184">
        <v>192</v>
      </c>
      <c r="I42" s="3184">
        <v>32575</v>
      </c>
    </row>
    <row r="43" spans="1:9">
      <c r="A43" s="3185">
        <v>45467</v>
      </c>
      <c r="B43" s="3184" t="s">
        <v>3516</v>
      </c>
      <c r="C43" s="3184">
        <v>72</v>
      </c>
      <c r="D43" s="3184" t="s">
        <v>3513</v>
      </c>
      <c r="E43" s="3184" t="s">
        <v>3509</v>
      </c>
      <c r="F43" s="3184">
        <v>319</v>
      </c>
      <c r="G43" s="3185">
        <v>45280</v>
      </c>
      <c r="H43" s="3184">
        <v>258</v>
      </c>
      <c r="I43" s="3184">
        <v>35679</v>
      </c>
    </row>
    <row r="44" spans="1:9">
      <c r="A44" s="3185">
        <v>45456</v>
      </c>
      <c r="B44" s="3184" t="s">
        <v>3507</v>
      </c>
      <c r="C44" s="3184">
        <v>91</v>
      </c>
      <c r="D44" s="3184" t="s">
        <v>3518</v>
      </c>
      <c r="E44" s="3184" t="s">
        <v>3525</v>
      </c>
      <c r="F44" s="3184">
        <v>366</v>
      </c>
      <c r="G44" s="3185">
        <v>45296</v>
      </c>
      <c r="H44" s="3184">
        <v>330</v>
      </c>
      <c r="I44" s="3184">
        <v>36038</v>
      </c>
    </row>
    <row r="45" spans="1:9">
      <c r="A45" s="3185">
        <v>45445</v>
      </c>
      <c r="B45" s="3184" t="s">
        <v>3507</v>
      </c>
      <c r="C45" s="3184">
        <v>69</v>
      </c>
      <c r="D45" s="3184" t="s">
        <v>3512</v>
      </c>
      <c r="E45" s="3184" t="s">
        <v>3509</v>
      </c>
      <c r="F45" s="3184">
        <v>340</v>
      </c>
      <c r="G45" s="3185">
        <v>45341</v>
      </c>
      <c r="H45" s="3184">
        <v>315</v>
      </c>
      <c r="I45" s="3184">
        <v>45375</v>
      </c>
    </row>
    <row r="46" spans="1:9">
      <c r="A46" s="3185">
        <v>45445</v>
      </c>
      <c r="B46" s="3184" t="s">
        <v>3507</v>
      </c>
      <c r="C46" s="3184">
        <v>52</v>
      </c>
      <c r="D46" s="3184" t="s">
        <v>3528</v>
      </c>
      <c r="E46" s="3184" t="s">
        <v>3509</v>
      </c>
      <c r="F46" s="3184">
        <v>229</v>
      </c>
      <c r="G46" s="3185">
        <v>45254</v>
      </c>
      <c r="H46" s="3184">
        <v>200</v>
      </c>
      <c r="I46" s="3184">
        <v>38350</v>
      </c>
    </row>
    <row r="47" spans="1:9">
      <c r="A47" s="3185">
        <v>45440</v>
      </c>
      <c r="B47" s="3184" t="s">
        <v>3516</v>
      </c>
      <c r="C47" s="3184">
        <v>92</v>
      </c>
      <c r="D47" s="3184" t="s">
        <v>3515</v>
      </c>
      <c r="E47" s="3184" t="s">
        <v>3529</v>
      </c>
      <c r="F47" s="3184">
        <v>365</v>
      </c>
      <c r="G47" s="3185">
        <v>45287</v>
      </c>
      <c r="H47" s="3184">
        <v>329</v>
      </c>
      <c r="I47" s="3184">
        <v>35648</v>
      </c>
    </row>
    <row r="48" spans="1:9">
      <c r="A48" s="3185">
        <v>45419</v>
      </c>
      <c r="B48" s="3184" t="s">
        <v>3507</v>
      </c>
      <c r="C48" s="3184">
        <v>50</v>
      </c>
      <c r="D48" s="3184" t="s">
        <v>3508</v>
      </c>
      <c r="E48" s="3184" t="s">
        <v>3509</v>
      </c>
      <c r="F48" s="3184">
        <v>256</v>
      </c>
      <c r="G48" s="3185">
        <v>45364</v>
      </c>
      <c r="H48" s="3184">
        <v>218</v>
      </c>
      <c r="I48" s="3184">
        <v>43469</v>
      </c>
    </row>
    <row r="49" spans="1:9">
      <c r="A49" s="3185">
        <v>45410</v>
      </c>
      <c r="B49" s="3184" t="s">
        <v>3507</v>
      </c>
      <c r="C49" s="3184">
        <v>77</v>
      </c>
      <c r="D49" s="3184" t="s">
        <v>3530</v>
      </c>
      <c r="E49" s="3184" t="s">
        <v>3509</v>
      </c>
      <c r="F49" s="3184">
        <v>319</v>
      </c>
      <c r="G49" s="3185">
        <v>45392</v>
      </c>
      <c r="H49" s="3184">
        <v>306</v>
      </c>
      <c r="I49" s="3184">
        <v>39306</v>
      </c>
    </row>
    <row r="50" spans="1:9">
      <c r="A50" s="3185">
        <v>45400</v>
      </c>
      <c r="B50" s="3184" t="s">
        <v>3516</v>
      </c>
      <c r="C50" s="3184">
        <v>103</v>
      </c>
      <c r="D50" s="3184" t="s">
        <v>3518</v>
      </c>
      <c r="E50" s="3184" t="s">
        <v>3509</v>
      </c>
      <c r="F50" s="3184">
        <v>450</v>
      </c>
      <c r="G50" s="3184" t="s">
        <v>3531</v>
      </c>
      <c r="H50" s="3184">
        <v>370</v>
      </c>
      <c r="I50" s="3184">
        <v>35831</v>
      </c>
    </row>
    <row r="51" spans="1:9">
      <c r="A51" s="3185">
        <v>45384</v>
      </c>
      <c r="B51" s="3184" t="s">
        <v>3507</v>
      </c>
      <c r="C51" s="3184">
        <v>53</v>
      </c>
      <c r="D51" s="3184" t="s">
        <v>3508</v>
      </c>
      <c r="E51" s="3184" t="s">
        <v>3505</v>
      </c>
      <c r="F51" s="3184">
        <v>219</v>
      </c>
      <c r="G51" s="3185">
        <v>45377</v>
      </c>
      <c r="H51" s="3184">
        <v>195</v>
      </c>
      <c r="I51" s="3184">
        <v>36619</v>
      </c>
    </row>
    <row r="52" spans="1:9">
      <c r="A52" s="3185">
        <v>45380</v>
      </c>
      <c r="B52" s="3184" t="s">
        <v>3514</v>
      </c>
      <c r="C52" s="3184">
        <v>38</v>
      </c>
      <c r="D52" s="3184" t="s">
        <v>3508</v>
      </c>
      <c r="E52" s="3184" t="s">
        <v>3505</v>
      </c>
      <c r="F52" s="3184">
        <v>209</v>
      </c>
      <c r="G52" s="3185">
        <v>45303</v>
      </c>
      <c r="H52" s="3184">
        <v>175</v>
      </c>
      <c r="I52" s="3184">
        <v>45313</v>
      </c>
    </row>
    <row r="53" spans="1:9">
      <c r="A53" s="3185">
        <v>45375</v>
      </c>
      <c r="B53" s="3184" t="s">
        <v>3514</v>
      </c>
      <c r="C53" s="3184">
        <v>42</v>
      </c>
      <c r="D53" s="3184" t="s">
        <v>3512</v>
      </c>
      <c r="E53" s="3184" t="s">
        <v>3522</v>
      </c>
      <c r="F53" s="3184">
        <v>235</v>
      </c>
      <c r="G53" s="3185">
        <v>45183</v>
      </c>
      <c r="H53" s="3184">
        <v>191</v>
      </c>
      <c r="I53" s="3184">
        <v>45175</v>
      </c>
    </row>
    <row r="54" spans="1:9">
      <c r="A54" s="3185">
        <v>45374</v>
      </c>
      <c r="B54" s="3184" t="s">
        <v>3507</v>
      </c>
      <c r="C54" s="3184">
        <v>54</v>
      </c>
      <c r="D54" s="3184" t="s">
        <v>3508</v>
      </c>
      <c r="E54" s="3184" t="s">
        <v>3509</v>
      </c>
      <c r="F54" s="3184">
        <v>235</v>
      </c>
      <c r="G54" s="3185">
        <v>45166</v>
      </c>
      <c r="H54" s="3184">
        <v>217</v>
      </c>
      <c r="I54" s="3184">
        <v>40073</v>
      </c>
    </row>
    <row r="55" spans="1:9">
      <c r="A55" s="3185">
        <v>45364</v>
      </c>
      <c r="B55" s="3184" t="s">
        <v>3507</v>
      </c>
      <c r="C55" s="3184">
        <v>54</v>
      </c>
      <c r="D55" s="3184" t="s">
        <v>3513</v>
      </c>
      <c r="E55" s="3184" t="s">
        <v>3520</v>
      </c>
      <c r="F55" s="3184">
        <v>246</v>
      </c>
      <c r="G55" s="3185">
        <v>45173</v>
      </c>
      <c r="H55" s="3184">
        <v>215</v>
      </c>
      <c r="I55" s="3184">
        <v>39348</v>
      </c>
    </row>
    <row r="56" spans="1:9">
      <c r="A56" s="3185">
        <v>45362</v>
      </c>
      <c r="B56" s="3184" t="s">
        <v>3507</v>
      </c>
      <c r="C56" s="3184">
        <v>69</v>
      </c>
      <c r="D56" s="3184" t="s">
        <v>3513</v>
      </c>
      <c r="E56" s="3184" t="s">
        <v>3509</v>
      </c>
      <c r="F56" s="3184">
        <v>365</v>
      </c>
      <c r="G56" s="3185">
        <v>45188</v>
      </c>
      <c r="H56" s="3184">
        <v>322</v>
      </c>
      <c r="I56" s="3184">
        <v>46384</v>
      </c>
    </row>
    <row r="57" spans="1:9">
      <c r="A57" s="3185">
        <v>45361</v>
      </c>
      <c r="B57" s="3184" t="s">
        <v>3504</v>
      </c>
      <c r="C57" s="3184">
        <v>55</v>
      </c>
      <c r="D57" s="3184" t="s">
        <v>3532</v>
      </c>
      <c r="F57" s="3184">
        <v>0</v>
      </c>
      <c r="G57" s="3184" t="s">
        <v>3506</v>
      </c>
      <c r="H57" s="3184">
        <v>226</v>
      </c>
      <c r="I57" s="3184">
        <v>40860</v>
      </c>
    </row>
    <row r="58" spans="1:9">
      <c r="A58" s="3185">
        <v>45286</v>
      </c>
      <c r="B58" s="3184" t="s">
        <v>3507</v>
      </c>
      <c r="C58" s="3184">
        <v>54</v>
      </c>
      <c r="D58" s="3184" t="s">
        <v>3508</v>
      </c>
      <c r="E58" s="3184" t="s">
        <v>3533</v>
      </c>
      <c r="F58" s="3184">
        <v>248</v>
      </c>
      <c r="G58" s="3185">
        <v>45173</v>
      </c>
      <c r="H58" s="3184">
        <v>248</v>
      </c>
      <c r="I58" s="3184">
        <v>45596</v>
      </c>
    </row>
    <row r="59" spans="1:9">
      <c r="A59" s="3185">
        <v>45263</v>
      </c>
      <c r="B59" s="3184" t="s">
        <v>3534</v>
      </c>
      <c r="C59" s="3184">
        <v>43</v>
      </c>
      <c r="D59" s="3184" t="s">
        <v>3513</v>
      </c>
      <c r="E59" s="3184" t="s">
        <v>3522</v>
      </c>
      <c r="F59" s="3184">
        <v>198</v>
      </c>
      <c r="G59" s="3185">
        <v>45211</v>
      </c>
      <c r="H59" s="3184">
        <v>162</v>
      </c>
      <c r="I59" s="3184">
        <v>37674</v>
      </c>
    </row>
    <row r="60" spans="1:9">
      <c r="A60" s="3185">
        <v>45246</v>
      </c>
      <c r="B60" s="3184" t="s">
        <v>3504</v>
      </c>
      <c r="C60" s="3184">
        <v>69</v>
      </c>
      <c r="D60" s="3184" t="s">
        <v>3535</v>
      </c>
      <c r="F60" s="3184">
        <v>0</v>
      </c>
      <c r="G60" s="3184" t="s">
        <v>3506</v>
      </c>
      <c r="H60" s="3184">
        <v>337</v>
      </c>
      <c r="I60" s="3184">
        <v>48545</v>
      </c>
    </row>
    <row r="61" spans="1:9">
      <c r="A61" s="3185">
        <v>45244</v>
      </c>
      <c r="B61" s="3184" t="s">
        <v>3514</v>
      </c>
      <c r="C61" s="3184">
        <v>59</v>
      </c>
      <c r="D61" s="3184" t="s">
        <v>3536</v>
      </c>
      <c r="E61" s="3184" t="s">
        <v>3509</v>
      </c>
      <c r="F61" s="3184">
        <v>285</v>
      </c>
      <c r="G61" s="3185">
        <v>45158</v>
      </c>
      <c r="H61" s="3184">
        <v>248</v>
      </c>
      <c r="I61" s="3184">
        <v>41673</v>
      </c>
    </row>
    <row r="62" spans="1:9">
      <c r="A62" s="3185">
        <v>45201</v>
      </c>
      <c r="B62" s="3184" t="s">
        <v>3516</v>
      </c>
      <c r="C62" s="3184">
        <v>82</v>
      </c>
      <c r="D62" s="3184" t="s">
        <v>3508</v>
      </c>
      <c r="E62" s="3184" t="s">
        <v>3509</v>
      </c>
      <c r="F62" s="3184">
        <v>405</v>
      </c>
      <c r="G62" s="3185">
        <v>45053</v>
      </c>
      <c r="H62" s="3184">
        <v>390</v>
      </c>
      <c r="I62" s="3184">
        <v>47543</v>
      </c>
    </row>
    <row r="63" spans="1:9">
      <c r="A63" s="3185">
        <v>45188</v>
      </c>
      <c r="B63" s="3184" t="s">
        <v>3516</v>
      </c>
      <c r="C63" s="3184">
        <v>103</v>
      </c>
      <c r="D63" s="3184" t="s">
        <v>3518</v>
      </c>
      <c r="E63" s="3184" t="s">
        <v>3509</v>
      </c>
      <c r="F63" s="3184">
        <v>440</v>
      </c>
      <c r="G63" s="3185">
        <v>45176</v>
      </c>
      <c r="H63" s="3184">
        <v>419</v>
      </c>
      <c r="I63" s="3184">
        <v>40577</v>
      </c>
    </row>
    <row r="64" spans="1:9">
      <c r="A64" s="3185">
        <v>45162</v>
      </c>
      <c r="B64" s="3184" t="s">
        <v>3507</v>
      </c>
      <c r="C64" s="3184">
        <v>56</v>
      </c>
      <c r="D64" s="3184" t="s">
        <v>3518</v>
      </c>
      <c r="E64" s="3184" t="s">
        <v>3511</v>
      </c>
      <c r="F64" s="3184">
        <v>273</v>
      </c>
      <c r="G64" s="3185">
        <v>44997</v>
      </c>
      <c r="H64" s="3184">
        <v>253</v>
      </c>
      <c r="I64" s="3184">
        <v>44472</v>
      </c>
    </row>
    <row r="65" spans="1:9">
      <c r="A65" s="3185">
        <v>45162</v>
      </c>
      <c r="B65" s="3184" t="s">
        <v>3507</v>
      </c>
      <c r="C65" s="3184">
        <v>53</v>
      </c>
      <c r="D65" s="3184" t="s">
        <v>3528</v>
      </c>
      <c r="E65" s="3184" t="s">
        <v>3509</v>
      </c>
      <c r="F65" s="3184">
        <v>287</v>
      </c>
      <c r="G65" s="3185">
        <v>45146</v>
      </c>
      <c r="H65" s="3184">
        <v>275</v>
      </c>
      <c r="I65" s="3184">
        <v>51373</v>
      </c>
    </row>
    <row r="66" spans="1:9">
      <c r="A66" s="3185">
        <v>45109</v>
      </c>
      <c r="B66" s="3184" t="s">
        <v>3537</v>
      </c>
      <c r="C66" s="3184">
        <v>38</v>
      </c>
      <c r="D66" s="3184" t="s">
        <v>3535</v>
      </c>
      <c r="E66" s="3184" t="s">
        <v>3522</v>
      </c>
      <c r="F66" s="3184">
        <v>0</v>
      </c>
      <c r="G66" s="3184" t="s">
        <v>3506</v>
      </c>
      <c r="H66" s="3184">
        <v>190</v>
      </c>
      <c r="I66" s="3184">
        <v>49660</v>
      </c>
    </row>
    <row r="67" spans="1:9">
      <c r="A67" s="3185">
        <v>45072</v>
      </c>
      <c r="B67" s="3184" t="s">
        <v>3507</v>
      </c>
      <c r="C67" s="3184">
        <v>53</v>
      </c>
      <c r="D67" s="3184" t="s">
        <v>3508</v>
      </c>
      <c r="E67" s="3184" t="s">
        <v>3509</v>
      </c>
      <c r="F67" s="3184">
        <v>298</v>
      </c>
      <c r="G67" s="3185">
        <v>45070</v>
      </c>
      <c r="H67" s="3184">
        <v>285</v>
      </c>
      <c r="I67" s="3184">
        <v>53541</v>
      </c>
    </row>
    <row r="68" spans="1:9">
      <c r="A68" s="3185">
        <v>45059</v>
      </c>
      <c r="B68" s="3184" t="s">
        <v>3507</v>
      </c>
      <c r="C68" s="3184">
        <v>97</v>
      </c>
      <c r="D68" s="3184" t="s">
        <v>3513</v>
      </c>
      <c r="E68" s="3184" t="s">
        <v>3520</v>
      </c>
      <c r="F68" s="3184">
        <v>549</v>
      </c>
      <c r="G68" s="3185">
        <v>44983</v>
      </c>
      <c r="H68" s="3184">
        <v>536</v>
      </c>
      <c r="I68" s="3184">
        <v>55025</v>
      </c>
    </row>
    <row r="69" spans="1:9">
      <c r="A69" s="3185">
        <v>45058</v>
      </c>
      <c r="B69" s="3184" t="s">
        <v>3504</v>
      </c>
      <c r="C69" s="3184">
        <v>47</v>
      </c>
      <c r="D69" s="3184" t="s">
        <v>3538</v>
      </c>
      <c r="E69" s="3184" t="s">
        <v>3539</v>
      </c>
      <c r="F69" s="3184">
        <v>0</v>
      </c>
      <c r="G69" s="3184" t="s">
        <v>3506</v>
      </c>
      <c r="H69" s="3184">
        <v>224</v>
      </c>
      <c r="I69" s="3184">
        <v>47267</v>
      </c>
    </row>
    <row r="70" spans="1:9">
      <c r="A70" s="3185">
        <v>45056</v>
      </c>
      <c r="B70" s="3184" t="s">
        <v>3507</v>
      </c>
      <c r="C70" s="3184">
        <v>91</v>
      </c>
      <c r="D70" s="3184" t="s">
        <v>3517</v>
      </c>
      <c r="E70" s="3184" t="s">
        <v>3525</v>
      </c>
      <c r="F70" s="3184">
        <v>480</v>
      </c>
      <c r="G70" s="3185">
        <v>44976</v>
      </c>
      <c r="H70" s="3184">
        <v>468</v>
      </c>
      <c r="I70" s="3184">
        <v>51108</v>
      </c>
    </row>
    <row r="71" spans="1:9">
      <c r="A71" s="3185">
        <v>45053</v>
      </c>
      <c r="B71" s="3184" t="s">
        <v>3507</v>
      </c>
      <c r="C71" s="3184">
        <v>69</v>
      </c>
      <c r="D71" s="3184" t="s">
        <v>3513</v>
      </c>
      <c r="E71" s="3184" t="s">
        <v>3509</v>
      </c>
      <c r="F71" s="3184">
        <v>395</v>
      </c>
      <c r="G71" s="3185">
        <v>45042</v>
      </c>
      <c r="H71" s="3184">
        <v>390</v>
      </c>
      <c r="I71" s="3184">
        <v>56180</v>
      </c>
    </row>
    <row r="72" spans="1:9">
      <c r="A72" s="3185">
        <v>45032</v>
      </c>
      <c r="B72" s="3184" t="s">
        <v>3540</v>
      </c>
      <c r="C72" s="3184">
        <v>132</v>
      </c>
      <c r="D72" s="3184" t="s">
        <v>3517</v>
      </c>
      <c r="E72" s="3184" t="s">
        <v>3525</v>
      </c>
      <c r="F72" s="3184">
        <v>562</v>
      </c>
      <c r="G72" s="3184" t="s">
        <v>3531</v>
      </c>
      <c r="H72" s="3184">
        <v>546</v>
      </c>
      <c r="I72" s="3184">
        <v>41229</v>
      </c>
    </row>
    <row r="73" spans="1:9">
      <c r="A73" s="3185">
        <v>45031</v>
      </c>
      <c r="B73" s="3184" t="s">
        <v>3541</v>
      </c>
      <c r="C73" s="3184">
        <v>49</v>
      </c>
      <c r="D73" s="3184" t="s">
        <v>3518</v>
      </c>
      <c r="E73" s="3184" t="s">
        <v>3509</v>
      </c>
      <c r="F73" s="3184">
        <v>310</v>
      </c>
      <c r="G73" s="3185">
        <v>44978</v>
      </c>
      <c r="H73" s="3184">
        <v>304</v>
      </c>
      <c r="I73" s="3184">
        <v>61676</v>
      </c>
    </row>
    <row r="74" spans="1:9">
      <c r="A74" s="3185">
        <v>45012</v>
      </c>
      <c r="B74" s="3184" t="s">
        <v>3507</v>
      </c>
      <c r="C74" s="3184">
        <v>69</v>
      </c>
      <c r="D74" s="3184" t="s">
        <v>3512</v>
      </c>
      <c r="E74" s="3184" t="s">
        <v>3509</v>
      </c>
      <c r="F74" s="3184">
        <v>383</v>
      </c>
      <c r="G74" s="3185">
        <v>45008</v>
      </c>
      <c r="H74" s="3184">
        <v>377</v>
      </c>
      <c r="I74" s="3184">
        <v>54235</v>
      </c>
    </row>
    <row r="75" spans="1:9">
      <c r="A75" s="3185">
        <v>45005</v>
      </c>
      <c r="B75" s="3184" t="s">
        <v>3514</v>
      </c>
      <c r="C75" s="3184">
        <v>42</v>
      </c>
      <c r="D75" s="3184" t="s">
        <v>3512</v>
      </c>
      <c r="E75" s="3184" t="s">
        <v>3505</v>
      </c>
      <c r="F75" s="3184">
        <v>246</v>
      </c>
      <c r="G75" s="3185">
        <v>44979</v>
      </c>
      <c r="H75" s="3184">
        <v>237</v>
      </c>
      <c r="I75" s="3184">
        <v>55923</v>
      </c>
    </row>
    <row r="76" spans="1:9">
      <c r="A76" s="3185">
        <v>45004</v>
      </c>
      <c r="B76" s="3184" t="s">
        <v>3507</v>
      </c>
      <c r="C76" s="3184">
        <v>65</v>
      </c>
      <c r="D76" s="3184" t="s">
        <v>3518</v>
      </c>
      <c r="E76" s="3184" t="s">
        <v>3509</v>
      </c>
      <c r="F76" s="3184">
        <v>368</v>
      </c>
      <c r="G76" s="3185">
        <v>44955</v>
      </c>
      <c r="H76" s="3184">
        <v>355</v>
      </c>
      <c r="I76" s="3184">
        <v>54248</v>
      </c>
    </row>
    <row r="77" spans="1:9">
      <c r="A77" s="3185">
        <v>44991</v>
      </c>
      <c r="B77" s="3184" t="s">
        <v>3507</v>
      </c>
      <c r="C77" s="3184">
        <v>55</v>
      </c>
      <c r="D77" s="3184" t="s">
        <v>3513</v>
      </c>
      <c r="E77" s="3184" t="s">
        <v>3509</v>
      </c>
      <c r="F77" s="3184">
        <v>320</v>
      </c>
      <c r="G77" s="3185">
        <v>44980</v>
      </c>
      <c r="H77" s="3184">
        <v>315</v>
      </c>
      <c r="I77" s="3184">
        <v>56962</v>
      </c>
    </row>
    <row r="78" spans="1:9">
      <c r="A78" s="3185">
        <v>44983</v>
      </c>
      <c r="B78" s="3184" t="s">
        <v>3542</v>
      </c>
      <c r="C78" s="3184">
        <v>70</v>
      </c>
      <c r="D78" s="3184" t="s">
        <v>3515</v>
      </c>
      <c r="E78" s="3184" t="s">
        <v>3509</v>
      </c>
      <c r="F78" s="3184">
        <v>377</v>
      </c>
      <c r="G78" s="3185">
        <v>44980</v>
      </c>
      <c r="H78" s="3184">
        <v>369</v>
      </c>
      <c r="I78" s="3184">
        <v>52445</v>
      </c>
    </row>
    <row r="79" spans="1:9">
      <c r="A79" s="3185">
        <v>44979</v>
      </c>
      <c r="B79" s="3184" t="s">
        <v>3507</v>
      </c>
      <c r="C79" s="3184">
        <v>57</v>
      </c>
      <c r="D79" s="3184" t="s">
        <v>3513</v>
      </c>
      <c r="E79" s="3184" t="s">
        <v>3509</v>
      </c>
      <c r="F79" s="3184">
        <v>302</v>
      </c>
      <c r="G79" s="3185">
        <v>44935</v>
      </c>
      <c r="H79" s="3184">
        <v>296</v>
      </c>
      <c r="I79" s="3184">
        <v>51541</v>
      </c>
    </row>
    <row r="80" spans="1:9">
      <c r="A80" s="3185">
        <v>44975</v>
      </c>
      <c r="B80" s="3184" t="s">
        <v>3507</v>
      </c>
      <c r="C80" s="3184">
        <v>72</v>
      </c>
      <c r="D80" s="3184" t="s">
        <v>3513</v>
      </c>
      <c r="E80" s="3184" t="s">
        <v>3509</v>
      </c>
      <c r="F80" s="3184">
        <v>358</v>
      </c>
      <c r="G80" s="3185">
        <v>44917</v>
      </c>
      <c r="H80" s="3184">
        <v>352</v>
      </c>
      <c r="I80" s="3184">
        <v>48679</v>
      </c>
    </row>
    <row r="81" spans="1:9">
      <c r="A81" s="3185">
        <v>44966</v>
      </c>
      <c r="B81" s="3184" t="s">
        <v>3507</v>
      </c>
      <c r="C81" s="3184">
        <v>70</v>
      </c>
      <c r="D81" s="3184" t="s">
        <v>3508</v>
      </c>
      <c r="E81" s="3184" t="s">
        <v>3519</v>
      </c>
      <c r="F81" s="3184">
        <v>339</v>
      </c>
      <c r="G81" s="3185">
        <v>44829</v>
      </c>
      <c r="H81" s="3184">
        <v>322</v>
      </c>
      <c r="I81" s="3184">
        <v>45765</v>
      </c>
    </row>
    <row r="82" spans="1:9">
      <c r="A82" s="3185">
        <v>44964</v>
      </c>
      <c r="B82" s="3184" t="s">
        <v>3507</v>
      </c>
      <c r="C82" s="3184">
        <v>70</v>
      </c>
      <c r="D82" s="3184" t="s">
        <v>3515</v>
      </c>
      <c r="E82" s="3184" t="s">
        <v>3519</v>
      </c>
      <c r="F82" s="3184">
        <v>335</v>
      </c>
      <c r="G82" s="3185">
        <v>44956</v>
      </c>
      <c r="H82" s="3184">
        <v>328</v>
      </c>
      <c r="I82" s="3184">
        <v>46844</v>
      </c>
    </row>
    <row r="83" spans="1:9">
      <c r="A83" s="3185">
        <v>44877</v>
      </c>
      <c r="B83" s="3184" t="s">
        <v>3507</v>
      </c>
      <c r="C83" s="3184">
        <v>65</v>
      </c>
      <c r="D83" s="3184" t="s">
        <v>3518</v>
      </c>
      <c r="E83" s="3184" t="s">
        <v>3509</v>
      </c>
      <c r="F83" s="3184">
        <v>360</v>
      </c>
      <c r="G83" s="3185">
        <v>44867</v>
      </c>
      <c r="H83" s="3184">
        <v>348</v>
      </c>
      <c r="I83" s="3184">
        <v>53178</v>
      </c>
    </row>
    <row r="84" spans="1:9">
      <c r="A84" s="3185">
        <v>44873</v>
      </c>
      <c r="B84" s="3184" t="s">
        <v>3504</v>
      </c>
      <c r="C84" s="3184">
        <v>49</v>
      </c>
      <c r="D84" s="3184" t="s">
        <v>3532</v>
      </c>
      <c r="E84" s="3184" t="s">
        <v>3469</v>
      </c>
      <c r="F84" s="3184">
        <v>0</v>
      </c>
      <c r="G84" s="3184" t="s">
        <v>3506</v>
      </c>
      <c r="H84" s="3184">
        <v>283</v>
      </c>
      <c r="I84" s="3184">
        <v>56782</v>
      </c>
    </row>
    <row r="85" spans="1:9">
      <c r="A85" s="3185">
        <v>44864</v>
      </c>
      <c r="B85" s="3184" t="s">
        <v>3514</v>
      </c>
      <c r="C85" s="3184">
        <v>58</v>
      </c>
      <c r="D85" s="3184" t="s">
        <v>3512</v>
      </c>
      <c r="E85" s="3184" t="s">
        <v>3509</v>
      </c>
      <c r="F85" s="3184">
        <v>322</v>
      </c>
      <c r="G85" s="3185">
        <v>44798</v>
      </c>
      <c r="H85" s="3184">
        <v>313</v>
      </c>
      <c r="I85" s="3184">
        <v>53386</v>
      </c>
    </row>
    <row r="86" spans="1:9">
      <c r="A86" s="3185">
        <v>44862</v>
      </c>
      <c r="B86" s="3184" t="s">
        <v>3504</v>
      </c>
      <c r="C86" s="3184">
        <v>49</v>
      </c>
      <c r="D86" s="3184" t="s">
        <v>3532</v>
      </c>
      <c r="E86" s="3184" t="s">
        <v>3469</v>
      </c>
      <c r="F86" s="3184">
        <v>0</v>
      </c>
      <c r="G86" s="3184" t="s">
        <v>3506</v>
      </c>
      <c r="H86" s="3184">
        <v>280</v>
      </c>
      <c r="I86" s="3184">
        <v>56180</v>
      </c>
    </row>
    <row r="87" spans="1:9">
      <c r="A87" s="3185">
        <v>44853</v>
      </c>
      <c r="B87" s="3184" t="s">
        <v>3504</v>
      </c>
      <c r="C87" s="3184">
        <v>61</v>
      </c>
      <c r="D87" s="3184" t="s">
        <v>3543</v>
      </c>
      <c r="E87" s="3184" t="s">
        <v>3469</v>
      </c>
      <c r="F87" s="3184">
        <v>0</v>
      </c>
      <c r="G87" s="3184" t="s">
        <v>3506</v>
      </c>
      <c r="H87" s="3184">
        <v>297</v>
      </c>
      <c r="I87" s="3184">
        <v>48004</v>
      </c>
    </row>
    <row r="88" spans="1:9">
      <c r="A88" s="3185">
        <v>44825</v>
      </c>
      <c r="B88" s="3184" t="s">
        <v>3507</v>
      </c>
      <c r="C88" s="3184">
        <v>85</v>
      </c>
      <c r="D88" s="3184" t="s">
        <v>3517</v>
      </c>
      <c r="E88" s="3184" t="s">
        <v>3525</v>
      </c>
      <c r="F88" s="3184">
        <v>495</v>
      </c>
      <c r="G88" s="3185">
        <v>44780</v>
      </c>
      <c r="H88" s="3184">
        <v>459</v>
      </c>
      <c r="I88" s="3184">
        <v>54000</v>
      </c>
    </row>
    <row r="89" spans="1:9">
      <c r="A89" s="3185">
        <v>44825</v>
      </c>
      <c r="B89" s="3184" t="s">
        <v>3507</v>
      </c>
      <c r="C89" s="3184">
        <v>42</v>
      </c>
      <c r="D89" s="3184" t="s">
        <v>3517</v>
      </c>
      <c r="E89" s="3184" t="s">
        <v>3505</v>
      </c>
      <c r="F89" s="3184">
        <v>80</v>
      </c>
      <c r="G89" s="3185">
        <v>44825</v>
      </c>
      <c r="H89" s="3184">
        <v>75</v>
      </c>
      <c r="I89" s="3184">
        <v>17697</v>
      </c>
    </row>
    <row r="90" spans="1:9">
      <c r="A90" s="3185">
        <v>44823</v>
      </c>
      <c r="B90" s="3184" t="s">
        <v>3507</v>
      </c>
      <c r="C90" s="3184">
        <v>69</v>
      </c>
      <c r="D90" s="3184" t="s">
        <v>3513</v>
      </c>
      <c r="E90" s="3184" t="s">
        <v>3509</v>
      </c>
      <c r="F90" s="3184">
        <v>380</v>
      </c>
      <c r="G90" s="3185">
        <v>44765</v>
      </c>
      <c r="H90" s="3184">
        <v>370</v>
      </c>
      <c r="I90" s="3184">
        <v>53299</v>
      </c>
    </row>
    <row r="91" spans="1:9">
      <c r="A91" s="3185">
        <v>44821</v>
      </c>
      <c r="B91" s="3184" t="s">
        <v>3507</v>
      </c>
      <c r="C91" s="3184">
        <v>54</v>
      </c>
      <c r="D91" s="3184" t="s">
        <v>3518</v>
      </c>
      <c r="E91" s="3184" t="s">
        <v>3509</v>
      </c>
      <c r="F91" s="3184">
        <v>279</v>
      </c>
      <c r="G91" s="3185">
        <v>44793</v>
      </c>
      <c r="H91" s="3184">
        <v>273</v>
      </c>
      <c r="I91" s="3184">
        <v>50193</v>
      </c>
    </row>
    <row r="92" spans="1:9">
      <c r="A92" s="3185">
        <v>44818</v>
      </c>
      <c r="B92" s="3184" t="s">
        <v>3507</v>
      </c>
      <c r="C92" s="3184">
        <v>70</v>
      </c>
      <c r="D92" s="3184" t="s">
        <v>3515</v>
      </c>
      <c r="E92" s="3184" t="s">
        <v>3509</v>
      </c>
      <c r="F92" s="3184">
        <v>388</v>
      </c>
      <c r="G92" s="3185">
        <v>44818</v>
      </c>
      <c r="H92" s="3184">
        <v>382</v>
      </c>
      <c r="I92" s="3184">
        <v>54292</v>
      </c>
    </row>
    <row r="93" spans="1:9">
      <c r="A93" s="3185">
        <v>44818</v>
      </c>
      <c r="B93" s="3184" t="s">
        <v>3516</v>
      </c>
      <c r="C93" s="3184">
        <v>71</v>
      </c>
      <c r="D93" s="3184" t="s">
        <v>3517</v>
      </c>
      <c r="E93" s="3184" t="s">
        <v>3509</v>
      </c>
      <c r="F93" s="3184">
        <v>365</v>
      </c>
      <c r="G93" s="3185">
        <v>44686</v>
      </c>
      <c r="H93" s="3184">
        <v>347</v>
      </c>
      <c r="I93" s="3184">
        <v>48274</v>
      </c>
    </row>
    <row r="94" spans="1:9">
      <c r="A94" s="3185">
        <v>44816</v>
      </c>
      <c r="B94" s="3184" t="s">
        <v>3507</v>
      </c>
      <c r="C94" s="3184">
        <v>69</v>
      </c>
      <c r="D94" s="3184" t="s">
        <v>3513</v>
      </c>
      <c r="E94" s="3184" t="s">
        <v>3509</v>
      </c>
      <c r="F94" s="3184">
        <v>385</v>
      </c>
      <c r="G94" s="3185">
        <v>44761</v>
      </c>
      <c r="H94" s="3184">
        <v>378</v>
      </c>
      <c r="I94" s="3184">
        <v>54451</v>
      </c>
    </row>
    <row r="95" spans="1:9">
      <c r="A95" s="3185">
        <v>44814</v>
      </c>
      <c r="B95" s="3184" t="s">
        <v>3504</v>
      </c>
      <c r="C95" s="3184">
        <v>84</v>
      </c>
      <c r="D95" s="3184" t="s">
        <v>3532</v>
      </c>
      <c r="E95" s="3184" t="s">
        <v>3469</v>
      </c>
      <c r="F95" s="3184">
        <v>0</v>
      </c>
      <c r="G95" s="3184" t="s">
        <v>3506</v>
      </c>
      <c r="H95" s="3184">
        <v>442</v>
      </c>
      <c r="I95" s="3184">
        <v>52438</v>
      </c>
    </row>
    <row r="96" spans="1:9">
      <c r="A96" s="3185">
        <v>44805</v>
      </c>
      <c r="B96" s="3184" t="s">
        <v>3507</v>
      </c>
      <c r="C96" s="3184">
        <v>69</v>
      </c>
      <c r="D96" s="3184" t="s">
        <v>3513</v>
      </c>
      <c r="E96" s="3184" t="s">
        <v>3509</v>
      </c>
      <c r="F96" s="3184">
        <v>380</v>
      </c>
      <c r="G96" s="3185">
        <v>44769</v>
      </c>
      <c r="H96" s="3184">
        <v>373</v>
      </c>
      <c r="I96" s="3184">
        <v>53731</v>
      </c>
    </row>
    <row r="97" spans="1:9">
      <c r="A97" s="3185">
        <v>44804</v>
      </c>
      <c r="B97" s="3184" t="s">
        <v>3507</v>
      </c>
      <c r="C97" s="3184">
        <v>81</v>
      </c>
      <c r="D97" s="3184" t="s">
        <v>3513</v>
      </c>
      <c r="E97" s="3184" t="s">
        <v>3509</v>
      </c>
      <c r="F97" s="3184">
        <v>416</v>
      </c>
      <c r="G97" s="3185">
        <v>44771</v>
      </c>
      <c r="H97" s="3184">
        <v>403</v>
      </c>
      <c r="I97" s="3184">
        <v>49521</v>
      </c>
    </row>
    <row r="98" spans="1:9">
      <c r="A98" s="3185">
        <v>44800</v>
      </c>
      <c r="B98" s="3184" t="s">
        <v>3507</v>
      </c>
      <c r="C98" s="3184">
        <v>70</v>
      </c>
      <c r="D98" s="3184" t="s">
        <v>3515</v>
      </c>
      <c r="E98" s="3184" t="s">
        <v>3519</v>
      </c>
      <c r="F98" s="3184">
        <v>350</v>
      </c>
      <c r="G98" s="3185">
        <v>44736</v>
      </c>
      <c r="H98" s="3184">
        <v>352</v>
      </c>
      <c r="I98" s="3184">
        <v>50043</v>
      </c>
    </row>
    <row r="99" spans="1:9">
      <c r="A99" s="3185">
        <v>44776</v>
      </c>
      <c r="B99" s="3184" t="s">
        <v>3507</v>
      </c>
      <c r="C99" s="3184">
        <v>69</v>
      </c>
      <c r="D99" s="3184" t="s">
        <v>3512</v>
      </c>
      <c r="E99" s="3184" t="s">
        <v>3509</v>
      </c>
      <c r="F99" s="3184">
        <v>385</v>
      </c>
      <c r="G99" s="3185">
        <v>44716</v>
      </c>
      <c r="H99" s="3184">
        <v>376</v>
      </c>
      <c r="I99" s="3184">
        <v>54163</v>
      </c>
    </row>
    <row r="100" spans="1:9">
      <c r="A100" s="3185">
        <v>44774</v>
      </c>
      <c r="B100" s="3184" t="s">
        <v>3504</v>
      </c>
      <c r="C100" s="3184">
        <v>81</v>
      </c>
      <c r="D100" s="3184" t="s">
        <v>3544</v>
      </c>
      <c r="E100" s="3184" t="s">
        <v>3469</v>
      </c>
      <c r="F100" s="3184">
        <v>0</v>
      </c>
      <c r="G100" s="3184" t="s">
        <v>3506</v>
      </c>
      <c r="H100" s="3184">
        <v>431</v>
      </c>
      <c r="I100" s="3184">
        <v>52935</v>
      </c>
    </row>
    <row r="101" spans="1:9">
      <c r="A101" s="3185">
        <v>44759</v>
      </c>
      <c r="B101" s="3184" t="s">
        <v>3504</v>
      </c>
      <c r="C101" s="3184">
        <v>69</v>
      </c>
      <c r="D101" s="3184" t="s">
        <v>3543</v>
      </c>
      <c r="E101" s="3184" t="s">
        <v>3469</v>
      </c>
      <c r="F101" s="3184">
        <v>0</v>
      </c>
      <c r="G101" s="3184" t="s">
        <v>3506</v>
      </c>
      <c r="H101" s="3184">
        <v>361</v>
      </c>
      <c r="I101" s="3184">
        <v>52089</v>
      </c>
    </row>
    <row r="102" spans="1:9">
      <c r="A102" s="3185">
        <v>44744</v>
      </c>
      <c r="B102" s="3184" t="s">
        <v>3514</v>
      </c>
      <c r="C102" s="3184">
        <v>58</v>
      </c>
      <c r="D102" s="3184" t="s">
        <v>3513</v>
      </c>
      <c r="E102" s="3184" t="s">
        <v>3509</v>
      </c>
      <c r="F102" s="3184">
        <v>308</v>
      </c>
      <c r="G102" s="3185">
        <v>44679</v>
      </c>
      <c r="H102" s="3184">
        <v>304</v>
      </c>
      <c r="I102" s="3184">
        <v>52162</v>
      </c>
    </row>
    <row r="103" spans="1:9">
      <c r="A103" s="3185">
        <v>44740</v>
      </c>
      <c r="B103" s="3184" t="s">
        <v>3542</v>
      </c>
      <c r="C103" s="3184">
        <v>91</v>
      </c>
      <c r="D103" s="3184" t="s">
        <v>3517</v>
      </c>
      <c r="E103" s="3184" t="s">
        <v>3509</v>
      </c>
      <c r="F103" s="3184">
        <v>475</v>
      </c>
      <c r="G103" s="3185">
        <v>44652</v>
      </c>
      <c r="H103" s="3184">
        <v>464</v>
      </c>
      <c r="I103" s="3184">
        <v>50939</v>
      </c>
    </row>
    <row r="104" spans="1:9">
      <c r="A104" s="3185">
        <v>44737</v>
      </c>
      <c r="B104" s="3184" t="s">
        <v>3507</v>
      </c>
      <c r="C104" s="3184">
        <v>69</v>
      </c>
      <c r="D104" s="3184" t="s">
        <v>3517</v>
      </c>
      <c r="E104" s="3184" t="s">
        <v>3509</v>
      </c>
      <c r="F104" s="3184">
        <v>375</v>
      </c>
      <c r="G104" s="3185">
        <v>44634</v>
      </c>
      <c r="H104" s="3184">
        <v>369</v>
      </c>
      <c r="I104" s="3184">
        <v>53155</v>
      </c>
    </row>
    <row r="105" spans="1:9">
      <c r="A105" s="3185">
        <v>44731</v>
      </c>
      <c r="B105" s="3184" t="s">
        <v>3507</v>
      </c>
      <c r="C105" s="3184">
        <v>69</v>
      </c>
      <c r="D105" s="3184" t="s">
        <v>3508</v>
      </c>
      <c r="E105" s="3184" t="s">
        <v>3509</v>
      </c>
      <c r="F105" s="3184">
        <v>380</v>
      </c>
      <c r="G105" s="3185">
        <v>44619</v>
      </c>
      <c r="H105" s="3184">
        <v>373</v>
      </c>
      <c r="I105" s="3184">
        <v>53659</v>
      </c>
    </row>
    <row r="106" spans="1:9">
      <c r="A106" s="3185">
        <v>44719</v>
      </c>
      <c r="B106" s="3184" t="s">
        <v>3514</v>
      </c>
      <c r="C106" s="3184">
        <v>55</v>
      </c>
      <c r="D106" s="3184" t="s">
        <v>3545</v>
      </c>
      <c r="E106" s="3184" t="s">
        <v>3525</v>
      </c>
      <c r="F106" s="3184">
        <v>240</v>
      </c>
      <c r="G106" s="3185">
        <v>44505</v>
      </c>
      <c r="H106" s="3184">
        <v>236</v>
      </c>
      <c r="I106" s="3184">
        <v>42485</v>
      </c>
    </row>
    <row r="107" spans="1:9">
      <c r="A107" s="3185">
        <v>44716</v>
      </c>
      <c r="B107" s="3184" t="s">
        <v>3504</v>
      </c>
      <c r="C107" s="3184">
        <v>69</v>
      </c>
      <c r="D107" s="3184" t="s">
        <v>3535</v>
      </c>
      <c r="E107" s="3184" t="s">
        <v>3469</v>
      </c>
      <c r="F107" s="3184">
        <v>0</v>
      </c>
      <c r="G107" s="3184" t="s">
        <v>3506</v>
      </c>
      <c r="H107" s="3184">
        <v>375</v>
      </c>
      <c r="I107" s="3184">
        <v>54019</v>
      </c>
    </row>
    <row r="108" spans="1:9">
      <c r="A108" s="3185">
        <v>44713</v>
      </c>
      <c r="B108" s="3184" t="s">
        <v>3507</v>
      </c>
      <c r="C108" s="3184">
        <v>45</v>
      </c>
      <c r="D108" s="3184" t="s">
        <v>3508</v>
      </c>
      <c r="E108" s="3184" t="s">
        <v>3546</v>
      </c>
      <c r="F108" s="3184">
        <v>250</v>
      </c>
      <c r="G108" s="3185">
        <v>44711</v>
      </c>
      <c r="H108" s="3184">
        <v>238</v>
      </c>
      <c r="I108" s="3184">
        <v>51920</v>
      </c>
    </row>
    <row r="109" spans="1:9">
      <c r="A109" s="3185">
        <v>44705</v>
      </c>
      <c r="B109" s="3184" t="s">
        <v>3514</v>
      </c>
      <c r="C109" s="3184">
        <v>58</v>
      </c>
      <c r="D109" s="3184" t="s">
        <v>3513</v>
      </c>
      <c r="E109" s="3184" t="s">
        <v>3509</v>
      </c>
      <c r="F109" s="3184">
        <v>319</v>
      </c>
      <c r="G109" s="3185">
        <v>44620</v>
      </c>
      <c r="H109" s="3184">
        <v>310</v>
      </c>
      <c r="I109" s="3184">
        <v>53191</v>
      </c>
    </row>
    <row r="110" spans="1:9">
      <c r="A110" s="3185">
        <v>44686</v>
      </c>
      <c r="B110" s="3184" t="s">
        <v>3507</v>
      </c>
      <c r="C110" s="3184">
        <v>71</v>
      </c>
      <c r="D110" s="3184" t="s">
        <v>3547</v>
      </c>
      <c r="E110" s="3184" t="s">
        <v>3509</v>
      </c>
      <c r="F110" s="3184">
        <v>380</v>
      </c>
      <c r="G110" s="3185">
        <v>44660</v>
      </c>
      <c r="H110" s="3184">
        <v>375</v>
      </c>
      <c r="I110" s="3184">
        <v>52273</v>
      </c>
    </row>
    <row r="111" spans="1:9">
      <c r="A111" s="3185">
        <v>44677</v>
      </c>
      <c r="B111" s="3184" t="s">
        <v>3507</v>
      </c>
      <c r="C111" s="3184">
        <v>73</v>
      </c>
      <c r="D111" s="3184" t="s">
        <v>3547</v>
      </c>
      <c r="E111" s="3184" t="s">
        <v>3546</v>
      </c>
      <c r="F111" s="3184">
        <v>298</v>
      </c>
      <c r="G111" s="3185">
        <v>44652</v>
      </c>
      <c r="H111" s="3184">
        <v>290</v>
      </c>
      <c r="I111" s="3184">
        <v>39634</v>
      </c>
    </row>
    <row r="112" spans="1:9">
      <c r="A112" s="3185">
        <v>44661</v>
      </c>
      <c r="B112" s="3184" t="s">
        <v>3507</v>
      </c>
      <c r="C112" s="3184">
        <v>72</v>
      </c>
      <c r="D112" s="3184" t="s">
        <v>3548</v>
      </c>
      <c r="E112" s="3184" t="s">
        <v>3509</v>
      </c>
      <c r="F112" s="3184">
        <v>350</v>
      </c>
      <c r="G112" s="3185">
        <v>44603</v>
      </c>
      <c r="H112" s="3184">
        <v>348</v>
      </c>
      <c r="I112" s="3184">
        <v>48127</v>
      </c>
    </row>
    <row r="113" spans="1:9">
      <c r="A113" s="3185">
        <v>44651</v>
      </c>
      <c r="B113" s="3184" t="s">
        <v>3534</v>
      </c>
      <c r="C113" s="3184">
        <v>37</v>
      </c>
      <c r="D113" s="3184" t="s">
        <v>3549</v>
      </c>
      <c r="E113" s="3184" t="s">
        <v>3522</v>
      </c>
      <c r="F113" s="3184">
        <v>229</v>
      </c>
      <c r="G113" s="3185">
        <v>44622</v>
      </c>
      <c r="H113" s="3184">
        <v>226</v>
      </c>
      <c r="I113" s="3184">
        <v>60983</v>
      </c>
    </row>
    <row r="114" spans="1:9">
      <c r="A114" s="3185">
        <v>44634</v>
      </c>
      <c r="B114" s="3184" t="s">
        <v>3507</v>
      </c>
      <c r="C114" s="3184">
        <v>54</v>
      </c>
      <c r="D114" s="3184" t="s">
        <v>3548</v>
      </c>
      <c r="E114" s="3184" t="s">
        <v>3509</v>
      </c>
      <c r="F114" s="3184">
        <v>280</v>
      </c>
      <c r="G114" s="3185">
        <v>44465</v>
      </c>
      <c r="H114" s="3184">
        <v>279</v>
      </c>
      <c r="I114" s="3184">
        <v>51203</v>
      </c>
    </row>
    <row r="115" spans="1:9">
      <c r="A115" s="3185">
        <v>44633</v>
      </c>
      <c r="B115" s="3184" t="s">
        <v>3507</v>
      </c>
      <c r="C115" s="3184">
        <v>69</v>
      </c>
      <c r="D115" s="3184" t="s">
        <v>3545</v>
      </c>
      <c r="E115" s="3184" t="s">
        <v>3509</v>
      </c>
      <c r="F115" s="3184">
        <v>346</v>
      </c>
      <c r="G115" s="3185">
        <v>44511</v>
      </c>
      <c r="H115" s="3184">
        <v>336</v>
      </c>
      <c r="I115" s="3184">
        <v>48402</v>
      </c>
    </row>
    <row r="116" spans="1:9">
      <c r="A116" s="3185">
        <v>44632</v>
      </c>
      <c r="B116" s="3184" t="s">
        <v>3516</v>
      </c>
      <c r="C116" s="3184">
        <v>56</v>
      </c>
      <c r="D116" s="3184" t="s">
        <v>3550</v>
      </c>
      <c r="E116" s="3184" t="s">
        <v>3509</v>
      </c>
      <c r="F116" s="3184">
        <v>267</v>
      </c>
      <c r="G116" s="3185">
        <v>44618</v>
      </c>
      <c r="H116" s="3184">
        <v>260</v>
      </c>
      <c r="I116" s="3184">
        <v>46082</v>
      </c>
    </row>
    <row r="117" spans="1:9">
      <c r="A117" s="3185">
        <v>44627</v>
      </c>
      <c r="B117" s="3184" t="s">
        <v>3516</v>
      </c>
      <c r="C117" s="3184">
        <v>93</v>
      </c>
      <c r="D117" s="3184" t="s">
        <v>3547</v>
      </c>
      <c r="E117" s="3184" t="s">
        <v>3509</v>
      </c>
      <c r="F117" s="3184">
        <v>470</v>
      </c>
      <c r="G117" s="3185">
        <v>44430</v>
      </c>
      <c r="H117" s="3184">
        <v>463</v>
      </c>
      <c r="I117" s="3184">
        <v>49557</v>
      </c>
    </row>
    <row r="118" spans="1:9">
      <c r="A118" s="3185">
        <v>44619</v>
      </c>
      <c r="B118" s="3184" t="s">
        <v>3507</v>
      </c>
      <c r="C118" s="3184">
        <v>70</v>
      </c>
      <c r="D118" s="3184" t="s">
        <v>3547</v>
      </c>
      <c r="E118" s="3184" t="s">
        <v>3509</v>
      </c>
      <c r="F118" s="3184">
        <v>385</v>
      </c>
      <c r="G118" s="3185">
        <v>44612</v>
      </c>
      <c r="H118" s="3184">
        <v>380</v>
      </c>
      <c r="I118" s="3184">
        <v>54008</v>
      </c>
    </row>
    <row r="119" spans="1:9">
      <c r="A119" s="3185">
        <v>44619</v>
      </c>
      <c r="B119" s="3184" t="s">
        <v>3514</v>
      </c>
      <c r="C119" s="3184">
        <v>42</v>
      </c>
      <c r="D119" s="3184" t="s">
        <v>3547</v>
      </c>
      <c r="E119" s="3184" t="s">
        <v>3505</v>
      </c>
      <c r="F119" s="3184">
        <v>249</v>
      </c>
      <c r="G119" s="3185">
        <v>44617</v>
      </c>
      <c r="H119" s="3184">
        <v>245</v>
      </c>
      <c r="I119" s="3184">
        <v>57811</v>
      </c>
    </row>
    <row r="120" spans="1:9">
      <c r="A120" s="3185">
        <v>44618</v>
      </c>
      <c r="B120" s="3184" t="s">
        <v>3504</v>
      </c>
      <c r="C120" s="3184">
        <v>103</v>
      </c>
      <c r="D120" s="3184" t="s">
        <v>3532</v>
      </c>
      <c r="E120" s="3184" t="s">
        <v>3520</v>
      </c>
      <c r="F120" s="3184">
        <v>0</v>
      </c>
      <c r="G120" s="3184" t="s">
        <v>3506</v>
      </c>
      <c r="H120" s="3184">
        <v>507</v>
      </c>
      <c r="I120" s="3184">
        <v>49110</v>
      </c>
    </row>
    <row r="121" spans="1:9">
      <c r="A121" s="3185">
        <v>44604</v>
      </c>
      <c r="B121" s="3184" t="s">
        <v>3507</v>
      </c>
      <c r="C121" s="3184">
        <v>65</v>
      </c>
      <c r="D121" s="3184" t="s">
        <v>3545</v>
      </c>
      <c r="E121" s="3184" t="s">
        <v>3509</v>
      </c>
      <c r="F121" s="3184">
        <v>383</v>
      </c>
      <c r="G121" s="3185">
        <v>44457</v>
      </c>
      <c r="H121" s="3184">
        <v>373</v>
      </c>
      <c r="I121" s="3184">
        <v>56739</v>
      </c>
    </row>
    <row r="122" spans="1:9">
      <c r="A122" s="3185">
        <v>44604</v>
      </c>
      <c r="B122" s="3184" t="s">
        <v>3507</v>
      </c>
      <c r="C122" s="3184">
        <v>55</v>
      </c>
      <c r="D122" s="3184" t="s">
        <v>3550</v>
      </c>
      <c r="E122" s="3184" t="s">
        <v>3509</v>
      </c>
      <c r="F122" s="3184">
        <v>265</v>
      </c>
      <c r="G122" s="3185">
        <v>44589</v>
      </c>
      <c r="H122" s="3184">
        <v>260</v>
      </c>
      <c r="I122" s="3184">
        <v>46604</v>
      </c>
    </row>
    <row r="123" spans="1:9">
      <c r="A123" s="3185">
        <v>44589</v>
      </c>
      <c r="B123" s="3184" t="s">
        <v>3507</v>
      </c>
      <c r="C123" s="3184">
        <v>69</v>
      </c>
      <c r="D123" s="3184" t="s">
        <v>3551</v>
      </c>
      <c r="E123" s="3184" t="s">
        <v>3509</v>
      </c>
      <c r="F123" s="3184">
        <v>369</v>
      </c>
      <c r="G123" s="3185">
        <v>44478</v>
      </c>
      <c r="H123" s="3184">
        <v>361</v>
      </c>
      <c r="I123" s="3184">
        <v>52075</v>
      </c>
    </row>
    <row r="124" spans="1:9">
      <c r="A124" s="3185">
        <v>44573</v>
      </c>
      <c r="B124" s="3184" t="s">
        <v>3504</v>
      </c>
      <c r="C124" s="3184">
        <v>69</v>
      </c>
      <c r="D124" s="3184" t="s">
        <v>3538</v>
      </c>
      <c r="E124" s="3184" t="s">
        <v>3477</v>
      </c>
      <c r="F124" s="3184">
        <v>0</v>
      </c>
      <c r="G124" s="3184" t="s">
        <v>3506</v>
      </c>
      <c r="H124" s="3184">
        <v>300</v>
      </c>
      <c r="I124" s="3184">
        <v>43346</v>
      </c>
    </row>
    <row r="125" spans="1:9">
      <c r="A125" s="3185">
        <v>44569</v>
      </c>
      <c r="B125" s="3184" t="s">
        <v>3552</v>
      </c>
      <c r="C125" s="3184">
        <v>101</v>
      </c>
      <c r="D125" s="3184" t="s">
        <v>3553</v>
      </c>
      <c r="E125" s="3184" t="s">
        <v>3469</v>
      </c>
      <c r="F125" s="3184">
        <v>0</v>
      </c>
      <c r="G125" s="3184" t="s">
        <v>3506</v>
      </c>
      <c r="H125" s="3184">
        <v>435</v>
      </c>
      <c r="I125" s="3184">
        <v>42727</v>
      </c>
    </row>
    <row r="126" spans="1:9">
      <c r="A126" s="3185">
        <v>44557</v>
      </c>
      <c r="B126" s="3184" t="s">
        <v>3504</v>
      </c>
      <c r="C126" s="3184">
        <v>91</v>
      </c>
      <c r="D126" s="3184" t="s">
        <v>3535</v>
      </c>
      <c r="E126" s="3184" t="s">
        <v>3525</v>
      </c>
      <c r="F126" s="3184">
        <v>0</v>
      </c>
      <c r="G126" s="3184" t="s">
        <v>3506</v>
      </c>
      <c r="H126" s="3184">
        <v>467</v>
      </c>
      <c r="I126" s="3184">
        <v>51005</v>
      </c>
    </row>
    <row r="127" spans="1:9">
      <c r="A127" s="3185">
        <v>44550</v>
      </c>
      <c r="B127" s="3184" t="s">
        <v>3507</v>
      </c>
      <c r="C127" s="3184">
        <v>64</v>
      </c>
      <c r="D127" s="3184" t="s">
        <v>3554</v>
      </c>
      <c r="E127" s="3184" t="s">
        <v>3509</v>
      </c>
      <c r="F127" s="3184">
        <v>218</v>
      </c>
      <c r="G127" s="3185">
        <v>44529</v>
      </c>
      <c r="H127" s="3184">
        <v>208</v>
      </c>
      <c r="I127" s="3184">
        <v>32319</v>
      </c>
    </row>
    <row r="128" spans="1:9">
      <c r="A128" s="3185">
        <v>44548</v>
      </c>
      <c r="B128" s="3184" t="s">
        <v>3504</v>
      </c>
      <c r="C128" s="3184">
        <v>85</v>
      </c>
      <c r="D128" s="3184" t="s">
        <v>3532</v>
      </c>
      <c r="E128" s="3184" t="s">
        <v>3469</v>
      </c>
      <c r="F128" s="3184">
        <v>0</v>
      </c>
      <c r="G128" s="3184" t="s">
        <v>3506</v>
      </c>
      <c r="H128" s="3184">
        <v>380</v>
      </c>
      <c r="I128" s="3184">
        <v>44393</v>
      </c>
    </row>
    <row r="129" spans="1:9">
      <c r="A129" s="3185">
        <v>44542</v>
      </c>
      <c r="B129" s="3184" t="s">
        <v>3504</v>
      </c>
      <c r="C129" s="3184">
        <v>69</v>
      </c>
      <c r="D129" s="3184" t="s">
        <v>3535</v>
      </c>
      <c r="E129" s="3184" t="s">
        <v>3469</v>
      </c>
      <c r="F129" s="3184">
        <v>0</v>
      </c>
      <c r="G129" s="3184" t="s">
        <v>3506</v>
      </c>
      <c r="H129" s="3184">
        <v>366</v>
      </c>
      <c r="I129" s="3184">
        <v>52723</v>
      </c>
    </row>
    <row r="130" spans="1:9">
      <c r="A130" s="3185">
        <v>44542</v>
      </c>
      <c r="B130" s="3184" t="s">
        <v>3507</v>
      </c>
      <c r="C130" s="3184">
        <v>70</v>
      </c>
      <c r="D130" s="3184" t="s">
        <v>3555</v>
      </c>
      <c r="E130" s="3184" t="s">
        <v>3519</v>
      </c>
      <c r="F130" s="3184">
        <v>355</v>
      </c>
      <c r="G130" s="3185">
        <v>44527</v>
      </c>
      <c r="H130" s="3184">
        <v>350</v>
      </c>
      <c r="I130" s="3184">
        <v>49745</v>
      </c>
    </row>
    <row r="131" spans="1:9">
      <c r="A131" s="3185">
        <v>44539</v>
      </c>
      <c r="B131" s="3184" t="s">
        <v>3504</v>
      </c>
      <c r="C131" s="3184">
        <v>68</v>
      </c>
      <c r="D131" s="3184" t="s">
        <v>3553</v>
      </c>
      <c r="E131" s="3184" t="s">
        <v>3477</v>
      </c>
      <c r="F131" s="3184">
        <v>0</v>
      </c>
      <c r="G131" s="3184" t="s">
        <v>3506</v>
      </c>
      <c r="H131" s="3184">
        <v>347</v>
      </c>
      <c r="I131" s="3184">
        <v>50761</v>
      </c>
    </row>
    <row r="132" spans="1:9">
      <c r="A132" s="3185">
        <v>44536</v>
      </c>
      <c r="B132" s="3184" t="s">
        <v>3516</v>
      </c>
      <c r="C132" s="3184">
        <v>90</v>
      </c>
      <c r="D132" s="3184" t="s">
        <v>3556</v>
      </c>
      <c r="E132" s="3184" t="s">
        <v>3557</v>
      </c>
      <c r="F132" s="3184">
        <v>437</v>
      </c>
      <c r="G132" s="3185">
        <v>44517</v>
      </c>
      <c r="H132" s="3184">
        <v>428</v>
      </c>
      <c r="I132" s="3184">
        <v>47330</v>
      </c>
    </row>
    <row r="133" spans="1:9">
      <c r="A133" s="3185">
        <v>44530</v>
      </c>
      <c r="B133" s="3184" t="s">
        <v>3504</v>
      </c>
      <c r="C133" s="3184">
        <v>78</v>
      </c>
      <c r="D133" s="3184" t="s">
        <v>3535</v>
      </c>
      <c r="E133" s="3184" t="s">
        <v>3511</v>
      </c>
      <c r="F133" s="3184">
        <v>0</v>
      </c>
      <c r="G133" s="3184" t="s">
        <v>3506</v>
      </c>
      <c r="H133" s="3184">
        <v>305</v>
      </c>
      <c r="I133" s="3184">
        <v>38681</v>
      </c>
    </row>
    <row r="134" spans="1:9">
      <c r="A134" s="3185">
        <v>44529</v>
      </c>
      <c r="B134" s="3184" t="s">
        <v>3507</v>
      </c>
      <c r="C134" s="3184">
        <v>54</v>
      </c>
      <c r="D134" s="3184" t="s">
        <v>3548</v>
      </c>
      <c r="E134" s="3184" t="s">
        <v>3509</v>
      </c>
      <c r="F134" s="3184">
        <v>265</v>
      </c>
      <c r="G134" s="3185">
        <v>44487</v>
      </c>
      <c r="H134" s="3184">
        <v>265</v>
      </c>
      <c r="I134" s="3184">
        <v>48785</v>
      </c>
    </row>
    <row r="135" spans="1:9">
      <c r="A135" s="3185">
        <v>44514</v>
      </c>
      <c r="B135" s="3184" t="s">
        <v>3514</v>
      </c>
      <c r="C135" s="3184">
        <v>49</v>
      </c>
      <c r="D135" s="3184" t="s">
        <v>3545</v>
      </c>
      <c r="E135" s="3184" t="s">
        <v>3509</v>
      </c>
      <c r="F135" s="3184">
        <v>0</v>
      </c>
      <c r="G135" s="3184" t="s">
        <v>3558</v>
      </c>
      <c r="H135" s="3184">
        <v>230</v>
      </c>
      <c r="I135" s="3184">
        <v>46139</v>
      </c>
    </row>
    <row r="136" spans="1:9">
      <c r="A136" s="3185">
        <v>44514</v>
      </c>
      <c r="B136" s="3184" t="s">
        <v>3507</v>
      </c>
      <c r="C136" s="3184">
        <v>65</v>
      </c>
      <c r="D136" s="3184" t="s">
        <v>3508</v>
      </c>
      <c r="E136" s="3184" t="s">
        <v>3509</v>
      </c>
      <c r="F136" s="3184">
        <v>353</v>
      </c>
      <c r="G136" s="3185">
        <v>44512</v>
      </c>
      <c r="H136" s="3184">
        <v>350</v>
      </c>
      <c r="I136" s="3184">
        <v>53763</v>
      </c>
    </row>
    <row r="137" spans="1:9">
      <c r="A137" s="3185">
        <v>44513</v>
      </c>
      <c r="B137" s="3184" t="s">
        <v>3507</v>
      </c>
      <c r="C137" s="3184">
        <v>77</v>
      </c>
      <c r="D137" s="3184" t="s">
        <v>3559</v>
      </c>
      <c r="E137" s="3184" t="s">
        <v>3560</v>
      </c>
      <c r="F137" s="3184">
        <v>0</v>
      </c>
      <c r="G137" s="3184" t="s">
        <v>3558</v>
      </c>
      <c r="H137" s="3184">
        <v>360</v>
      </c>
      <c r="I137" s="3184">
        <v>46494</v>
      </c>
    </row>
    <row r="138" spans="1:9">
      <c r="A138" s="3185">
        <v>44509</v>
      </c>
      <c r="B138" s="3184" t="s">
        <v>3507</v>
      </c>
      <c r="C138" s="3184">
        <v>57</v>
      </c>
      <c r="D138" s="3184" t="s">
        <v>3555</v>
      </c>
      <c r="E138" s="3184" t="s">
        <v>3519</v>
      </c>
      <c r="F138" s="3184">
        <v>260</v>
      </c>
      <c r="G138" s="3185">
        <v>44475</v>
      </c>
      <c r="H138" s="3184">
        <v>260</v>
      </c>
      <c r="I138" s="3184">
        <v>45328</v>
      </c>
    </row>
    <row r="139" spans="1:9">
      <c r="A139" s="3185">
        <v>44504</v>
      </c>
      <c r="B139" s="3184" t="s">
        <v>3507</v>
      </c>
      <c r="C139" s="3184">
        <v>70</v>
      </c>
      <c r="D139" s="3184" t="s">
        <v>3549</v>
      </c>
      <c r="E139" s="3184" t="s">
        <v>3509</v>
      </c>
      <c r="F139" s="3184">
        <v>380</v>
      </c>
      <c r="G139" s="3185">
        <v>44478</v>
      </c>
      <c r="H139" s="3184">
        <v>371</v>
      </c>
      <c r="I139" s="3184">
        <v>52729</v>
      </c>
    </row>
    <row r="140" spans="1:9">
      <c r="A140" s="3185">
        <v>44461</v>
      </c>
      <c r="B140" s="3184" t="s">
        <v>3514</v>
      </c>
      <c r="C140" s="3184">
        <v>58</v>
      </c>
      <c r="D140" s="3184" t="s">
        <v>3547</v>
      </c>
      <c r="E140" s="3184" t="s">
        <v>3509</v>
      </c>
      <c r="F140" s="3184">
        <v>330</v>
      </c>
      <c r="G140" s="3185">
        <v>44318</v>
      </c>
      <c r="H140" s="3184">
        <v>325</v>
      </c>
      <c r="I140" s="3184">
        <v>55518</v>
      </c>
    </row>
    <row r="141" spans="1:9">
      <c r="A141" s="3185">
        <v>44459</v>
      </c>
      <c r="B141" s="3184" t="s">
        <v>3507</v>
      </c>
      <c r="C141" s="3184">
        <v>69</v>
      </c>
      <c r="D141" s="3184" t="s">
        <v>3547</v>
      </c>
      <c r="E141" s="3184" t="s">
        <v>3509</v>
      </c>
      <c r="F141" s="3184">
        <v>377</v>
      </c>
      <c r="G141" s="3185">
        <v>44433</v>
      </c>
      <c r="H141" s="3184">
        <v>377</v>
      </c>
      <c r="I141" s="3184">
        <v>54308</v>
      </c>
    </row>
    <row r="142" spans="1:9">
      <c r="A142" s="3185">
        <v>44458</v>
      </c>
      <c r="B142" s="3184" t="s">
        <v>3514</v>
      </c>
      <c r="C142" s="3184">
        <v>44</v>
      </c>
      <c r="D142" s="3184" t="s">
        <v>3547</v>
      </c>
      <c r="E142" s="3184" t="s">
        <v>3509</v>
      </c>
      <c r="F142" s="3184">
        <v>247</v>
      </c>
      <c r="G142" s="3185">
        <v>44441</v>
      </c>
      <c r="H142" s="3184">
        <v>247</v>
      </c>
      <c r="I142" s="3184">
        <v>56010</v>
      </c>
    </row>
    <row r="143" spans="1:9">
      <c r="A143" s="3185">
        <v>44451</v>
      </c>
      <c r="B143" s="3184" t="s">
        <v>3507</v>
      </c>
      <c r="C143" s="3184">
        <v>56</v>
      </c>
      <c r="D143" s="3184" t="s">
        <v>3545</v>
      </c>
      <c r="E143" s="3184" t="s">
        <v>3509</v>
      </c>
      <c r="F143" s="3184">
        <v>280</v>
      </c>
      <c r="G143" s="3185">
        <v>44282</v>
      </c>
      <c r="H143" s="3184">
        <v>280</v>
      </c>
      <c r="I143" s="3184">
        <v>49357</v>
      </c>
    </row>
    <row r="144" spans="1:9">
      <c r="A144" s="3185">
        <v>44450</v>
      </c>
      <c r="B144" s="3184" t="s">
        <v>3507</v>
      </c>
      <c r="C144" s="3184">
        <v>69</v>
      </c>
      <c r="D144" s="3184" t="s">
        <v>3547</v>
      </c>
      <c r="E144" s="3184" t="s">
        <v>3509</v>
      </c>
      <c r="F144" s="3184">
        <v>366</v>
      </c>
      <c r="G144" s="3185">
        <v>44369</v>
      </c>
      <c r="H144" s="3184">
        <v>366</v>
      </c>
      <c r="I144" s="3184">
        <v>52723</v>
      </c>
    </row>
    <row r="145" spans="1:9">
      <c r="A145" s="3185">
        <v>44447</v>
      </c>
      <c r="B145" s="3184" t="s">
        <v>3507</v>
      </c>
      <c r="C145" s="3184">
        <v>71</v>
      </c>
      <c r="D145" s="3184" t="s">
        <v>3561</v>
      </c>
      <c r="E145" s="3184" t="s">
        <v>3519</v>
      </c>
      <c r="F145" s="3184">
        <v>327</v>
      </c>
      <c r="G145" s="3185">
        <v>44330</v>
      </c>
      <c r="H145" s="3184">
        <v>327</v>
      </c>
      <c r="I145" s="3184">
        <v>45728</v>
      </c>
    </row>
    <row r="146" spans="1:9">
      <c r="A146" s="3185">
        <v>44444</v>
      </c>
      <c r="B146" s="3184" t="s">
        <v>3507</v>
      </c>
      <c r="C146" s="3184">
        <v>84</v>
      </c>
      <c r="D146" s="3184" t="s">
        <v>3545</v>
      </c>
      <c r="E146" s="3184" t="s">
        <v>3509</v>
      </c>
      <c r="F146" s="3184">
        <v>405</v>
      </c>
      <c r="G146" s="3185">
        <v>44265</v>
      </c>
      <c r="H146" s="3184">
        <v>405</v>
      </c>
      <c r="I146" s="3184">
        <v>47664</v>
      </c>
    </row>
    <row r="147" spans="1:9">
      <c r="A147" s="3185">
        <v>44443</v>
      </c>
      <c r="B147" s="3184" t="s">
        <v>3504</v>
      </c>
      <c r="C147" s="3184">
        <v>70</v>
      </c>
      <c r="D147" s="3184" t="s">
        <v>3535</v>
      </c>
      <c r="E147" s="3184" t="s">
        <v>3477</v>
      </c>
      <c r="F147" s="3184">
        <v>0</v>
      </c>
      <c r="G147" s="3184" t="s">
        <v>3506</v>
      </c>
      <c r="H147" s="3184">
        <v>361</v>
      </c>
      <c r="I147" s="3184">
        <v>51308</v>
      </c>
    </row>
    <row r="148" spans="1:9">
      <c r="A148" s="3185">
        <v>44436</v>
      </c>
      <c r="B148" s="3184" t="s">
        <v>3504</v>
      </c>
      <c r="C148" s="3184">
        <v>77</v>
      </c>
      <c r="D148" s="3184" t="s">
        <v>3532</v>
      </c>
      <c r="E148" s="3184" t="s">
        <v>3469</v>
      </c>
      <c r="F148" s="3184">
        <v>0</v>
      </c>
      <c r="G148" s="3184" t="s">
        <v>3506</v>
      </c>
      <c r="H148" s="3184">
        <v>415</v>
      </c>
      <c r="I148" s="3184">
        <v>53562</v>
      </c>
    </row>
    <row r="149" spans="1:9">
      <c r="A149" s="3185">
        <v>44436</v>
      </c>
      <c r="B149" s="3184" t="s">
        <v>3507</v>
      </c>
      <c r="C149" s="3184">
        <v>50</v>
      </c>
      <c r="D149" s="3184" t="s">
        <v>3562</v>
      </c>
      <c r="E149" s="3184" t="s">
        <v>3505</v>
      </c>
      <c r="F149" s="3184">
        <v>280</v>
      </c>
      <c r="G149" s="3185">
        <v>44373</v>
      </c>
      <c r="H149" s="3184">
        <v>271</v>
      </c>
      <c r="I149" s="3184">
        <v>53942</v>
      </c>
    </row>
    <row r="150" spans="1:9">
      <c r="A150" s="3185">
        <v>44432</v>
      </c>
      <c r="B150" s="3184" t="s">
        <v>3507</v>
      </c>
      <c r="C150" s="3184">
        <v>55</v>
      </c>
      <c r="D150" s="3184" t="s">
        <v>3547</v>
      </c>
      <c r="E150" s="3184" t="s">
        <v>3509</v>
      </c>
      <c r="F150" s="3184">
        <v>303</v>
      </c>
      <c r="G150" s="3185">
        <v>44426</v>
      </c>
      <c r="H150" s="3184">
        <v>298</v>
      </c>
      <c r="I150" s="3184">
        <v>53879</v>
      </c>
    </row>
    <row r="151" spans="1:9">
      <c r="A151" s="3185">
        <v>44432</v>
      </c>
      <c r="B151" s="3184" t="s">
        <v>3516</v>
      </c>
      <c r="C151" s="3184">
        <v>69</v>
      </c>
      <c r="D151" s="3184" t="s">
        <v>3549</v>
      </c>
      <c r="E151" s="3184" t="s">
        <v>3509</v>
      </c>
      <c r="F151" s="3184">
        <v>392</v>
      </c>
      <c r="G151" s="3185">
        <v>44384</v>
      </c>
      <c r="H151" s="3184">
        <v>388</v>
      </c>
      <c r="I151" s="3184">
        <v>55989</v>
      </c>
    </row>
    <row r="152" spans="1:9">
      <c r="A152" s="3185">
        <v>44431</v>
      </c>
      <c r="B152" s="3184" t="s">
        <v>3507</v>
      </c>
      <c r="C152" s="3184">
        <v>70</v>
      </c>
      <c r="D152" s="3184" t="s">
        <v>3563</v>
      </c>
      <c r="E152" s="3184" t="s">
        <v>3509</v>
      </c>
      <c r="F152" s="3184">
        <v>388</v>
      </c>
      <c r="G152" s="3185">
        <v>44340</v>
      </c>
      <c r="H152" s="3184">
        <v>381</v>
      </c>
      <c r="I152" s="3184">
        <v>54151</v>
      </c>
    </row>
    <row r="153" spans="1:9">
      <c r="A153" s="3185">
        <v>44430</v>
      </c>
      <c r="B153" s="3184" t="s">
        <v>3514</v>
      </c>
      <c r="C153" s="3184">
        <v>55</v>
      </c>
      <c r="D153" s="3184" t="s">
        <v>3547</v>
      </c>
      <c r="E153" s="3184" t="s">
        <v>3509</v>
      </c>
      <c r="F153" s="3184">
        <v>325</v>
      </c>
      <c r="G153" s="3185">
        <v>44403</v>
      </c>
      <c r="H153" s="3184">
        <v>318</v>
      </c>
      <c r="I153" s="3184">
        <v>57072</v>
      </c>
    </row>
    <row r="154" spans="1:9">
      <c r="A154" s="3185">
        <v>44423</v>
      </c>
      <c r="B154" s="3184" t="s">
        <v>3516</v>
      </c>
      <c r="C154" s="3184">
        <v>71</v>
      </c>
      <c r="D154" s="3184" t="s">
        <v>3545</v>
      </c>
      <c r="E154" s="3184" t="s">
        <v>3509</v>
      </c>
      <c r="F154" s="3184">
        <v>330</v>
      </c>
      <c r="G154" s="3185">
        <v>44369</v>
      </c>
      <c r="H154" s="3184">
        <v>305</v>
      </c>
      <c r="I154" s="3184">
        <v>42456</v>
      </c>
    </row>
    <row r="155" spans="1:9">
      <c r="A155" s="3185">
        <v>44418</v>
      </c>
      <c r="B155" s="3184" t="s">
        <v>3526</v>
      </c>
      <c r="C155" s="3184">
        <v>101</v>
      </c>
      <c r="D155" s="3184" t="s">
        <v>3556</v>
      </c>
      <c r="E155" s="3184" t="s">
        <v>3519</v>
      </c>
      <c r="F155" s="3184">
        <v>465</v>
      </c>
      <c r="G155" s="3185">
        <v>44314</v>
      </c>
      <c r="H155" s="3184">
        <v>450</v>
      </c>
      <c r="I155" s="3184">
        <v>44192</v>
      </c>
    </row>
    <row r="156" spans="1:9">
      <c r="A156" s="3185">
        <v>44416</v>
      </c>
      <c r="B156" s="3184" t="s">
        <v>3504</v>
      </c>
      <c r="C156" s="3184">
        <v>69</v>
      </c>
      <c r="D156" s="3184" t="s">
        <v>3532</v>
      </c>
      <c r="E156" s="3184" t="s">
        <v>3469</v>
      </c>
      <c r="F156" s="3184">
        <v>0</v>
      </c>
      <c r="G156" s="3184" t="s">
        <v>3506</v>
      </c>
      <c r="H156" s="3184">
        <v>380</v>
      </c>
      <c r="I156" s="3184">
        <v>54739</v>
      </c>
    </row>
    <row r="157" spans="1:9">
      <c r="A157" s="3185">
        <v>44416</v>
      </c>
      <c r="B157" s="3184" t="s">
        <v>3526</v>
      </c>
      <c r="C157" s="3184">
        <v>106</v>
      </c>
      <c r="D157" s="3184" t="s">
        <v>3545</v>
      </c>
      <c r="E157" s="3184" t="s">
        <v>3564</v>
      </c>
      <c r="F157" s="3184">
        <v>485</v>
      </c>
      <c r="G157" s="3185">
        <v>44361</v>
      </c>
      <c r="H157" s="3184">
        <v>473</v>
      </c>
      <c r="I157" s="3184">
        <v>44359</v>
      </c>
    </row>
    <row r="158" spans="1:9">
      <c r="A158" s="3185">
        <v>44409</v>
      </c>
      <c r="B158" s="3184" t="s">
        <v>3516</v>
      </c>
      <c r="C158" s="3184">
        <v>101</v>
      </c>
      <c r="D158" s="3184" t="s">
        <v>3555</v>
      </c>
      <c r="E158" s="3184" t="s">
        <v>3565</v>
      </c>
      <c r="F158" s="3184">
        <v>479</v>
      </c>
      <c r="G158" s="3185">
        <v>44337</v>
      </c>
      <c r="H158" s="3184">
        <v>466</v>
      </c>
      <c r="I158" s="3184">
        <v>45772</v>
      </c>
    </row>
    <row r="159" spans="1:9">
      <c r="A159" s="3185">
        <v>44403</v>
      </c>
      <c r="B159" s="3184" t="s">
        <v>3504</v>
      </c>
      <c r="C159" s="3184">
        <v>69</v>
      </c>
      <c r="D159" s="3184" t="s">
        <v>3543</v>
      </c>
      <c r="E159" s="3184" t="s">
        <v>3469</v>
      </c>
      <c r="F159" s="3184">
        <v>0</v>
      </c>
      <c r="G159" s="3184" t="s">
        <v>3506</v>
      </c>
      <c r="H159" s="3184">
        <v>371</v>
      </c>
      <c r="I159" s="3184">
        <v>53443</v>
      </c>
    </row>
    <row r="160" spans="1:9">
      <c r="A160" s="3185">
        <v>44398</v>
      </c>
      <c r="B160" s="3184" t="s">
        <v>3507</v>
      </c>
      <c r="C160" s="3184">
        <v>54</v>
      </c>
      <c r="D160" s="3184" t="s">
        <v>3547</v>
      </c>
      <c r="E160" s="3184" t="s">
        <v>3509</v>
      </c>
      <c r="F160" s="3184">
        <v>297</v>
      </c>
      <c r="G160" s="3185">
        <v>44382</v>
      </c>
      <c r="H160" s="3184">
        <v>292</v>
      </c>
      <c r="I160" s="3184">
        <v>53687</v>
      </c>
    </row>
    <row r="161" spans="1:9">
      <c r="A161" s="3185">
        <v>44372</v>
      </c>
      <c r="B161" s="3184" t="s">
        <v>3507</v>
      </c>
      <c r="C161" s="3184">
        <v>69</v>
      </c>
      <c r="D161" s="3184" t="s">
        <v>3549</v>
      </c>
      <c r="E161" s="3184" t="s">
        <v>3509</v>
      </c>
      <c r="F161" s="3184">
        <v>366</v>
      </c>
      <c r="G161" s="3185">
        <v>44256</v>
      </c>
      <c r="H161" s="3184">
        <v>354</v>
      </c>
      <c r="I161" s="3184">
        <v>51305</v>
      </c>
    </row>
    <row r="162" spans="1:9">
      <c r="A162" s="3185">
        <v>44366</v>
      </c>
      <c r="B162" s="3184" t="s">
        <v>3504</v>
      </c>
      <c r="C162" s="3184">
        <v>57</v>
      </c>
      <c r="D162" s="3184" t="s">
        <v>3543</v>
      </c>
      <c r="E162" s="3184" t="s">
        <v>3469</v>
      </c>
      <c r="F162" s="3184">
        <v>0</v>
      </c>
      <c r="G162" s="3184" t="s">
        <v>3506</v>
      </c>
      <c r="H162" s="3184">
        <v>285</v>
      </c>
      <c r="I162" s="3184">
        <v>49764</v>
      </c>
    </row>
    <row r="163" spans="1:9">
      <c r="A163" s="3185">
        <v>44362</v>
      </c>
      <c r="B163" s="3184" t="s">
        <v>3507</v>
      </c>
      <c r="C163" s="3184">
        <v>69</v>
      </c>
      <c r="D163" s="3184" t="s">
        <v>3551</v>
      </c>
      <c r="E163" s="3184" t="s">
        <v>3509</v>
      </c>
      <c r="F163" s="3184">
        <v>378</v>
      </c>
      <c r="G163" s="3185">
        <v>44342</v>
      </c>
      <c r="H163" s="3184">
        <v>374</v>
      </c>
      <c r="I163" s="3184">
        <v>53875</v>
      </c>
    </row>
    <row r="164" spans="1:9">
      <c r="A164" s="3185">
        <v>44362</v>
      </c>
      <c r="B164" s="3184" t="s">
        <v>3507</v>
      </c>
      <c r="C164" s="3184">
        <v>56</v>
      </c>
      <c r="D164" s="3184" t="s">
        <v>3513</v>
      </c>
      <c r="E164" s="3184" t="s">
        <v>3509</v>
      </c>
      <c r="F164" s="3184">
        <v>305</v>
      </c>
      <c r="G164" s="3185">
        <v>44306</v>
      </c>
      <c r="H164" s="3184">
        <v>294</v>
      </c>
      <c r="I164" s="3184">
        <v>51633</v>
      </c>
    </row>
    <row r="165" spans="1:9">
      <c r="A165" s="3185">
        <v>44352</v>
      </c>
      <c r="B165" s="3184" t="s">
        <v>3507</v>
      </c>
      <c r="C165" s="3184">
        <v>69</v>
      </c>
      <c r="D165" s="3184" t="s">
        <v>3547</v>
      </c>
      <c r="E165" s="3184" t="s">
        <v>3566</v>
      </c>
      <c r="F165" s="3184">
        <v>390</v>
      </c>
      <c r="G165" s="3185">
        <v>44332</v>
      </c>
      <c r="H165" s="3184">
        <v>382</v>
      </c>
      <c r="I165" s="3184">
        <v>55028</v>
      </c>
    </row>
    <row r="166" spans="1:9">
      <c r="A166" s="3185">
        <v>44336</v>
      </c>
      <c r="B166" s="3184" t="s">
        <v>3507</v>
      </c>
      <c r="C166" s="3184">
        <v>56</v>
      </c>
      <c r="D166" s="3184" t="s">
        <v>3549</v>
      </c>
      <c r="E166" s="3184" t="s">
        <v>3509</v>
      </c>
      <c r="F166" s="3184">
        <v>309</v>
      </c>
      <c r="G166" s="3185">
        <v>44245</v>
      </c>
      <c r="H166" s="3184">
        <v>298</v>
      </c>
      <c r="I166" s="3184">
        <v>52923</v>
      </c>
    </row>
    <row r="167" spans="1:9">
      <c r="A167" s="3185">
        <v>44335</v>
      </c>
      <c r="B167" s="3184" t="s">
        <v>3514</v>
      </c>
      <c r="C167" s="3184">
        <v>48</v>
      </c>
      <c r="D167" s="3184" t="s">
        <v>3567</v>
      </c>
      <c r="E167" s="3184" t="s">
        <v>3511</v>
      </c>
      <c r="F167" s="3184">
        <v>155</v>
      </c>
      <c r="G167" s="3185">
        <v>44313</v>
      </c>
      <c r="H167" s="3184">
        <v>150</v>
      </c>
      <c r="I167" s="3184">
        <v>31257</v>
      </c>
    </row>
    <row r="168" spans="1:9">
      <c r="A168" s="3185">
        <v>44322</v>
      </c>
      <c r="B168" s="3184" t="s">
        <v>3507</v>
      </c>
      <c r="C168" s="3184">
        <v>56</v>
      </c>
      <c r="D168" s="3184" t="s">
        <v>3548</v>
      </c>
      <c r="E168" s="3184" t="s">
        <v>3509</v>
      </c>
      <c r="F168" s="3184">
        <v>290</v>
      </c>
      <c r="G168" s="3185">
        <v>44260</v>
      </c>
      <c r="H168" s="3184">
        <v>280</v>
      </c>
      <c r="I168" s="3184">
        <v>49357</v>
      </c>
    </row>
    <row r="169" spans="1:9">
      <c r="A169" s="3185">
        <v>44306</v>
      </c>
      <c r="B169" s="3184" t="s">
        <v>3507</v>
      </c>
      <c r="C169" s="3184">
        <v>62</v>
      </c>
      <c r="D169" s="3184" t="s">
        <v>3567</v>
      </c>
      <c r="E169" s="3184" t="s">
        <v>3522</v>
      </c>
      <c r="F169" s="3184">
        <v>195</v>
      </c>
      <c r="G169" s="3185">
        <v>44275</v>
      </c>
      <c r="H169" s="3184">
        <v>192</v>
      </c>
      <c r="I169" s="3184">
        <v>30804</v>
      </c>
    </row>
    <row r="170" spans="1:9">
      <c r="A170" s="3185">
        <v>44305</v>
      </c>
      <c r="B170" s="3184" t="s">
        <v>3568</v>
      </c>
      <c r="C170" s="3184">
        <v>65</v>
      </c>
      <c r="D170" s="3184" t="s">
        <v>3543</v>
      </c>
      <c r="E170" s="3184" t="s">
        <v>3469</v>
      </c>
      <c r="F170" s="3184">
        <v>0</v>
      </c>
      <c r="G170" s="3184" t="s">
        <v>3506</v>
      </c>
      <c r="H170" s="3184">
        <v>355</v>
      </c>
      <c r="I170" s="3184">
        <v>54001</v>
      </c>
    </row>
    <row r="171" spans="1:9">
      <c r="A171" s="3185">
        <v>44290</v>
      </c>
      <c r="B171" s="3184" t="s">
        <v>3507</v>
      </c>
      <c r="C171" s="3184">
        <v>84</v>
      </c>
      <c r="D171" s="3184" t="s">
        <v>3569</v>
      </c>
      <c r="E171" s="3184" t="s">
        <v>3525</v>
      </c>
      <c r="F171" s="3184">
        <v>385</v>
      </c>
      <c r="G171" s="3185">
        <v>43326</v>
      </c>
      <c r="H171" s="3184">
        <v>385</v>
      </c>
      <c r="I171" s="3184">
        <v>45455</v>
      </c>
    </row>
    <row r="172" spans="1:9">
      <c r="A172" s="3185">
        <v>44289</v>
      </c>
      <c r="B172" s="3184" t="s">
        <v>3504</v>
      </c>
      <c r="C172" s="3184">
        <v>56</v>
      </c>
      <c r="D172" s="3184" t="s">
        <v>3535</v>
      </c>
      <c r="E172" s="3184" t="s">
        <v>3469</v>
      </c>
      <c r="F172" s="3184">
        <v>0</v>
      </c>
      <c r="G172" s="3184" t="s">
        <v>3506</v>
      </c>
      <c r="H172" s="3184">
        <v>297</v>
      </c>
      <c r="I172" s="3184">
        <v>52160</v>
      </c>
    </row>
    <row r="173" spans="1:9">
      <c r="A173" s="3185">
        <v>44279</v>
      </c>
      <c r="B173" s="3184" t="s">
        <v>3504</v>
      </c>
      <c r="C173" s="3184">
        <v>103</v>
      </c>
      <c r="D173" s="3184" t="s">
        <v>3543</v>
      </c>
      <c r="E173" s="3184" t="s">
        <v>3525</v>
      </c>
      <c r="F173" s="3184">
        <v>0</v>
      </c>
      <c r="G173" s="3184" t="s">
        <v>3506</v>
      </c>
      <c r="H173" s="3184">
        <v>478</v>
      </c>
      <c r="I173" s="3184">
        <v>46041</v>
      </c>
    </row>
    <row r="174" spans="1:9">
      <c r="A174" s="3185">
        <v>44278</v>
      </c>
      <c r="B174" s="3184" t="s">
        <v>3507</v>
      </c>
      <c r="C174" s="3184">
        <v>103</v>
      </c>
      <c r="D174" s="3184" t="s">
        <v>3535</v>
      </c>
      <c r="E174" s="3184" t="s">
        <v>3520</v>
      </c>
      <c r="F174" s="3184">
        <v>485</v>
      </c>
      <c r="G174" s="3185">
        <v>44175</v>
      </c>
      <c r="H174" s="3184">
        <v>472</v>
      </c>
      <c r="I174" s="3184">
        <v>45648</v>
      </c>
    </row>
    <row r="175" spans="1:9">
      <c r="A175" s="3185">
        <v>44276</v>
      </c>
      <c r="B175" s="3184" t="s">
        <v>3507</v>
      </c>
      <c r="C175" s="3184">
        <v>69</v>
      </c>
      <c r="D175" s="3184" t="s">
        <v>3535</v>
      </c>
      <c r="E175" s="3184" t="s">
        <v>3509</v>
      </c>
      <c r="F175" s="3184">
        <v>380</v>
      </c>
      <c r="G175" s="3185">
        <v>44269</v>
      </c>
      <c r="H175" s="3184">
        <v>370</v>
      </c>
      <c r="I175" s="3184">
        <v>53299</v>
      </c>
    </row>
    <row r="176" spans="1:9">
      <c r="A176" s="3185">
        <v>44264</v>
      </c>
      <c r="B176" s="3184" t="s">
        <v>3570</v>
      </c>
      <c r="C176" s="3184">
        <v>70</v>
      </c>
      <c r="D176" s="3184" t="s">
        <v>3553</v>
      </c>
      <c r="E176" s="3184" t="s">
        <v>3509</v>
      </c>
      <c r="F176" s="3184">
        <v>370</v>
      </c>
      <c r="G176" s="3185">
        <v>44229</v>
      </c>
      <c r="H176" s="3184">
        <v>365</v>
      </c>
      <c r="I176" s="3184">
        <v>51818</v>
      </c>
    </row>
    <row r="177" spans="1:9">
      <c r="A177" s="3185">
        <v>44262</v>
      </c>
      <c r="B177" s="3184" t="s">
        <v>3507</v>
      </c>
      <c r="C177" s="3184">
        <v>69</v>
      </c>
      <c r="D177" s="3184" t="s">
        <v>3535</v>
      </c>
      <c r="E177" s="3184" t="s">
        <v>3509</v>
      </c>
      <c r="F177" s="3184">
        <v>367</v>
      </c>
      <c r="G177" s="3185">
        <v>44256</v>
      </c>
      <c r="H177" s="3184">
        <v>360</v>
      </c>
      <c r="I177" s="3184">
        <v>51859</v>
      </c>
    </row>
    <row r="178" spans="1:9">
      <c r="A178" s="3185">
        <v>44255</v>
      </c>
      <c r="B178" s="3184" t="s">
        <v>3507</v>
      </c>
      <c r="C178" s="3184">
        <v>69</v>
      </c>
      <c r="D178" s="3184" t="s">
        <v>3508</v>
      </c>
      <c r="E178" s="3184" t="s">
        <v>3509</v>
      </c>
      <c r="F178" s="3184">
        <v>365</v>
      </c>
      <c r="G178" s="3185">
        <v>44253</v>
      </c>
      <c r="H178" s="3184">
        <v>360</v>
      </c>
      <c r="I178" s="3184">
        <v>51858</v>
      </c>
    </row>
    <row r="179" spans="1:9">
      <c r="A179" s="3185">
        <v>44253</v>
      </c>
      <c r="B179" s="3184" t="s">
        <v>3507</v>
      </c>
      <c r="C179" s="3184">
        <v>70</v>
      </c>
      <c r="D179" s="3184" t="s">
        <v>3544</v>
      </c>
      <c r="E179" s="3184" t="s">
        <v>3477</v>
      </c>
      <c r="F179" s="3184">
        <v>345</v>
      </c>
      <c r="G179" s="3185">
        <v>44110</v>
      </c>
      <c r="H179" s="3184">
        <v>343</v>
      </c>
      <c r="I179" s="3184">
        <v>48750</v>
      </c>
    </row>
    <row r="180" spans="1:9">
      <c r="A180" s="3185">
        <v>44250</v>
      </c>
      <c r="B180" s="3184" t="s">
        <v>3571</v>
      </c>
      <c r="C180" s="3184">
        <v>71</v>
      </c>
      <c r="D180" s="3184" t="s">
        <v>3535</v>
      </c>
      <c r="E180" s="3184" t="s">
        <v>3469</v>
      </c>
      <c r="F180" s="3184">
        <v>0</v>
      </c>
      <c r="G180" s="3184" t="s">
        <v>3506</v>
      </c>
      <c r="H180" s="3184">
        <v>361</v>
      </c>
      <c r="I180" s="3184">
        <v>50390</v>
      </c>
    </row>
    <row r="181" spans="1:9">
      <c r="A181" s="3185">
        <v>44233</v>
      </c>
      <c r="B181" s="3184" t="s">
        <v>3504</v>
      </c>
      <c r="C181" s="3184">
        <v>69</v>
      </c>
      <c r="D181" s="3184" t="s">
        <v>3543</v>
      </c>
      <c r="E181" s="3184" t="s">
        <v>3469</v>
      </c>
      <c r="F181" s="3184">
        <v>0</v>
      </c>
      <c r="G181" s="3184" t="s">
        <v>3506</v>
      </c>
      <c r="H181" s="3184">
        <v>342</v>
      </c>
      <c r="I181" s="3184">
        <v>49265</v>
      </c>
    </row>
    <row r="182" spans="1:9">
      <c r="A182" s="3185">
        <v>44230</v>
      </c>
      <c r="B182" s="3184" t="s">
        <v>3504</v>
      </c>
      <c r="C182" s="3184">
        <v>71</v>
      </c>
      <c r="D182" s="3184" t="s">
        <v>3532</v>
      </c>
      <c r="E182" s="3184" t="s">
        <v>3469</v>
      </c>
      <c r="F182" s="3184">
        <v>0</v>
      </c>
      <c r="G182" s="3184" t="s">
        <v>3506</v>
      </c>
      <c r="H182" s="3184">
        <v>354</v>
      </c>
      <c r="I182" s="3184">
        <v>49677</v>
      </c>
    </row>
    <row r="183" spans="1:9">
      <c r="A183" s="3185">
        <v>44227</v>
      </c>
      <c r="B183" s="3184" t="s">
        <v>3507</v>
      </c>
      <c r="C183" s="3184">
        <v>69</v>
      </c>
      <c r="D183" s="3184" t="s">
        <v>3543</v>
      </c>
      <c r="E183" s="3184" t="s">
        <v>3509</v>
      </c>
      <c r="F183" s="3184">
        <v>349</v>
      </c>
      <c r="G183" s="3185">
        <v>44177</v>
      </c>
      <c r="H183" s="3184">
        <v>339</v>
      </c>
      <c r="I183" s="3184">
        <v>48834</v>
      </c>
    </row>
    <row r="184" spans="1:9">
      <c r="A184" s="3185">
        <v>44226</v>
      </c>
      <c r="B184" s="3184" t="s">
        <v>3507</v>
      </c>
      <c r="C184" s="3184">
        <v>57</v>
      </c>
      <c r="D184" s="3184" t="s">
        <v>3543</v>
      </c>
      <c r="E184" s="3184" t="s">
        <v>3509</v>
      </c>
      <c r="F184" s="3184">
        <v>288</v>
      </c>
      <c r="G184" s="3185">
        <v>44214</v>
      </c>
      <c r="H184" s="3184">
        <v>284</v>
      </c>
      <c r="I184" s="3184">
        <v>49487</v>
      </c>
    </row>
    <row r="185" spans="1:9">
      <c r="A185" s="3185">
        <v>44224</v>
      </c>
      <c r="B185" s="3184" t="s">
        <v>3507</v>
      </c>
      <c r="C185" s="3184">
        <v>69</v>
      </c>
      <c r="D185" s="3184" t="s">
        <v>3543</v>
      </c>
      <c r="E185" s="3184" t="s">
        <v>3509</v>
      </c>
      <c r="F185" s="3184">
        <v>350</v>
      </c>
      <c r="G185" s="3185">
        <v>43684</v>
      </c>
      <c r="H185" s="3184">
        <v>341</v>
      </c>
      <c r="I185" s="3184">
        <v>49237</v>
      </c>
    </row>
    <row r="186" spans="1:9">
      <c r="A186" s="3185">
        <v>44221</v>
      </c>
      <c r="B186" s="3184" t="s">
        <v>3507</v>
      </c>
      <c r="C186" s="3184">
        <v>57</v>
      </c>
      <c r="D186" s="3184" t="s">
        <v>3535</v>
      </c>
      <c r="E186" s="3184" t="s">
        <v>3509</v>
      </c>
      <c r="F186" s="3184">
        <v>295</v>
      </c>
      <c r="G186" s="3185">
        <v>44181</v>
      </c>
      <c r="H186" s="3184">
        <v>283</v>
      </c>
      <c r="I186" s="3184">
        <v>49382</v>
      </c>
    </row>
    <row r="187" spans="1:9">
      <c r="A187" s="3185">
        <v>44220</v>
      </c>
      <c r="B187" s="3184" t="s">
        <v>3514</v>
      </c>
      <c r="C187" s="3184">
        <v>44</v>
      </c>
      <c r="D187" s="3184" t="s">
        <v>3572</v>
      </c>
      <c r="E187" s="3184" t="s">
        <v>3505</v>
      </c>
      <c r="F187" s="3184">
        <v>230</v>
      </c>
      <c r="G187" s="3185">
        <v>44217</v>
      </c>
      <c r="H187" s="3184">
        <v>228</v>
      </c>
      <c r="I187" s="3184">
        <v>51701</v>
      </c>
    </row>
    <row r="188" spans="1:9">
      <c r="A188" s="3185">
        <v>44220</v>
      </c>
      <c r="B188" s="3184" t="s">
        <v>3507</v>
      </c>
      <c r="C188" s="3184">
        <v>66</v>
      </c>
      <c r="D188" s="3184" t="s">
        <v>3532</v>
      </c>
      <c r="E188" s="3184" t="s">
        <v>3509</v>
      </c>
      <c r="F188" s="3184">
        <v>335</v>
      </c>
      <c r="G188" s="3185">
        <v>43831</v>
      </c>
      <c r="H188" s="3184">
        <v>327</v>
      </c>
      <c r="I188" s="3184">
        <v>49114</v>
      </c>
    </row>
    <row r="189" spans="1:9">
      <c r="A189" s="3185">
        <v>44198</v>
      </c>
      <c r="B189" s="3184" t="s">
        <v>3507</v>
      </c>
      <c r="C189" s="3184">
        <v>69</v>
      </c>
      <c r="D189" s="3184" t="s">
        <v>3532</v>
      </c>
      <c r="E189" s="3184" t="s">
        <v>3509</v>
      </c>
      <c r="F189" s="3184">
        <v>332</v>
      </c>
      <c r="G189" s="3185">
        <v>44102</v>
      </c>
      <c r="H189" s="3184">
        <v>326</v>
      </c>
      <c r="I189" s="3184">
        <v>47247</v>
      </c>
    </row>
    <row r="190" spans="1:9">
      <c r="A190" s="3185">
        <v>44185</v>
      </c>
      <c r="B190" s="3184" t="s">
        <v>3507</v>
      </c>
      <c r="C190" s="3184">
        <v>70</v>
      </c>
      <c r="D190" s="3184" t="s">
        <v>3544</v>
      </c>
      <c r="E190" s="3184" t="s">
        <v>3509</v>
      </c>
      <c r="F190" s="3184">
        <v>365</v>
      </c>
      <c r="G190" s="3185">
        <v>44144</v>
      </c>
      <c r="H190" s="3184">
        <v>347</v>
      </c>
      <c r="I190" s="3184">
        <v>49262</v>
      </c>
    </row>
    <row r="191" spans="1:9">
      <c r="A191" s="3185">
        <v>44185</v>
      </c>
      <c r="B191" s="3184" t="s">
        <v>3507</v>
      </c>
      <c r="C191" s="3184">
        <v>70</v>
      </c>
      <c r="D191" s="3184" t="s">
        <v>3553</v>
      </c>
      <c r="E191" s="3184" t="s">
        <v>3509</v>
      </c>
      <c r="F191" s="3184">
        <v>373</v>
      </c>
      <c r="G191" s="3185">
        <v>43933</v>
      </c>
      <c r="H191" s="3184">
        <v>369</v>
      </c>
      <c r="I191" s="3184">
        <v>52559</v>
      </c>
    </row>
    <row r="192" spans="1:9">
      <c r="A192" s="3185">
        <v>44177</v>
      </c>
      <c r="B192" s="3184" t="s">
        <v>3507</v>
      </c>
      <c r="C192" s="3184">
        <v>69</v>
      </c>
      <c r="D192" s="3184" t="s">
        <v>3532</v>
      </c>
      <c r="E192" s="3184" t="s">
        <v>3509</v>
      </c>
      <c r="F192" s="3184">
        <v>360</v>
      </c>
      <c r="G192" s="3185">
        <v>44150</v>
      </c>
      <c r="H192" s="3184">
        <v>346</v>
      </c>
      <c r="I192" s="3184">
        <v>49842</v>
      </c>
    </row>
    <row r="193" spans="1:9">
      <c r="A193" s="3185">
        <v>44168</v>
      </c>
      <c r="B193" s="3184" t="s">
        <v>3507</v>
      </c>
      <c r="C193" s="3184">
        <v>69</v>
      </c>
      <c r="D193" s="3184" t="s">
        <v>3535</v>
      </c>
      <c r="E193" s="3184" t="s">
        <v>3509</v>
      </c>
      <c r="F193" s="3184">
        <v>358</v>
      </c>
      <c r="G193" s="3185">
        <v>43590</v>
      </c>
      <c r="H193" s="3184">
        <v>348</v>
      </c>
      <c r="I193" s="3184">
        <v>50130</v>
      </c>
    </row>
    <row r="194" spans="1:9">
      <c r="A194" s="3185">
        <v>44163</v>
      </c>
      <c r="B194" s="3184" t="s">
        <v>3507</v>
      </c>
      <c r="C194" s="3184">
        <v>52</v>
      </c>
      <c r="D194" s="3184" t="s">
        <v>3535</v>
      </c>
      <c r="E194" s="3184" t="s">
        <v>3573</v>
      </c>
      <c r="F194" s="3184">
        <v>247</v>
      </c>
      <c r="G194" s="3185">
        <v>43578</v>
      </c>
      <c r="H194" s="3184">
        <v>244</v>
      </c>
      <c r="I194" s="3184">
        <v>46822</v>
      </c>
    </row>
    <row r="195" spans="1:9">
      <c r="A195" s="3185">
        <v>44156</v>
      </c>
      <c r="B195" s="3184" t="s">
        <v>3504</v>
      </c>
      <c r="C195" s="3184">
        <v>69</v>
      </c>
      <c r="D195" s="3184" t="s">
        <v>3543</v>
      </c>
      <c r="E195" s="3184" t="s">
        <v>3469</v>
      </c>
      <c r="F195" s="3184">
        <v>0</v>
      </c>
      <c r="G195" s="3184" t="s">
        <v>3506</v>
      </c>
      <c r="H195" s="3184">
        <v>335</v>
      </c>
      <c r="I195" s="3184">
        <v>48257</v>
      </c>
    </row>
    <row r="196" spans="1:9">
      <c r="A196" s="3185">
        <v>44155</v>
      </c>
      <c r="B196" s="3184" t="s">
        <v>3507</v>
      </c>
      <c r="C196" s="3184">
        <v>91</v>
      </c>
      <c r="D196" s="3184" t="s">
        <v>3508</v>
      </c>
      <c r="E196" s="3184" t="s">
        <v>3525</v>
      </c>
      <c r="F196" s="3184">
        <v>430</v>
      </c>
      <c r="G196" s="3185">
        <v>44154</v>
      </c>
      <c r="H196" s="3184">
        <v>430</v>
      </c>
      <c r="I196" s="3184">
        <v>47180</v>
      </c>
    </row>
    <row r="197" spans="1:9">
      <c r="A197" s="3185">
        <v>44149</v>
      </c>
      <c r="B197" s="3184" t="s">
        <v>3514</v>
      </c>
      <c r="C197" s="3184">
        <v>58</v>
      </c>
      <c r="D197" s="3184" t="s">
        <v>3543</v>
      </c>
      <c r="E197" s="3184" t="s">
        <v>3509</v>
      </c>
      <c r="F197" s="3184">
        <v>285</v>
      </c>
      <c r="G197" s="3185">
        <v>44034</v>
      </c>
      <c r="H197" s="3184">
        <v>278</v>
      </c>
      <c r="I197" s="3184">
        <v>47441</v>
      </c>
    </row>
    <row r="198" spans="1:9">
      <c r="A198" s="3185">
        <v>44144</v>
      </c>
      <c r="B198" s="3184" t="s">
        <v>3526</v>
      </c>
      <c r="C198" s="3184">
        <v>91</v>
      </c>
      <c r="D198" s="3184" t="s">
        <v>3532</v>
      </c>
      <c r="E198" s="3184" t="s">
        <v>3469</v>
      </c>
      <c r="F198" s="3184">
        <v>440</v>
      </c>
      <c r="G198" s="3185">
        <v>44087</v>
      </c>
      <c r="H198" s="3184">
        <v>430</v>
      </c>
      <c r="I198" s="3184">
        <v>46995</v>
      </c>
    </row>
    <row r="199" spans="1:9">
      <c r="A199" s="3185">
        <v>44142</v>
      </c>
      <c r="B199" s="3184" t="s">
        <v>3516</v>
      </c>
      <c r="C199" s="3184">
        <v>107</v>
      </c>
      <c r="D199" s="3184" t="s">
        <v>3553</v>
      </c>
      <c r="E199" s="3184" t="s">
        <v>3509</v>
      </c>
      <c r="F199" s="3184">
        <v>490</v>
      </c>
      <c r="G199" s="3185">
        <v>44080</v>
      </c>
      <c r="H199" s="3184">
        <v>478</v>
      </c>
      <c r="I199" s="3184">
        <v>44554</v>
      </c>
    </row>
    <row r="200" spans="1:9">
      <c r="A200" s="3185">
        <v>44126</v>
      </c>
      <c r="B200" s="3184" t="s">
        <v>3507</v>
      </c>
      <c r="C200" s="3184">
        <v>69</v>
      </c>
      <c r="D200" s="3184" t="s">
        <v>3535</v>
      </c>
      <c r="E200" s="3184" t="s">
        <v>3509</v>
      </c>
      <c r="F200" s="3184">
        <v>354</v>
      </c>
      <c r="G200" s="3185">
        <v>44070</v>
      </c>
      <c r="H200" s="3184">
        <v>345</v>
      </c>
      <c r="I200" s="3184">
        <v>49698</v>
      </c>
    </row>
    <row r="201" spans="1:9">
      <c r="A201" s="3185">
        <v>44126</v>
      </c>
      <c r="B201" s="3184" t="s">
        <v>3507</v>
      </c>
      <c r="C201" s="3184">
        <v>69</v>
      </c>
      <c r="D201" s="3184" t="s">
        <v>3532</v>
      </c>
      <c r="E201" s="3184" t="s">
        <v>3509</v>
      </c>
      <c r="F201" s="3184">
        <v>358</v>
      </c>
      <c r="G201" s="3185">
        <v>44122</v>
      </c>
      <c r="H201" s="3184">
        <v>348</v>
      </c>
      <c r="I201" s="3184">
        <v>50130</v>
      </c>
    </row>
    <row r="202" spans="1:9">
      <c r="A202" s="3185">
        <v>44122</v>
      </c>
      <c r="B202" s="3184" t="s">
        <v>3516</v>
      </c>
      <c r="C202" s="3184">
        <v>103</v>
      </c>
      <c r="D202" s="3184" t="s">
        <v>3569</v>
      </c>
      <c r="E202" s="3184" t="s">
        <v>3477</v>
      </c>
      <c r="F202" s="3184">
        <v>430</v>
      </c>
      <c r="G202" s="3185">
        <v>43643</v>
      </c>
      <c r="H202" s="3184">
        <v>404</v>
      </c>
      <c r="I202" s="3184">
        <v>39173</v>
      </c>
    </row>
    <row r="203" spans="1:9">
      <c r="A203" s="3185">
        <v>44121</v>
      </c>
      <c r="B203" s="3184" t="s">
        <v>3507</v>
      </c>
      <c r="C203" s="3184">
        <v>53</v>
      </c>
      <c r="D203" s="3184" t="s">
        <v>3574</v>
      </c>
      <c r="E203" s="3184" t="s">
        <v>3477</v>
      </c>
      <c r="F203" s="3184">
        <v>310</v>
      </c>
      <c r="G203" s="3185">
        <v>43932</v>
      </c>
      <c r="H203" s="3184">
        <v>285</v>
      </c>
      <c r="I203" s="3184">
        <v>53014</v>
      </c>
    </row>
    <row r="204" spans="1:9">
      <c r="A204" s="3185">
        <v>44120</v>
      </c>
      <c r="B204" s="3184" t="s">
        <v>3507</v>
      </c>
      <c r="C204" s="3184">
        <v>70</v>
      </c>
      <c r="D204" s="3184" t="s">
        <v>3553</v>
      </c>
      <c r="E204" s="3184" t="s">
        <v>3509</v>
      </c>
      <c r="F204" s="3184">
        <v>375</v>
      </c>
      <c r="G204" s="3185">
        <v>44018</v>
      </c>
      <c r="H204" s="3184">
        <v>361</v>
      </c>
      <c r="I204" s="3184">
        <v>51379</v>
      </c>
    </row>
    <row r="205" spans="1:9">
      <c r="A205" s="3185">
        <v>44111</v>
      </c>
      <c r="B205" s="3184" t="s">
        <v>3526</v>
      </c>
      <c r="C205" s="3184">
        <v>103</v>
      </c>
      <c r="D205" s="3184" t="s">
        <v>3538</v>
      </c>
      <c r="E205" s="3184" t="s">
        <v>3509</v>
      </c>
      <c r="F205" s="3184">
        <v>435</v>
      </c>
      <c r="G205" s="3185">
        <v>43599</v>
      </c>
      <c r="H205" s="3184">
        <v>410</v>
      </c>
      <c r="I205" s="3184">
        <v>39706</v>
      </c>
    </row>
    <row r="206" spans="1:9">
      <c r="A206" s="3185">
        <v>44104</v>
      </c>
      <c r="B206" s="3184" t="s">
        <v>3507</v>
      </c>
      <c r="C206" s="3184">
        <v>77</v>
      </c>
      <c r="D206" s="3184" t="s">
        <v>3569</v>
      </c>
      <c r="E206" s="3184" t="s">
        <v>3509</v>
      </c>
      <c r="F206" s="3184">
        <v>328</v>
      </c>
      <c r="G206" s="3185">
        <v>43944</v>
      </c>
      <c r="H206" s="3184">
        <v>316</v>
      </c>
      <c r="I206" s="3184">
        <v>40954</v>
      </c>
    </row>
    <row r="207" spans="1:9">
      <c r="A207" s="3185">
        <v>44103</v>
      </c>
      <c r="B207" s="3184" t="s">
        <v>3507</v>
      </c>
      <c r="C207" s="3184">
        <v>69</v>
      </c>
      <c r="D207" s="3184" t="s">
        <v>3572</v>
      </c>
      <c r="E207" s="3184" t="s">
        <v>3509</v>
      </c>
      <c r="F207" s="3184">
        <v>358</v>
      </c>
      <c r="G207" s="3185">
        <v>43951</v>
      </c>
      <c r="H207" s="3184">
        <v>345</v>
      </c>
      <c r="I207" s="3184">
        <v>49698</v>
      </c>
    </row>
    <row r="208" spans="1:9">
      <c r="A208" s="3185">
        <v>44100</v>
      </c>
      <c r="B208" s="3184" t="s">
        <v>3507</v>
      </c>
      <c r="C208" s="3184">
        <v>55</v>
      </c>
      <c r="D208" s="3184" t="s">
        <v>3535</v>
      </c>
      <c r="E208" s="3184" t="s">
        <v>3509</v>
      </c>
      <c r="F208" s="3184">
        <v>310</v>
      </c>
      <c r="G208" s="3185">
        <v>44091</v>
      </c>
      <c r="H208" s="3184">
        <v>297</v>
      </c>
      <c r="I208" s="3184">
        <v>53743</v>
      </c>
    </row>
    <row r="209" spans="1:9">
      <c r="A209" s="3185">
        <v>44096</v>
      </c>
      <c r="B209" s="3184" t="s">
        <v>3504</v>
      </c>
      <c r="C209" s="3184">
        <v>57</v>
      </c>
      <c r="D209" s="3184" t="s">
        <v>3535</v>
      </c>
      <c r="E209" s="3184" t="s">
        <v>3469</v>
      </c>
      <c r="F209" s="3184">
        <v>0</v>
      </c>
      <c r="G209" s="3184" t="s">
        <v>3506</v>
      </c>
      <c r="H209" s="3184">
        <v>288</v>
      </c>
      <c r="I209" s="3184">
        <v>50148</v>
      </c>
    </row>
    <row r="210" spans="1:9">
      <c r="A210" s="3185">
        <v>44064</v>
      </c>
      <c r="B210" s="3184" t="s">
        <v>3507</v>
      </c>
      <c r="C210" s="3184">
        <v>63</v>
      </c>
      <c r="D210" s="3184" t="s">
        <v>3575</v>
      </c>
      <c r="E210" s="3184" t="s">
        <v>3509</v>
      </c>
      <c r="F210" s="3184">
        <v>196</v>
      </c>
      <c r="G210" s="3185">
        <v>43943</v>
      </c>
      <c r="H210" s="3184">
        <v>192</v>
      </c>
      <c r="I210" s="3184">
        <v>30161</v>
      </c>
    </row>
    <row r="211" spans="1:9">
      <c r="A211" s="3185">
        <v>44059</v>
      </c>
      <c r="B211" s="3184" t="s">
        <v>3576</v>
      </c>
      <c r="C211" s="3184">
        <v>55</v>
      </c>
      <c r="D211" s="3184" t="s">
        <v>3532</v>
      </c>
      <c r="E211" s="3184" t="s">
        <v>3469</v>
      </c>
      <c r="F211" s="3184">
        <v>0</v>
      </c>
      <c r="G211" s="3184" t="s">
        <v>3506</v>
      </c>
      <c r="H211" s="3184">
        <v>294</v>
      </c>
      <c r="I211" s="3184">
        <v>52935</v>
      </c>
    </row>
    <row r="212" spans="1:9">
      <c r="A212" s="3185">
        <v>44058</v>
      </c>
      <c r="B212" s="3184" t="s">
        <v>3540</v>
      </c>
      <c r="C212" s="3184">
        <v>103</v>
      </c>
      <c r="D212" s="3184" t="s">
        <v>3569</v>
      </c>
      <c r="E212" s="3184" t="s">
        <v>3509</v>
      </c>
      <c r="F212" s="3184">
        <v>430</v>
      </c>
      <c r="G212" s="3185">
        <v>43959</v>
      </c>
      <c r="H212" s="3184">
        <v>420</v>
      </c>
      <c r="I212" s="3184">
        <v>40675</v>
      </c>
    </row>
    <row r="213" spans="1:9">
      <c r="A213" s="3185">
        <v>44038</v>
      </c>
      <c r="B213" s="3184" t="s">
        <v>3577</v>
      </c>
      <c r="C213" s="3184">
        <v>86</v>
      </c>
      <c r="D213" s="3184" t="s">
        <v>3553</v>
      </c>
      <c r="E213" s="3184" t="s">
        <v>3469</v>
      </c>
      <c r="F213" s="3184">
        <v>0</v>
      </c>
      <c r="G213" s="3184" t="s">
        <v>3506</v>
      </c>
      <c r="H213" s="3184">
        <v>336</v>
      </c>
      <c r="I213" s="3184">
        <v>38723</v>
      </c>
    </row>
    <row r="214" spans="1:9">
      <c r="A214" s="3185">
        <v>44031</v>
      </c>
      <c r="B214" s="3184" t="s">
        <v>3507</v>
      </c>
      <c r="C214" s="3184">
        <v>67</v>
      </c>
      <c r="D214" s="3184" t="s">
        <v>3535</v>
      </c>
      <c r="E214" s="3184" t="s">
        <v>3505</v>
      </c>
      <c r="F214" s="3184">
        <v>318</v>
      </c>
      <c r="G214" s="3185">
        <v>43960</v>
      </c>
      <c r="H214" s="3184">
        <v>310</v>
      </c>
      <c r="I214" s="3184">
        <v>46029</v>
      </c>
    </row>
    <row r="215" spans="1:9">
      <c r="A215" s="3185">
        <v>44030</v>
      </c>
      <c r="B215" s="3184" t="s">
        <v>3504</v>
      </c>
      <c r="C215" s="3184">
        <v>70</v>
      </c>
      <c r="D215" s="3184" t="s">
        <v>3553</v>
      </c>
      <c r="E215" s="3184" t="s">
        <v>3469</v>
      </c>
      <c r="F215" s="3184">
        <v>0</v>
      </c>
      <c r="G215" s="3184" t="s">
        <v>3506</v>
      </c>
      <c r="H215" s="3184">
        <v>370</v>
      </c>
      <c r="I215" s="3184">
        <v>52587</v>
      </c>
    </row>
    <row r="216" spans="1:9">
      <c r="A216" s="3185">
        <v>44029</v>
      </c>
      <c r="B216" s="3184" t="s">
        <v>3516</v>
      </c>
      <c r="C216" s="3184">
        <v>107</v>
      </c>
      <c r="D216" s="3184" t="s">
        <v>3569</v>
      </c>
      <c r="E216" s="3184" t="s">
        <v>3469</v>
      </c>
      <c r="F216" s="3184">
        <v>467</v>
      </c>
      <c r="G216" s="3185">
        <v>43621</v>
      </c>
      <c r="H216" s="3184">
        <v>436</v>
      </c>
      <c r="I216" s="3184">
        <v>40596</v>
      </c>
    </row>
    <row r="217" spans="1:9">
      <c r="A217" s="3185">
        <v>44026</v>
      </c>
      <c r="B217" s="3184" t="s">
        <v>3507</v>
      </c>
      <c r="C217" s="3184">
        <v>69</v>
      </c>
      <c r="D217" s="3184" t="s">
        <v>3543</v>
      </c>
      <c r="E217" s="3184" t="s">
        <v>3509</v>
      </c>
      <c r="F217" s="3184">
        <v>346</v>
      </c>
      <c r="G217" s="3185">
        <v>43632</v>
      </c>
      <c r="H217" s="3184">
        <v>342</v>
      </c>
      <c r="I217" s="3184">
        <v>49266</v>
      </c>
    </row>
    <row r="218" spans="1:9">
      <c r="A218" s="3185">
        <v>44019</v>
      </c>
      <c r="B218" s="3184" t="s">
        <v>3507</v>
      </c>
      <c r="C218" s="3184">
        <v>69</v>
      </c>
      <c r="D218" s="3184" t="s">
        <v>3535</v>
      </c>
      <c r="E218" s="3184" t="s">
        <v>3509</v>
      </c>
      <c r="F218" s="3184">
        <v>357</v>
      </c>
      <c r="G218" s="3185">
        <v>43955</v>
      </c>
      <c r="H218" s="3184">
        <v>350</v>
      </c>
      <c r="I218" s="3184">
        <v>50418</v>
      </c>
    </row>
    <row r="219" spans="1:9">
      <c r="A219" s="3185">
        <v>44010</v>
      </c>
      <c r="B219" s="3184" t="s">
        <v>3507</v>
      </c>
      <c r="C219" s="3184">
        <v>65</v>
      </c>
      <c r="D219" s="3184" t="s">
        <v>3572</v>
      </c>
      <c r="E219" s="3184" t="s">
        <v>3509</v>
      </c>
      <c r="F219" s="3184">
        <v>358</v>
      </c>
      <c r="G219" s="3185">
        <v>43820</v>
      </c>
      <c r="H219" s="3184">
        <v>350</v>
      </c>
      <c r="I219" s="3184">
        <v>53764</v>
      </c>
    </row>
    <row r="220" spans="1:9">
      <c r="A220" s="3185">
        <v>43986</v>
      </c>
      <c r="B220" s="3184" t="s">
        <v>3514</v>
      </c>
      <c r="C220" s="3184">
        <v>57</v>
      </c>
      <c r="D220" s="3184" t="s">
        <v>3538</v>
      </c>
      <c r="E220" s="3184" t="s">
        <v>3477</v>
      </c>
      <c r="F220" s="3184">
        <v>270</v>
      </c>
      <c r="G220" s="3185">
        <v>43920</v>
      </c>
      <c r="H220" s="3184">
        <v>266</v>
      </c>
      <c r="I220" s="3184">
        <v>46374</v>
      </c>
    </row>
    <row r="221" spans="1:9">
      <c r="A221" s="3185">
        <v>43975</v>
      </c>
      <c r="B221" s="3184" t="s">
        <v>3507</v>
      </c>
      <c r="C221" s="3184">
        <v>56</v>
      </c>
      <c r="D221" s="3184" t="s">
        <v>3532</v>
      </c>
      <c r="E221" s="3184" t="s">
        <v>3509</v>
      </c>
      <c r="F221" s="3184">
        <v>299</v>
      </c>
      <c r="G221" s="3185">
        <v>43584</v>
      </c>
      <c r="H221" s="3184">
        <v>292</v>
      </c>
      <c r="I221" s="3184">
        <v>51274</v>
      </c>
    </row>
    <row r="222" spans="1:9">
      <c r="A222" s="3185">
        <v>43968</v>
      </c>
      <c r="B222" s="3184" t="s">
        <v>3507</v>
      </c>
      <c r="C222" s="3184">
        <v>69</v>
      </c>
      <c r="D222" s="3184" t="s">
        <v>3569</v>
      </c>
      <c r="E222" s="3184" t="s">
        <v>3509</v>
      </c>
      <c r="F222" s="3184">
        <v>348</v>
      </c>
      <c r="G222" s="3185">
        <v>43401</v>
      </c>
      <c r="H222" s="3184">
        <v>330</v>
      </c>
      <c r="I222" s="3184">
        <v>47613</v>
      </c>
    </row>
    <row r="223" spans="1:9">
      <c r="A223" s="3185">
        <v>43955</v>
      </c>
      <c r="B223" s="3184" t="s">
        <v>3523</v>
      </c>
      <c r="C223" s="3184">
        <v>72</v>
      </c>
      <c r="D223" s="3184" t="s">
        <v>3535</v>
      </c>
      <c r="E223" s="3184" t="s">
        <v>3469</v>
      </c>
      <c r="F223" s="3184">
        <v>0</v>
      </c>
      <c r="G223" s="3184" t="s">
        <v>3506</v>
      </c>
      <c r="H223" s="3184">
        <v>362</v>
      </c>
      <c r="I223" s="3184">
        <v>50062</v>
      </c>
    </row>
    <row r="224" spans="1:9">
      <c r="A224" s="3185">
        <v>43935</v>
      </c>
      <c r="B224" s="3184" t="s">
        <v>3578</v>
      </c>
      <c r="C224" s="3184">
        <v>107</v>
      </c>
      <c r="D224" s="3184" t="s">
        <v>3553</v>
      </c>
      <c r="E224" s="3184" t="s">
        <v>3469</v>
      </c>
      <c r="F224" s="3184">
        <v>0</v>
      </c>
      <c r="G224" s="3184" t="s">
        <v>3506</v>
      </c>
      <c r="H224" s="3184">
        <v>478</v>
      </c>
      <c r="I224" s="3184">
        <v>44507</v>
      </c>
    </row>
    <row r="225" spans="1:9">
      <c r="A225" s="3185">
        <v>43927</v>
      </c>
      <c r="B225" s="3184" t="s">
        <v>3507</v>
      </c>
      <c r="C225" s="3184">
        <v>53</v>
      </c>
      <c r="D225" s="3184" t="s">
        <v>3535</v>
      </c>
      <c r="E225" s="3184" t="s">
        <v>3505</v>
      </c>
      <c r="F225" s="3184">
        <v>275</v>
      </c>
      <c r="G225" s="3185">
        <v>43779</v>
      </c>
      <c r="H225" s="3184">
        <v>263</v>
      </c>
      <c r="I225" s="3184">
        <v>49540</v>
      </c>
    </row>
    <row r="226" spans="1:9">
      <c r="A226" s="3185">
        <v>43921</v>
      </c>
      <c r="B226" s="3184" t="s">
        <v>3507</v>
      </c>
      <c r="C226" s="3184">
        <v>84</v>
      </c>
      <c r="D226" s="3184" t="s">
        <v>3569</v>
      </c>
      <c r="E226" s="3184" t="s">
        <v>3509</v>
      </c>
      <c r="F226" s="3184">
        <v>422</v>
      </c>
      <c r="G226" s="3185">
        <v>43702</v>
      </c>
      <c r="H226" s="3184">
        <v>413</v>
      </c>
      <c r="I226" s="3184">
        <v>48606</v>
      </c>
    </row>
    <row r="227" spans="1:9">
      <c r="A227" s="3185">
        <v>43912</v>
      </c>
      <c r="B227" s="3184" t="s">
        <v>3523</v>
      </c>
      <c r="C227" s="3184">
        <v>70</v>
      </c>
      <c r="D227" s="3184" t="s">
        <v>3553</v>
      </c>
      <c r="E227" s="3184" t="s">
        <v>3469</v>
      </c>
      <c r="F227" s="3184">
        <v>0</v>
      </c>
      <c r="G227" s="3184" t="s">
        <v>3506</v>
      </c>
      <c r="H227" s="3184">
        <v>355</v>
      </c>
      <c r="I227" s="3184">
        <v>50455</v>
      </c>
    </row>
    <row r="228" spans="1:9">
      <c r="A228" s="3185">
        <v>43837</v>
      </c>
      <c r="B228" s="3184" t="s">
        <v>3507</v>
      </c>
      <c r="C228" s="3184">
        <v>69</v>
      </c>
      <c r="D228" s="3184" t="s">
        <v>3572</v>
      </c>
      <c r="E228" s="3184" t="s">
        <v>3509</v>
      </c>
      <c r="F228" s="3184">
        <v>322</v>
      </c>
      <c r="G228" s="3185">
        <v>43552</v>
      </c>
      <c r="H228" s="3184">
        <v>300</v>
      </c>
      <c r="I228" s="3184">
        <v>43460</v>
      </c>
    </row>
    <row r="229" spans="1:9">
      <c r="A229" s="3185">
        <v>43822</v>
      </c>
      <c r="B229" s="3184" t="s">
        <v>3504</v>
      </c>
      <c r="C229" s="3184">
        <v>63</v>
      </c>
      <c r="D229" s="3184" t="s">
        <v>3579</v>
      </c>
      <c r="E229" s="3184" t="s">
        <v>3469</v>
      </c>
      <c r="F229" s="3184">
        <v>0</v>
      </c>
      <c r="H229" s="3184">
        <v>182</v>
      </c>
      <c r="I229" s="3184">
        <v>28589</v>
      </c>
    </row>
    <row r="230" spans="1:9">
      <c r="A230" s="3185">
        <v>43811</v>
      </c>
      <c r="B230" s="3184" t="s">
        <v>3507</v>
      </c>
      <c r="C230" s="3184">
        <v>57</v>
      </c>
      <c r="D230" s="3184" t="s">
        <v>3543</v>
      </c>
      <c r="E230" s="3184" t="s">
        <v>3509</v>
      </c>
      <c r="F230" s="3184">
        <v>290</v>
      </c>
      <c r="G230" s="3185">
        <v>43794</v>
      </c>
      <c r="H230" s="3184">
        <v>266</v>
      </c>
      <c r="I230" s="3184">
        <v>46667</v>
      </c>
    </row>
    <row r="231" spans="1:9">
      <c r="A231" s="3185">
        <v>43789</v>
      </c>
      <c r="B231" s="3184" t="s">
        <v>3507</v>
      </c>
      <c r="C231" s="3184">
        <v>70</v>
      </c>
      <c r="D231" s="3184" t="s">
        <v>3544</v>
      </c>
      <c r="E231" s="3184" t="s">
        <v>3509</v>
      </c>
      <c r="F231" s="3184">
        <v>375</v>
      </c>
      <c r="G231" s="3185">
        <v>43748</v>
      </c>
      <c r="H231" s="3184">
        <v>355</v>
      </c>
      <c r="I231" s="3184">
        <v>50455</v>
      </c>
    </row>
    <row r="232" spans="1:9">
      <c r="A232" s="3185">
        <v>43789</v>
      </c>
      <c r="B232" s="3184" t="s">
        <v>3507</v>
      </c>
      <c r="C232" s="3184">
        <v>70</v>
      </c>
      <c r="D232" s="3184" t="s">
        <v>3532</v>
      </c>
      <c r="E232" s="3184" t="s">
        <v>3509</v>
      </c>
      <c r="F232" s="3184">
        <v>365</v>
      </c>
      <c r="G232" s="3185">
        <v>43423</v>
      </c>
      <c r="H232" s="3184">
        <v>355</v>
      </c>
      <c r="I232" s="3184">
        <v>50455</v>
      </c>
    </row>
    <row r="233" spans="1:9">
      <c r="A233" s="3185">
        <v>43787</v>
      </c>
      <c r="B233" s="3184" t="s">
        <v>3523</v>
      </c>
      <c r="C233" s="3184">
        <v>70</v>
      </c>
      <c r="D233" s="3184" t="s">
        <v>3538</v>
      </c>
      <c r="E233" s="3184" t="s">
        <v>3477</v>
      </c>
      <c r="F233" s="3184">
        <v>0</v>
      </c>
      <c r="H233" s="3184">
        <v>337</v>
      </c>
      <c r="I233" s="3184">
        <v>47897</v>
      </c>
    </row>
    <row r="234" spans="1:9">
      <c r="A234" s="3185">
        <v>43774</v>
      </c>
      <c r="B234" s="3184" t="s">
        <v>3510</v>
      </c>
      <c r="C234" s="3184">
        <v>50</v>
      </c>
      <c r="D234" s="3184" t="s">
        <v>3544</v>
      </c>
      <c r="E234" s="3184" t="s">
        <v>3511</v>
      </c>
      <c r="F234" s="3184">
        <v>0</v>
      </c>
      <c r="H234" s="3184">
        <v>245</v>
      </c>
      <c r="I234" s="3184">
        <v>48679</v>
      </c>
    </row>
    <row r="235" spans="1:9">
      <c r="A235" s="3185">
        <v>43773</v>
      </c>
      <c r="B235" s="3184" t="s">
        <v>3507</v>
      </c>
      <c r="C235" s="3184">
        <v>69</v>
      </c>
      <c r="D235" s="3184" t="s">
        <v>3535</v>
      </c>
      <c r="E235" s="3184" t="s">
        <v>3509</v>
      </c>
      <c r="F235" s="3184">
        <v>372</v>
      </c>
      <c r="G235" s="3185">
        <v>43519</v>
      </c>
      <c r="H235" s="3184">
        <v>363</v>
      </c>
      <c r="I235" s="3184">
        <v>52377</v>
      </c>
    </row>
    <row r="236" spans="1:9">
      <c r="A236" s="3185">
        <v>43763</v>
      </c>
      <c r="B236" s="3184" t="s">
        <v>3507</v>
      </c>
      <c r="C236" s="3184">
        <v>64</v>
      </c>
      <c r="D236" s="3184" t="s">
        <v>3580</v>
      </c>
      <c r="E236" s="3184" t="s">
        <v>3509</v>
      </c>
      <c r="F236" s="3184">
        <v>220</v>
      </c>
      <c r="G236" s="3185">
        <v>43671</v>
      </c>
      <c r="H236" s="3184">
        <v>210</v>
      </c>
      <c r="I236" s="3184">
        <v>32629</v>
      </c>
    </row>
    <row r="237" spans="1:9">
      <c r="A237" s="3185">
        <v>43763</v>
      </c>
      <c r="B237" s="3184" t="s">
        <v>3507</v>
      </c>
      <c r="C237" s="3184">
        <v>63</v>
      </c>
      <c r="D237" s="3184" t="s">
        <v>3575</v>
      </c>
      <c r="E237" s="3184" t="s">
        <v>3477</v>
      </c>
      <c r="F237" s="3184">
        <v>206</v>
      </c>
      <c r="G237" s="3185">
        <v>43762</v>
      </c>
      <c r="H237" s="3184">
        <v>206</v>
      </c>
      <c r="I237" s="3184">
        <v>32248</v>
      </c>
    </row>
    <row r="238" spans="1:9">
      <c r="A238" s="3185">
        <v>43761</v>
      </c>
      <c r="B238" s="3184" t="s">
        <v>3507</v>
      </c>
      <c r="C238" s="3184">
        <v>69</v>
      </c>
      <c r="D238" s="3184" t="s">
        <v>3535</v>
      </c>
      <c r="E238" s="3184" t="s">
        <v>3509</v>
      </c>
      <c r="F238" s="3184">
        <v>372</v>
      </c>
      <c r="G238" s="3185">
        <v>43687</v>
      </c>
      <c r="H238" s="3184">
        <v>366</v>
      </c>
      <c r="I238" s="3184">
        <v>52723</v>
      </c>
    </row>
    <row r="239" spans="1:9">
      <c r="A239" s="3185">
        <v>43737</v>
      </c>
      <c r="B239" s="3184" t="s">
        <v>3581</v>
      </c>
      <c r="C239" s="3184">
        <v>63</v>
      </c>
      <c r="D239" s="3184" t="s">
        <v>3569</v>
      </c>
      <c r="E239" s="3184" t="s">
        <v>3509</v>
      </c>
      <c r="F239" s="3184">
        <v>295</v>
      </c>
      <c r="G239" s="3185">
        <v>43596</v>
      </c>
      <c r="H239" s="3184">
        <v>280</v>
      </c>
      <c r="I239" s="3184">
        <v>44311</v>
      </c>
    </row>
    <row r="240" spans="1:9">
      <c r="A240" s="3185">
        <v>43737</v>
      </c>
      <c r="B240" s="3184" t="s">
        <v>3507</v>
      </c>
      <c r="C240" s="3184">
        <v>53</v>
      </c>
      <c r="D240" s="3184" t="s">
        <v>3574</v>
      </c>
      <c r="E240" s="3184" t="s">
        <v>3509</v>
      </c>
      <c r="F240" s="3184">
        <v>330</v>
      </c>
      <c r="G240" s="3185">
        <v>43729</v>
      </c>
      <c r="H240" s="3184">
        <v>313</v>
      </c>
      <c r="I240" s="3184">
        <v>58382</v>
      </c>
    </row>
    <row r="241" spans="1:9">
      <c r="A241" s="3185">
        <v>43716</v>
      </c>
      <c r="B241" s="3184" t="s">
        <v>3514</v>
      </c>
      <c r="C241" s="3184">
        <v>54</v>
      </c>
      <c r="D241" s="3184" t="s">
        <v>3572</v>
      </c>
      <c r="E241" s="3184" t="s">
        <v>3477</v>
      </c>
      <c r="F241" s="3184">
        <v>299</v>
      </c>
      <c r="G241" s="3185">
        <v>43652</v>
      </c>
      <c r="H241" s="3184">
        <v>280</v>
      </c>
      <c r="I241" s="3184">
        <v>51348</v>
      </c>
    </row>
    <row r="242" spans="1:9">
      <c r="A242" s="3185">
        <v>43708</v>
      </c>
      <c r="B242" s="3184" t="s">
        <v>3514</v>
      </c>
      <c r="C242" s="3184">
        <v>55</v>
      </c>
      <c r="D242" s="3184" t="s">
        <v>3535</v>
      </c>
      <c r="E242" s="3184" t="s">
        <v>3520</v>
      </c>
      <c r="F242" s="3184">
        <v>249</v>
      </c>
      <c r="G242" s="3185">
        <v>43573</v>
      </c>
      <c r="H242" s="3184">
        <v>227</v>
      </c>
      <c r="I242" s="3184">
        <v>40660</v>
      </c>
    </row>
    <row r="243" spans="1:9">
      <c r="A243" s="3185">
        <v>43707</v>
      </c>
      <c r="B243" s="3184" t="s">
        <v>3514</v>
      </c>
      <c r="C243" s="3184">
        <v>50</v>
      </c>
      <c r="D243" s="3184" t="s">
        <v>3532</v>
      </c>
      <c r="E243" s="3184" t="s">
        <v>3511</v>
      </c>
      <c r="F243" s="3184">
        <v>280</v>
      </c>
      <c r="G243" s="3185">
        <v>43666</v>
      </c>
      <c r="H243" s="3184">
        <v>262</v>
      </c>
      <c r="I243" s="3184">
        <v>52156</v>
      </c>
    </row>
    <row r="244" spans="1:9">
      <c r="A244" s="3185">
        <v>43700</v>
      </c>
      <c r="B244" s="3184" t="s">
        <v>3507</v>
      </c>
      <c r="C244" s="3184">
        <v>69</v>
      </c>
      <c r="D244" s="3184" t="s">
        <v>3508</v>
      </c>
      <c r="E244" s="3184" t="s">
        <v>3505</v>
      </c>
      <c r="F244" s="3184">
        <v>100</v>
      </c>
      <c r="G244" s="3185">
        <v>43699</v>
      </c>
      <c r="H244" s="3184">
        <v>133</v>
      </c>
      <c r="I244" s="3184">
        <v>19125</v>
      </c>
    </row>
    <row r="245" spans="1:9">
      <c r="A245" s="3185">
        <v>43671</v>
      </c>
      <c r="B245" s="3184" t="s">
        <v>3516</v>
      </c>
      <c r="C245" s="3184">
        <v>65</v>
      </c>
      <c r="D245" s="3184" t="s">
        <v>3535</v>
      </c>
      <c r="E245" s="3184" t="s">
        <v>3509</v>
      </c>
      <c r="F245" s="3184">
        <v>338</v>
      </c>
      <c r="G245" s="3185">
        <v>43537</v>
      </c>
      <c r="H245" s="3184">
        <v>309</v>
      </c>
      <c r="I245" s="3184">
        <v>47162</v>
      </c>
    </row>
    <row r="246" spans="1:9">
      <c r="A246" s="3185">
        <v>43664</v>
      </c>
      <c r="B246" s="3184" t="s">
        <v>3504</v>
      </c>
      <c r="C246" s="3184">
        <v>69</v>
      </c>
      <c r="D246" s="3184" t="s">
        <v>3535</v>
      </c>
      <c r="E246" s="3184" t="s">
        <v>3505</v>
      </c>
      <c r="F246" s="3184">
        <v>0</v>
      </c>
      <c r="H246" s="3184">
        <v>366</v>
      </c>
      <c r="I246" s="3184">
        <v>52723</v>
      </c>
    </row>
    <row r="247" spans="1:9">
      <c r="A247" s="3185">
        <v>43653</v>
      </c>
      <c r="B247" s="3184" t="s">
        <v>3504</v>
      </c>
      <c r="C247" s="3184">
        <v>69</v>
      </c>
      <c r="D247" s="3184" t="s">
        <v>3532</v>
      </c>
      <c r="E247" s="3184" t="s">
        <v>3505</v>
      </c>
      <c r="F247" s="3184">
        <v>0</v>
      </c>
      <c r="H247" s="3184">
        <v>362</v>
      </c>
      <c r="I247" s="3184">
        <v>52146</v>
      </c>
    </row>
    <row r="248" spans="1:9">
      <c r="A248" s="3185">
        <v>43587</v>
      </c>
      <c r="B248" s="3184" t="s">
        <v>3507</v>
      </c>
      <c r="C248" s="3184">
        <v>69</v>
      </c>
      <c r="D248" s="3184" t="s">
        <v>3532</v>
      </c>
      <c r="E248" s="3184" t="s">
        <v>3509</v>
      </c>
      <c r="F248" s="3184">
        <v>370</v>
      </c>
      <c r="G248" s="3185">
        <v>43580</v>
      </c>
      <c r="H248" s="3184">
        <v>363</v>
      </c>
      <c r="I248" s="3184">
        <v>52291</v>
      </c>
    </row>
    <row r="249" spans="1:9">
      <c r="A249" s="3185">
        <v>43583</v>
      </c>
      <c r="B249" s="3184" t="s">
        <v>3507</v>
      </c>
      <c r="C249" s="3184">
        <v>97</v>
      </c>
      <c r="D249" s="3184" t="s">
        <v>3535</v>
      </c>
      <c r="E249" s="3184" t="s">
        <v>3520</v>
      </c>
      <c r="F249" s="3184">
        <v>476</v>
      </c>
      <c r="G249" s="3185">
        <v>43357</v>
      </c>
      <c r="H249" s="3184">
        <v>469</v>
      </c>
      <c r="I249" s="3184">
        <v>48199</v>
      </c>
    </row>
    <row r="250" spans="1:9">
      <c r="A250" s="3185">
        <v>43543</v>
      </c>
      <c r="B250" s="3184" t="s">
        <v>3526</v>
      </c>
      <c r="C250" s="3184">
        <v>101</v>
      </c>
      <c r="D250" s="3184" t="s">
        <v>3538</v>
      </c>
      <c r="E250" s="3184" t="s">
        <v>3582</v>
      </c>
      <c r="F250" s="3184">
        <v>560</v>
      </c>
      <c r="G250" s="3185">
        <v>43390</v>
      </c>
      <c r="H250" s="3184">
        <v>550</v>
      </c>
      <c r="I250" s="3184">
        <v>54012</v>
      </c>
    </row>
    <row r="251" spans="1:9">
      <c r="A251" s="3185">
        <v>43543</v>
      </c>
      <c r="B251" s="3184" t="s">
        <v>3507</v>
      </c>
      <c r="C251" s="3184">
        <v>70</v>
      </c>
      <c r="D251" s="3184" t="s">
        <v>3543</v>
      </c>
      <c r="E251" s="3184" t="s">
        <v>3477</v>
      </c>
      <c r="F251" s="3184">
        <v>360</v>
      </c>
      <c r="G251" s="3185">
        <v>43523</v>
      </c>
      <c r="H251" s="3184">
        <v>349</v>
      </c>
      <c r="I251" s="3184">
        <v>49929</v>
      </c>
    </row>
    <row r="252" spans="1:9">
      <c r="A252" s="3185">
        <v>43541</v>
      </c>
      <c r="B252" s="3184" t="s">
        <v>3516</v>
      </c>
      <c r="C252" s="3184">
        <v>64</v>
      </c>
      <c r="D252" s="3184" t="s">
        <v>3572</v>
      </c>
      <c r="E252" s="3184" t="s">
        <v>3509</v>
      </c>
      <c r="F252" s="3184">
        <v>350</v>
      </c>
      <c r="G252" s="3185">
        <v>43473</v>
      </c>
      <c r="H252" s="3184">
        <v>342</v>
      </c>
      <c r="I252" s="3184">
        <v>52729</v>
      </c>
    </row>
    <row r="253" spans="1:9">
      <c r="A253" s="3185">
        <v>43529</v>
      </c>
      <c r="B253" s="3184" t="s">
        <v>3507</v>
      </c>
      <c r="C253" s="3184">
        <v>69</v>
      </c>
      <c r="D253" s="3184" t="s">
        <v>3535</v>
      </c>
      <c r="E253" s="3184" t="s">
        <v>3509</v>
      </c>
      <c r="F253" s="3184">
        <v>378</v>
      </c>
      <c r="G253" s="3185">
        <v>43432</v>
      </c>
      <c r="H253" s="3184">
        <v>367</v>
      </c>
      <c r="I253" s="3184">
        <v>52867</v>
      </c>
    </row>
    <row r="254" spans="1:9">
      <c r="A254" s="3185">
        <v>43488</v>
      </c>
      <c r="B254" s="3184" t="s">
        <v>3507</v>
      </c>
      <c r="C254" s="3184">
        <v>69</v>
      </c>
      <c r="D254" s="3184" t="s">
        <v>3543</v>
      </c>
      <c r="E254" s="3184" t="s">
        <v>3509</v>
      </c>
      <c r="F254" s="3184">
        <v>369</v>
      </c>
      <c r="G254" s="3185">
        <v>43238</v>
      </c>
      <c r="H254" s="3184">
        <v>360</v>
      </c>
      <c r="I254" s="3184">
        <v>51859</v>
      </c>
    </row>
    <row r="255" spans="1:9">
      <c r="A255" s="3185">
        <v>43474</v>
      </c>
      <c r="B255" s="3184" t="s">
        <v>3504</v>
      </c>
      <c r="C255" s="3184">
        <v>63</v>
      </c>
      <c r="D255" s="3184" t="s">
        <v>3543</v>
      </c>
      <c r="E255" s="3184" t="s">
        <v>3469</v>
      </c>
      <c r="F255" s="3184">
        <v>0</v>
      </c>
      <c r="H255" s="3184">
        <v>300</v>
      </c>
      <c r="I255" s="3184">
        <v>47476</v>
      </c>
    </row>
    <row r="256" spans="1:9">
      <c r="A256" s="3185">
        <v>43471</v>
      </c>
      <c r="B256" s="3184" t="s">
        <v>3504</v>
      </c>
      <c r="C256" s="3184">
        <v>52</v>
      </c>
      <c r="D256" s="3184" t="s">
        <v>3535</v>
      </c>
      <c r="E256" s="3184" t="s">
        <v>3546</v>
      </c>
      <c r="F256" s="3184">
        <v>0</v>
      </c>
      <c r="H256" s="3184">
        <v>255</v>
      </c>
      <c r="I256" s="3184">
        <v>48720</v>
      </c>
    </row>
    <row r="257" spans="1:9">
      <c r="A257" s="3185">
        <v>43457</v>
      </c>
      <c r="B257" s="3184" t="s">
        <v>3507</v>
      </c>
      <c r="C257" s="3184">
        <v>69</v>
      </c>
      <c r="D257" s="3184" t="s">
        <v>3535</v>
      </c>
      <c r="E257" s="3184" t="s">
        <v>3509</v>
      </c>
      <c r="F257" s="3184">
        <v>379</v>
      </c>
      <c r="G257" s="3185">
        <v>43352</v>
      </c>
      <c r="H257" s="3184">
        <v>368</v>
      </c>
      <c r="I257" s="3184">
        <v>53011</v>
      </c>
    </row>
    <row r="258" spans="1:9">
      <c r="A258" s="3185">
        <v>43456</v>
      </c>
      <c r="B258" s="3184" t="s">
        <v>3504</v>
      </c>
      <c r="C258" s="3184">
        <v>63</v>
      </c>
      <c r="D258" s="3184" t="s">
        <v>3532</v>
      </c>
      <c r="E258" s="3184" t="s">
        <v>3469</v>
      </c>
      <c r="F258" s="3184">
        <v>0</v>
      </c>
      <c r="H258" s="3184">
        <v>335</v>
      </c>
      <c r="I258" s="3184">
        <v>52524</v>
      </c>
    </row>
    <row r="259" spans="1:9">
      <c r="A259" s="3185">
        <v>43451</v>
      </c>
      <c r="B259" s="3184" t="s">
        <v>3507</v>
      </c>
      <c r="C259" s="3184">
        <v>50</v>
      </c>
      <c r="D259" s="3184" t="s">
        <v>3572</v>
      </c>
      <c r="E259" s="3184" t="s">
        <v>3509</v>
      </c>
      <c r="F259" s="3184">
        <v>270</v>
      </c>
      <c r="G259" s="3185">
        <v>43408</v>
      </c>
      <c r="H259" s="3184">
        <v>254</v>
      </c>
      <c r="I259" s="3184">
        <v>50518</v>
      </c>
    </row>
    <row r="260" spans="1:9">
      <c r="A260" s="3185">
        <v>43433</v>
      </c>
      <c r="B260" s="3184" t="s">
        <v>3507</v>
      </c>
      <c r="C260" s="3184">
        <v>70</v>
      </c>
      <c r="D260" s="3184" t="s">
        <v>3553</v>
      </c>
      <c r="E260" s="3184" t="s">
        <v>3509</v>
      </c>
      <c r="F260" s="3184">
        <v>375</v>
      </c>
      <c r="G260" s="3185">
        <v>43429</v>
      </c>
      <c r="H260" s="3184">
        <v>360</v>
      </c>
      <c r="I260" s="3184">
        <v>51166</v>
      </c>
    </row>
    <row r="261" spans="1:9">
      <c r="A261" s="3185">
        <v>43432</v>
      </c>
      <c r="B261" s="3184" t="s">
        <v>3507</v>
      </c>
      <c r="C261" s="3184">
        <v>69</v>
      </c>
      <c r="D261" s="3184" t="s">
        <v>3572</v>
      </c>
      <c r="E261" s="3184" t="s">
        <v>3509</v>
      </c>
      <c r="F261" s="3184">
        <v>378</v>
      </c>
      <c r="G261" s="3185">
        <v>43351</v>
      </c>
      <c r="H261" s="3184">
        <v>367</v>
      </c>
      <c r="I261" s="3184">
        <v>52867</v>
      </c>
    </row>
    <row r="262" spans="1:9">
      <c r="A262" s="3185">
        <v>43427</v>
      </c>
      <c r="B262" s="3184" t="s">
        <v>3507</v>
      </c>
      <c r="C262" s="3184">
        <v>73</v>
      </c>
      <c r="D262" s="3184" t="s">
        <v>3574</v>
      </c>
      <c r="E262" s="3184" t="s">
        <v>3509</v>
      </c>
      <c r="F262" s="3184">
        <v>134</v>
      </c>
      <c r="G262" s="3185">
        <v>43427</v>
      </c>
      <c r="H262" s="3184">
        <v>134</v>
      </c>
      <c r="I262" s="3184">
        <v>18349</v>
      </c>
    </row>
    <row r="263" spans="1:9">
      <c r="A263" s="3185">
        <v>43397</v>
      </c>
      <c r="B263" s="3184" t="s">
        <v>3504</v>
      </c>
      <c r="C263" s="3184">
        <v>56</v>
      </c>
      <c r="D263" s="3184" t="s">
        <v>3535</v>
      </c>
      <c r="E263" s="3184" t="s">
        <v>3469</v>
      </c>
      <c r="F263" s="3184">
        <v>0</v>
      </c>
      <c r="H263" s="3184">
        <v>313</v>
      </c>
      <c r="I263" s="3184">
        <v>55350</v>
      </c>
    </row>
    <row r="264" spans="1:9">
      <c r="A264" s="3185">
        <v>43382</v>
      </c>
      <c r="B264" s="3184" t="s">
        <v>3507</v>
      </c>
      <c r="C264" s="3184">
        <v>54</v>
      </c>
      <c r="D264" s="3184" t="s">
        <v>3535</v>
      </c>
      <c r="E264" s="3184" t="s">
        <v>3509</v>
      </c>
      <c r="F264" s="3184">
        <v>290</v>
      </c>
      <c r="G264" s="3185">
        <v>43345</v>
      </c>
      <c r="H264" s="3184">
        <v>275</v>
      </c>
      <c r="I264" s="3184">
        <v>50468</v>
      </c>
    </row>
    <row r="265" spans="1:9">
      <c r="A265" s="3185">
        <v>43380</v>
      </c>
      <c r="B265" s="3184" t="s">
        <v>3507</v>
      </c>
      <c r="C265" s="3184">
        <v>54</v>
      </c>
      <c r="D265" s="3184" t="s">
        <v>3535</v>
      </c>
      <c r="E265" s="3184" t="s">
        <v>3509</v>
      </c>
      <c r="F265" s="3184">
        <v>298</v>
      </c>
      <c r="G265" s="3185">
        <v>43330</v>
      </c>
      <c r="H265" s="3184">
        <v>288</v>
      </c>
      <c r="I265" s="3184">
        <v>52854</v>
      </c>
    </row>
    <row r="266" spans="1:9">
      <c r="A266" s="3185">
        <v>43353</v>
      </c>
      <c r="B266" s="3184" t="s">
        <v>3507</v>
      </c>
      <c r="C266" s="3184">
        <v>69</v>
      </c>
      <c r="D266" s="3184" t="s">
        <v>3583</v>
      </c>
      <c r="E266" s="3184" t="s">
        <v>3509</v>
      </c>
      <c r="F266" s="3184">
        <v>388</v>
      </c>
      <c r="G266" s="3185">
        <v>43304</v>
      </c>
      <c r="H266" s="3184">
        <v>380</v>
      </c>
      <c r="I266" s="3184">
        <v>54387</v>
      </c>
    </row>
    <row r="267" spans="1:9">
      <c r="A267" s="3185">
        <v>43346</v>
      </c>
      <c r="B267" s="3184" t="s">
        <v>3507</v>
      </c>
      <c r="C267" s="3184">
        <v>69</v>
      </c>
      <c r="D267" s="3184" t="s">
        <v>3543</v>
      </c>
      <c r="E267" s="3184" t="s">
        <v>3509</v>
      </c>
      <c r="F267" s="3184">
        <v>373</v>
      </c>
      <c r="G267" s="3185">
        <v>43164</v>
      </c>
      <c r="H267" s="3184">
        <v>370</v>
      </c>
      <c r="I267" s="3184">
        <v>53299</v>
      </c>
    </row>
    <row r="268" spans="1:9">
      <c r="A268" s="3185">
        <v>43318</v>
      </c>
      <c r="B268" s="3184" t="s">
        <v>3507</v>
      </c>
      <c r="C268" s="3184">
        <v>55</v>
      </c>
      <c r="D268" s="3184" t="s">
        <v>3535</v>
      </c>
      <c r="E268" s="3184" t="s">
        <v>3509</v>
      </c>
      <c r="F268" s="3184">
        <v>320</v>
      </c>
      <c r="G268" s="3185">
        <v>43314</v>
      </c>
      <c r="H268" s="3184">
        <v>316</v>
      </c>
      <c r="I268" s="3184">
        <v>57133</v>
      </c>
    </row>
    <row r="269" spans="1:9">
      <c r="A269" s="3185">
        <v>43292</v>
      </c>
      <c r="B269" s="3184" t="s">
        <v>3507</v>
      </c>
      <c r="C269" s="3184">
        <v>69</v>
      </c>
      <c r="D269" s="3184" t="s">
        <v>3572</v>
      </c>
      <c r="E269" s="3184" t="s">
        <v>3509</v>
      </c>
      <c r="F269" s="3184">
        <v>380</v>
      </c>
      <c r="G269" s="3185">
        <v>43163</v>
      </c>
      <c r="H269" s="3184">
        <v>370</v>
      </c>
      <c r="I269" s="3184">
        <v>53299</v>
      </c>
    </row>
    <row r="270" spans="1:9">
      <c r="A270" s="3185">
        <v>43284</v>
      </c>
      <c r="B270" s="3184" t="s">
        <v>3507</v>
      </c>
      <c r="C270" s="3184">
        <v>71</v>
      </c>
      <c r="D270" s="3184" t="s">
        <v>3583</v>
      </c>
      <c r="E270" s="3184" t="s">
        <v>3584</v>
      </c>
      <c r="F270" s="3184">
        <v>353</v>
      </c>
      <c r="G270" s="3185">
        <v>43138</v>
      </c>
      <c r="H270" s="3184">
        <v>346</v>
      </c>
      <c r="I270" s="3184">
        <v>48381</v>
      </c>
    </row>
    <row r="271" spans="1:9">
      <c r="A271" s="3185">
        <v>43278</v>
      </c>
      <c r="B271" s="3184" t="s">
        <v>3507</v>
      </c>
      <c r="C271" s="3184">
        <v>69</v>
      </c>
      <c r="D271" s="3184" t="s">
        <v>3543</v>
      </c>
      <c r="E271" s="3184" t="s">
        <v>3509</v>
      </c>
      <c r="F271" s="3184">
        <v>385</v>
      </c>
      <c r="G271" s="3185">
        <v>43197</v>
      </c>
      <c r="H271" s="3184">
        <v>376</v>
      </c>
      <c r="I271" s="3184">
        <v>54164</v>
      </c>
    </row>
    <row r="272" spans="1:9">
      <c r="A272" s="3185">
        <v>43272</v>
      </c>
      <c r="B272" s="3184" t="s">
        <v>3514</v>
      </c>
      <c r="C272" s="3184">
        <v>55</v>
      </c>
      <c r="D272" s="3184" t="s">
        <v>3532</v>
      </c>
      <c r="E272" s="3184" t="s">
        <v>3509</v>
      </c>
      <c r="F272" s="3184">
        <v>320</v>
      </c>
      <c r="G272" s="3185">
        <v>43243</v>
      </c>
      <c r="H272" s="3184">
        <v>309</v>
      </c>
      <c r="I272" s="3184">
        <v>55726</v>
      </c>
    </row>
    <row r="273" spans="1:9">
      <c r="A273" s="3185">
        <v>43271</v>
      </c>
      <c r="B273" s="3184" t="s">
        <v>3516</v>
      </c>
      <c r="C273" s="3184">
        <v>95</v>
      </c>
      <c r="D273" s="3184" t="s">
        <v>3538</v>
      </c>
      <c r="E273" s="3184" t="s">
        <v>3520</v>
      </c>
      <c r="F273" s="3184">
        <v>488</v>
      </c>
      <c r="G273" s="3185">
        <v>43163</v>
      </c>
      <c r="H273" s="3184">
        <v>468</v>
      </c>
      <c r="I273" s="3184">
        <v>48878</v>
      </c>
    </row>
    <row r="274" spans="1:9">
      <c r="A274" s="3185">
        <v>43271</v>
      </c>
      <c r="B274" s="3184" t="s">
        <v>3507</v>
      </c>
      <c r="C274" s="3184">
        <v>55</v>
      </c>
      <c r="D274" s="3184" t="s">
        <v>3572</v>
      </c>
      <c r="E274" s="3184" t="s">
        <v>3509</v>
      </c>
      <c r="F274" s="3184">
        <v>298</v>
      </c>
      <c r="G274" s="3185">
        <v>43257</v>
      </c>
      <c r="H274" s="3184">
        <v>280</v>
      </c>
      <c r="I274" s="3184">
        <v>50624</v>
      </c>
    </row>
    <row r="275" spans="1:9">
      <c r="A275" s="3185">
        <v>43264</v>
      </c>
      <c r="B275" s="3184" t="s">
        <v>3504</v>
      </c>
      <c r="C275" s="3184">
        <v>68</v>
      </c>
      <c r="D275" s="3184" t="s">
        <v>3553</v>
      </c>
      <c r="E275" s="3184" t="s">
        <v>3477</v>
      </c>
      <c r="F275" s="3184">
        <v>0</v>
      </c>
      <c r="H275" s="3184">
        <v>348</v>
      </c>
      <c r="I275" s="3184">
        <v>50907</v>
      </c>
    </row>
    <row r="276" spans="1:9">
      <c r="A276" s="3185">
        <v>43259</v>
      </c>
      <c r="B276" s="3184" t="s">
        <v>3534</v>
      </c>
      <c r="C276" s="3184">
        <v>38</v>
      </c>
      <c r="D276" s="3184" t="s">
        <v>3535</v>
      </c>
      <c r="E276" s="3184" t="s">
        <v>3522</v>
      </c>
      <c r="F276" s="3184">
        <v>248</v>
      </c>
      <c r="G276" s="3185">
        <v>43250</v>
      </c>
      <c r="H276" s="3184">
        <v>239</v>
      </c>
      <c r="I276" s="3184">
        <v>62615</v>
      </c>
    </row>
    <row r="277" spans="1:9">
      <c r="A277" s="3185">
        <v>43247</v>
      </c>
      <c r="B277" s="3184" t="s">
        <v>3507</v>
      </c>
      <c r="C277" s="3184">
        <v>69</v>
      </c>
      <c r="D277" s="3184" t="s">
        <v>3532</v>
      </c>
      <c r="E277" s="3184" t="s">
        <v>3509</v>
      </c>
      <c r="F277" s="3184">
        <v>385</v>
      </c>
      <c r="G277" s="3185">
        <v>43215</v>
      </c>
      <c r="H277" s="3184">
        <v>377</v>
      </c>
      <c r="I277" s="3184">
        <v>54423</v>
      </c>
    </row>
    <row r="278" spans="1:9">
      <c r="A278" s="3185">
        <v>43210</v>
      </c>
      <c r="B278" s="3184" t="s">
        <v>3514</v>
      </c>
      <c r="C278" s="3184">
        <v>55</v>
      </c>
      <c r="D278" s="3184" t="s">
        <v>3535</v>
      </c>
      <c r="E278" s="3184" t="s">
        <v>3509</v>
      </c>
      <c r="F278" s="3184">
        <v>305</v>
      </c>
      <c r="G278" s="3185">
        <v>43188</v>
      </c>
      <c r="H278" s="3184">
        <v>292</v>
      </c>
      <c r="I278" s="3184">
        <v>52405</v>
      </c>
    </row>
    <row r="279" spans="1:9">
      <c r="A279" s="3185">
        <v>43209</v>
      </c>
      <c r="B279" s="3184" t="s">
        <v>3534</v>
      </c>
      <c r="C279" s="3184">
        <v>38</v>
      </c>
      <c r="D279" s="3184" t="s">
        <v>3532</v>
      </c>
      <c r="E279" s="3184" t="s">
        <v>3522</v>
      </c>
      <c r="F279" s="3184">
        <v>218</v>
      </c>
      <c r="G279" s="3185">
        <v>43195</v>
      </c>
      <c r="H279" s="3184">
        <v>215</v>
      </c>
      <c r="I279" s="3184">
        <v>56195</v>
      </c>
    </row>
    <row r="280" spans="1:9">
      <c r="A280" s="3185">
        <v>43208</v>
      </c>
      <c r="B280" s="3184" t="s">
        <v>3504</v>
      </c>
      <c r="C280" s="3184">
        <v>52</v>
      </c>
      <c r="D280" s="3184" t="s">
        <v>3543</v>
      </c>
      <c r="E280" s="3184" t="s">
        <v>3546</v>
      </c>
      <c r="F280" s="3184">
        <v>0</v>
      </c>
      <c r="H280" s="3184">
        <v>269</v>
      </c>
      <c r="I280" s="3184">
        <v>51609</v>
      </c>
    </row>
    <row r="281" spans="1:9">
      <c r="A281" s="3185">
        <v>43198</v>
      </c>
      <c r="B281" s="3184" t="s">
        <v>3507</v>
      </c>
      <c r="C281" s="3184">
        <v>57</v>
      </c>
      <c r="D281" s="3184" t="s">
        <v>3569</v>
      </c>
      <c r="E281" s="3184" t="s">
        <v>3509</v>
      </c>
      <c r="F281" s="3184">
        <v>288</v>
      </c>
      <c r="G281" s="3185">
        <v>42826</v>
      </c>
      <c r="H281" s="3184">
        <v>275</v>
      </c>
      <c r="I281" s="3184">
        <v>47885</v>
      </c>
    </row>
    <row r="282" spans="1:9">
      <c r="A282" s="3185">
        <v>43194</v>
      </c>
      <c r="B282" s="3184" t="s">
        <v>3507</v>
      </c>
      <c r="C282" s="3184">
        <v>70</v>
      </c>
      <c r="D282" s="3184" t="s">
        <v>3544</v>
      </c>
      <c r="E282" s="3184" t="s">
        <v>3509</v>
      </c>
      <c r="F282" s="3184">
        <v>390</v>
      </c>
      <c r="G282" s="3185">
        <v>43076</v>
      </c>
      <c r="H282" s="3184">
        <v>377</v>
      </c>
      <c r="I282" s="3184">
        <v>53582</v>
      </c>
    </row>
    <row r="283" spans="1:9">
      <c r="A283" s="3185">
        <v>43183</v>
      </c>
      <c r="B283" s="3184" t="s">
        <v>3507</v>
      </c>
      <c r="C283" s="3184">
        <v>71</v>
      </c>
      <c r="D283" s="3184" t="s">
        <v>3543</v>
      </c>
      <c r="E283" s="3184" t="s">
        <v>3509</v>
      </c>
      <c r="F283" s="3184">
        <v>365</v>
      </c>
      <c r="G283" s="3185">
        <v>43156</v>
      </c>
      <c r="H283" s="3184">
        <v>345</v>
      </c>
      <c r="I283" s="3184">
        <v>48091</v>
      </c>
    </row>
    <row r="284" spans="1:9">
      <c r="A284" s="3185">
        <v>43173</v>
      </c>
      <c r="B284" s="3184" t="s">
        <v>3507</v>
      </c>
      <c r="C284" s="3184">
        <v>56</v>
      </c>
      <c r="D284" s="3184" t="s">
        <v>3569</v>
      </c>
      <c r="E284" s="3184" t="s">
        <v>3511</v>
      </c>
      <c r="F284" s="3184">
        <v>310</v>
      </c>
      <c r="G284" s="3185">
        <v>43139</v>
      </c>
      <c r="H284" s="3184">
        <v>289</v>
      </c>
      <c r="I284" s="3184">
        <v>50800</v>
      </c>
    </row>
    <row r="285" spans="1:9">
      <c r="A285" s="3185">
        <v>43164</v>
      </c>
      <c r="B285" s="3184" t="s">
        <v>3504</v>
      </c>
      <c r="C285" s="3184">
        <v>54</v>
      </c>
      <c r="D285" s="3184" t="s">
        <v>3535</v>
      </c>
      <c r="E285" s="3184" t="s">
        <v>3469</v>
      </c>
      <c r="F285" s="3184">
        <v>0</v>
      </c>
      <c r="H285" s="3184">
        <v>285</v>
      </c>
      <c r="I285" s="3184">
        <v>52303</v>
      </c>
    </row>
    <row r="286" spans="1:9">
      <c r="A286" s="3185">
        <v>43131</v>
      </c>
      <c r="B286" s="3184" t="s">
        <v>3514</v>
      </c>
      <c r="C286" s="3184">
        <v>51</v>
      </c>
      <c r="D286" s="3184" t="s">
        <v>3572</v>
      </c>
      <c r="E286" s="3184" t="s">
        <v>3509</v>
      </c>
      <c r="F286" s="3184">
        <v>298</v>
      </c>
      <c r="G286" s="3185">
        <v>43118</v>
      </c>
      <c r="H286" s="3184">
        <v>266</v>
      </c>
      <c r="I286" s="3184">
        <v>52171</v>
      </c>
    </row>
    <row r="287" spans="1:9">
      <c r="A287" s="3185">
        <v>43130</v>
      </c>
      <c r="B287" s="3184" t="s">
        <v>3507</v>
      </c>
      <c r="C287" s="3184">
        <v>71</v>
      </c>
      <c r="D287" s="3184" t="s">
        <v>3553</v>
      </c>
      <c r="E287" s="3184" t="s">
        <v>3525</v>
      </c>
      <c r="F287" s="3184">
        <v>348</v>
      </c>
      <c r="G287" s="3185">
        <v>42989</v>
      </c>
      <c r="H287" s="3184">
        <v>335</v>
      </c>
      <c r="I287" s="3184">
        <v>46775</v>
      </c>
    </row>
    <row r="288" spans="1:9">
      <c r="A288" s="3185">
        <v>43128</v>
      </c>
      <c r="B288" s="3184" t="s">
        <v>3507</v>
      </c>
      <c r="C288" s="3184">
        <v>54</v>
      </c>
      <c r="D288" s="3184" t="s">
        <v>3543</v>
      </c>
      <c r="E288" s="3184" t="s">
        <v>3509</v>
      </c>
      <c r="F288" s="3184">
        <v>275</v>
      </c>
      <c r="G288" s="3185">
        <v>43023</v>
      </c>
      <c r="H288" s="3184">
        <v>253</v>
      </c>
      <c r="I288" s="3184">
        <v>46431</v>
      </c>
    </row>
    <row r="289" spans="1:9">
      <c r="A289" s="3185">
        <v>43117</v>
      </c>
      <c r="B289" s="3184" t="s">
        <v>3507</v>
      </c>
      <c r="C289" s="3184">
        <v>70</v>
      </c>
      <c r="D289" s="3184" t="s">
        <v>3572</v>
      </c>
      <c r="E289" s="3184" t="s">
        <v>3477</v>
      </c>
      <c r="F289" s="3184">
        <v>368</v>
      </c>
      <c r="G289" s="3185">
        <v>43070</v>
      </c>
      <c r="H289" s="3184">
        <v>341</v>
      </c>
      <c r="I289" s="3184">
        <v>48466</v>
      </c>
    </row>
    <row r="290" spans="1:9">
      <c r="A290" s="3185">
        <v>43110</v>
      </c>
      <c r="B290" s="3184" t="s">
        <v>3516</v>
      </c>
      <c r="C290" s="3184">
        <v>102</v>
      </c>
      <c r="D290" s="3184" t="s">
        <v>3538</v>
      </c>
      <c r="E290" s="3184" t="s">
        <v>3509</v>
      </c>
      <c r="F290" s="3184">
        <v>498</v>
      </c>
      <c r="G290" s="3185">
        <v>42855</v>
      </c>
      <c r="H290" s="3184">
        <v>463</v>
      </c>
      <c r="I290" s="3184">
        <v>45171</v>
      </c>
    </row>
    <row r="291" spans="1:9">
      <c r="A291" s="3185">
        <v>43057</v>
      </c>
      <c r="B291" s="3184" t="s">
        <v>3507</v>
      </c>
      <c r="C291" s="3184">
        <v>54</v>
      </c>
      <c r="D291" s="3184" t="s">
        <v>3535</v>
      </c>
      <c r="E291" s="3184" t="s">
        <v>3509</v>
      </c>
      <c r="F291" s="3184">
        <v>290</v>
      </c>
      <c r="G291" s="3185">
        <v>42970</v>
      </c>
      <c r="H291" s="3184">
        <v>243</v>
      </c>
      <c r="I291" s="3184">
        <v>44596</v>
      </c>
    </row>
    <row r="292" spans="1:9">
      <c r="A292" s="3185">
        <v>43020</v>
      </c>
      <c r="B292" s="3184" t="s">
        <v>3514</v>
      </c>
      <c r="C292" s="3184">
        <v>54</v>
      </c>
      <c r="D292" s="3184" t="s">
        <v>3543</v>
      </c>
      <c r="E292" s="3184" t="s">
        <v>3477</v>
      </c>
      <c r="F292" s="3184">
        <v>288</v>
      </c>
      <c r="G292" s="3185">
        <v>42945</v>
      </c>
      <c r="H292" s="3184">
        <v>266</v>
      </c>
      <c r="I292" s="3184">
        <v>48781</v>
      </c>
    </row>
    <row r="293" spans="1:9">
      <c r="A293" s="3185">
        <v>43003</v>
      </c>
      <c r="B293" s="3184" t="s">
        <v>3507</v>
      </c>
      <c r="C293" s="3184">
        <v>68</v>
      </c>
      <c r="D293" s="3184" t="s">
        <v>3532</v>
      </c>
      <c r="E293" s="3184" t="s">
        <v>3477</v>
      </c>
      <c r="F293" s="3184">
        <v>368</v>
      </c>
      <c r="G293" s="3185">
        <v>42886</v>
      </c>
      <c r="H293" s="3184">
        <v>350</v>
      </c>
      <c r="I293" s="3184">
        <v>51433</v>
      </c>
    </row>
    <row r="294" spans="1:9">
      <c r="A294" s="3185">
        <v>42965</v>
      </c>
      <c r="B294" s="3184" t="s">
        <v>3507</v>
      </c>
      <c r="C294" s="3184">
        <v>56</v>
      </c>
      <c r="D294" s="3184" t="s">
        <v>3569</v>
      </c>
      <c r="E294" s="3184" t="s">
        <v>3509</v>
      </c>
      <c r="F294" s="3184">
        <v>340</v>
      </c>
      <c r="G294" s="3185">
        <v>42805</v>
      </c>
      <c r="H294" s="3184">
        <v>315</v>
      </c>
      <c r="I294" s="3184">
        <v>55448</v>
      </c>
    </row>
    <row r="295" spans="1:9">
      <c r="A295" s="3185">
        <v>42933</v>
      </c>
      <c r="B295" s="3184" t="s">
        <v>3507</v>
      </c>
      <c r="C295" s="3184">
        <v>64</v>
      </c>
      <c r="D295" s="3184" t="s">
        <v>3575</v>
      </c>
      <c r="E295" s="3184" t="s">
        <v>3477</v>
      </c>
      <c r="F295" s="3184">
        <v>248</v>
      </c>
      <c r="G295" s="3185">
        <v>42911</v>
      </c>
      <c r="H295" s="3184">
        <v>241</v>
      </c>
      <c r="I295" s="3184">
        <v>37446</v>
      </c>
    </row>
    <row r="296" spans="1:9">
      <c r="A296" s="3185">
        <v>42911</v>
      </c>
      <c r="B296" s="3184" t="s">
        <v>3507</v>
      </c>
      <c r="C296" s="3184">
        <v>71</v>
      </c>
      <c r="D296" s="3184" t="s">
        <v>3532</v>
      </c>
      <c r="E296" s="3184" t="s">
        <v>3509</v>
      </c>
      <c r="F296" s="3184">
        <v>400</v>
      </c>
      <c r="G296" s="3185">
        <v>42898</v>
      </c>
      <c r="H296" s="3184">
        <v>375</v>
      </c>
      <c r="I296" s="3184">
        <v>52207</v>
      </c>
    </row>
    <row r="297" spans="1:9">
      <c r="A297" s="3185">
        <v>42894</v>
      </c>
      <c r="B297" s="3184" t="s">
        <v>3552</v>
      </c>
      <c r="C297" s="3184">
        <v>92</v>
      </c>
      <c r="D297" s="3184" t="s">
        <v>3543</v>
      </c>
      <c r="F297" s="3184">
        <v>0</v>
      </c>
      <c r="H297" s="3184">
        <v>444</v>
      </c>
      <c r="I297" s="3184">
        <v>48185</v>
      </c>
    </row>
    <row r="298" spans="1:9">
      <c r="A298" s="3185">
        <v>42835</v>
      </c>
      <c r="B298" s="3184" t="s">
        <v>3507</v>
      </c>
      <c r="C298" s="3184">
        <v>72</v>
      </c>
      <c r="D298" s="3184" t="s">
        <v>3535</v>
      </c>
      <c r="E298" s="3184" t="s">
        <v>3509</v>
      </c>
      <c r="F298" s="3184">
        <v>420</v>
      </c>
      <c r="G298" s="3185">
        <v>42820</v>
      </c>
      <c r="H298" s="3184">
        <v>412</v>
      </c>
      <c r="I298" s="3184">
        <v>57088</v>
      </c>
    </row>
    <row r="299" spans="1:9">
      <c r="A299" s="3185">
        <v>42821</v>
      </c>
      <c r="B299" s="3184" t="s">
        <v>3507</v>
      </c>
      <c r="C299" s="3184">
        <v>68</v>
      </c>
      <c r="D299" s="3184" t="s">
        <v>3543</v>
      </c>
      <c r="E299" s="3184" t="s">
        <v>3477</v>
      </c>
      <c r="F299" s="3184">
        <v>415</v>
      </c>
      <c r="G299" s="3185">
        <v>42792</v>
      </c>
      <c r="H299" s="3184">
        <v>410</v>
      </c>
      <c r="I299" s="3184">
        <v>59977</v>
      </c>
    </row>
    <row r="300" spans="1:9">
      <c r="A300" s="3185">
        <v>42816</v>
      </c>
      <c r="B300" s="3184" t="s">
        <v>3507</v>
      </c>
      <c r="C300" s="3184">
        <v>69</v>
      </c>
      <c r="D300" s="3184" t="s">
        <v>3535</v>
      </c>
      <c r="E300" s="3184" t="s">
        <v>3509</v>
      </c>
      <c r="F300" s="3184">
        <v>430</v>
      </c>
      <c r="G300" s="3185">
        <v>42786</v>
      </c>
      <c r="H300" s="3184">
        <v>430</v>
      </c>
      <c r="I300" s="3184">
        <v>61942</v>
      </c>
    </row>
    <row r="301" spans="1:9">
      <c r="A301" s="3185">
        <v>42813</v>
      </c>
      <c r="B301" s="3184" t="s">
        <v>3514</v>
      </c>
      <c r="C301" s="3184">
        <v>50</v>
      </c>
      <c r="D301" s="3184" t="s">
        <v>3535</v>
      </c>
      <c r="E301" s="3184" t="s">
        <v>3511</v>
      </c>
      <c r="F301" s="3184">
        <v>350</v>
      </c>
      <c r="G301" s="3185">
        <v>42810</v>
      </c>
      <c r="H301" s="3184">
        <v>350</v>
      </c>
      <c r="I301" s="3184">
        <v>69542</v>
      </c>
    </row>
    <row r="302" spans="1:9">
      <c r="A302" s="3185">
        <v>42811</v>
      </c>
      <c r="B302" s="3184" t="s">
        <v>3507</v>
      </c>
      <c r="C302" s="3184">
        <v>76</v>
      </c>
      <c r="D302" s="3184" t="s">
        <v>3532</v>
      </c>
      <c r="E302" s="3184" t="s">
        <v>3509</v>
      </c>
      <c r="F302" s="3184">
        <v>460</v>
      </c>
      <c r="G302" s="3185">
        <v>42798</v>
      </c>
      <c r="H302" s="3184">
        <v>465</v>
      </c>
      <c r="I302" s="3184">
        <v>60658</v>
      </c>
    </row>
    <row r="303" spans="1:9">
      <c r="A303" s="3185">
        <v>42809</v>
      </c>
      <c r="B303" s="3184" t="s">
        <v>3507</v>
      </c>
      <c r="C303" s="3184">
        <v>77</v>
      </c>
      <c r="D303" s="3184" t="s">
        <v>3535</v>
      </c>
      <c r="E303" s="3184" t="s">
        <v>3505</v>
      </c>
      <c r="F303" s="3184">
        <v>480</v>
      </c>
      <c r="G303" s="3185">
        <v>42798</v>
      </c>
      <c r="H303" s="3184">
        <v>480</v>
      </c>
      <c r="I303" s="3184">
        <v>62209</v>
      </c>
    </row>
    <row r="304" spans="1:9">
      <c r="A304" s="3185">
        <v>42804</v>
      </c>
      <c r="B304" s="3184" t="s">
        <v>3514</v>
      </c>
      <c r="C304" s="3184">
        <v>55</v>
      </c>
      <c r="D304" s="3184" t="s">
        <v>3535</v>
      </c>
      <c r="E304" s="3184" t="s">
        <v>3509</v>
      </c>
      <c r="F304" s="3184">
        <v>325</v>
      </c>
      <c r="G304" s="3185">
        <v>42775</v>
      </c>
      <c r="H304" s="3184">
        <v>325</v>
      </c>
      <c r="I304" s="3184">
        <v>58328</v>
      </c>
    </row>
    <row r="305" spans="1:9">
      <c r="A305" s="3185">
        <v>42803</v>
      </c>
      <c r="B305" s="3184" t="s">
        <v>3534</v>
      </c>
      <c r="C305" s="3184">
        <v>42</v>
      </c>
      <c r="D305" s="3184" t="s">
        <v>3535</v>
      </c>
      <c r="E305" s="3184" t="s">
        <v>3522</v>
      </c>
      <c r="F305" s="3184">
        <v>253</v>
      </c>
      <c r="G305" s="3185">
        <v>42747</v>
      </c>
      <c r="H305" s="3184">
        <v>257</v>
      </c>
      <c r="I305" s="3184">
        <v>60786</v>
      </c>
    </row>
    <row r="306" spans="1:9">
      <c r="A306" s="3185">
        <v>42798</v>
      </c>
      <c r="B306" s="3184" t="s">
        <v>3534</v>
      </c>
      <c r="C306" s="3184">
        <v>37</v>
      </c>
      <c r="D306" s="3184" t="s">
        <v>3535</v>
      </c>
      <c r="E306" s="3184" t="s">
        <v>3522</v>
      </c>
      <c r="F306" s="3184">
        <v>210</v>
      </c>
      <c r="G306" s="3185">
        <v>42795</v>
      </c>
      <c r="H306" s="3184">
        <v>205</v>
      </c>
      <c r="I306" s="3184">
        <v>55316</v>
      </c>
    </row>
    <row r="307" spans="1:9">
      <c r="A307" s="3185">
        <v>42793</v>
      </c>
      <c r="B307" s="3184" t="s">
        <v>3514</v>
      </c>
      <c r="C307" s="3184">
        <v>43</v>
      </c>
      <c r="D307" s="3184" t="s">
        <v>3574</v>
      </c>
      <c r="E307" s="3184" t="s">
        <v>3477</v>
      </c>
      <c r="F307" s="3184">
        <v>298</v>
      </c>
      <c r="G307" s="3185">
        <v>42784</v>
      </c>
      <c r="H307" s="3184">
        <v>297</v>
      </c>
      <c r="I307" s="3184">
        <v>68371</v>
      </c>
    </row>
    <row r="308" spans="1:9">
      <c r="A308" s="3185">
        <v>42791</v>
      </c>
      <c r="B308" s="3184" t="s">
        <v>3507</v>
      </c>
      <c r="C308" s="3184">
        <v>70</v>
      </c>
      <c r="D308" s="3184" t="s">
        <v>3553</v>
      </c>
      <c r="E308" s="3184" t="s">
        <v>3477</v>
      </c>
      <c r="F308" s="3184">
        <v>400</v>
      </c>
      <c r="G308" s="3185">
        <v>42711</v>
      </c>
      <c r="H308" s="3184">
        <v>370</v>
      </c>
      <c r="I308" s="3184">
        <v>52701</v>
      </c>
    </row>
    <row r="309" spans="1:9">
      <c r="A309" s="3185">
        <v>42786</v>
      </c>
      <c r="B309" s="3184" t="s">
        <v>3507</v>
      </c>
      <c r="C309" s="3184">
        <v>69</v>
      </c>
      <c r="D309" s="3184" t="s">
        <v>3569</v>
      </c>
      <c r="E309" s="3184" t="s">
        <v>3509</v>
      </c>
      <c r="F309" s="3184">
        <v>378</v>
      </c>
      <c r="G309" s="3185">
        <v>42757</v>
      </c>
      <c r="H309" s="3184">
        <v>387</v>
      </c>
      <c r="I309" s="3184">
        <v>55820</v>
      </c>
    </row>
    <row r="310" spans="1:9">
      <c r="A310" s="3185">
        <v>42778</v>
      </c>
      <c r="B310" s="3184" t="s">
        <v>3504</v>
      </c>
      <c r="C310" s="3184">
        <v>69</v>
      </c>
      <c r="D310" s="3184" t="s">
        <v>3532</v>
      </c>
      <c r="E310" s="3184" t="s">
        <v>3469</v>
      </c>
      <c r="F310" s="3184">
        <v>0</v>
      </c>
      <c r="H310" s="3184">
        <v>387</v>
      </c>
      <c r="I310" s="3184">
        <v>55748</v>
      </c>
    </row>
    <row r="311" spans="1:9">
      <c r="A311" s="3185">
        <v>42773</v>
      </c>
      <c r="B311" s="3184" t="s">
        <v>3510</v>
      </c>
      <c r="C311" s="3184">
        <v>58</v>
      </c>
      <c r="D311" s="3184" t="s">
        <v>3543</v>
      </c>
      <c r="E311" s="3184" t="s">
        <v>3469</v>
      </c>
      <c r="F311" s="3184">
        <v>0</v>
      </c>
      <c r="H311" s="3184">
        <v>335</v>
      </c>
      <c r="I311" s="3184">
        <v>56837</v>
      </c>
    </row>
    <row r="312" spans="1:9">
      <c r="A312" s="3185">
        <v>42750</v>
      </c>
      <c r="B312" s="3184" t="s">
        <v>3504</v>
      </c>
      <c r="C312" s="3184">
        <v>69</v>
      </c>
      <c r="D312" s="3184" t="s">
        <v>3585</v>
      </c>
      <c r="E312" s="3184" t="s">
        <v>3469</v>
      </c>
      <c r="F312" s="3184">
        <v>0</v>
      </c>
      <c r="H312" s="3184">
        <v>386</v>
      </c>
      <c r="I312" s="3184">
        <v>55604</v>
      </c>
    </row>
    <row r="313" spans="1:9">
      <c r="A313" s="3185">
        <v>42750</v>
      </c>
      <c r="B313" s="3184" t="s">
        <v>3504</v>
      </c>
      <c r="C313" s="3184">
        <v>69</v>
      </c>
      <c r="D313" s="3184" t="s">
        <v>3586</v>
      </c>
      <c r="E313" s="3184" t="s">
        <v>3469</v>
      </c>
      <c r="F313" s="3184">
        <v>0</v>
      </c>
      <c r="H313" s="3184">
        <v>370</v>
      </c>
      <c r="I313" s="3184">
        <v>53299</v>
      </c>
    </row>
    <row r="314" spans="1:9">
      <c r="A314" s="3185">
        <v>42744</v>
      </c>
      <c r="B314" s="3184" t="s">
        <v>3514</v>
      </c>
      <c r="C314" s="3184">
        <v>54</v>
      </c>
      <c r="D314" s="3184" t="s">
        <v>3532</v>
      </c>
      <c r="E314" s="3184" t="s">
        <v>3477</v>
      </c>
      <c r="F314" s="3184">
        <v>288</v>
      </c>
      <c r="G314" s="3185">
        <v>42743</v>
      </c>
      <c r="H314" s="3184">
        <v>278</v>
      </c>
      <c r="I314" s="3184">
        <v>50982</v>
      </c>
    </row>
    <row r="315" spans="1:9">
      <c r="A315" s="3185">
        <v>42741</v>
      </c>
      <c r="B315" s="3184" t="s">
        <v>3504</v>
      </c>
      <c r="C315" s="3184">
        <v>92</v>
      </c>
      <c r="D315" s="3184" t="s">
        <v>3553</v>
      </c>
      <c r="E315" s="3184" t="s">
        <v>3477</v>
      </c>
      <c r="F315" s="3184">
        <v>0</v>
      </c>
      <c r="H315" s="3184">
        <v>415</v>
      </c>
      <c r="I315" s="3184">
        <v>44967</v>
      </c>
    </row>
    <row r="316" spans="1:9">
      <c r="A316" s="3185">
        <v>42735</v>
      </c>
      <c r="B316" s="3184" t="s">
        <v>3507</v>
      </c>
      <c r="C316" s="3184">
        <v>63</v>
      </c>
      <c r="D316" s="3184" t="s">
        <v>3572</v>
      </c>
      <c r="E316" s="3184" t="s">
        <v>3477</v>
      </c>
      <c r="F316" s="3184">
        <v>229</v>
      </c>
      <c r="G316" s="3185">
        <v>42708</v>
      </c>
      <c r="H316" s="3184">
        <v>218</v>
      </c>
      <c r="I316" s="3184">
        <v>34127</v>
      </c>
    </row>
    <row r="317" spans="1:9">
      <c r="A317" s="3185">
        <v>42730</v>
      </c>
      <c r="B317" s="3184" t="s">
        <v>3507</v>
      </c>
      <c r="C317" s="3184">
        <v>91</v>
      </c>
      <c r="D317" s="3184" t="s">
        <v>3532</v>
      </c>
      <c r="E317" s="3184" t="s">
        <v>3525</v>
      </c>
      <c r="F317" s="3184">
        <v>490</v>
      </c>
      <c r="G317" s="3185">
        <v>42688</v>
      </c>
      <c r="H317" s="3184">
        <v>487</v>
      </c>
      <c r="I317" s="3184">
        <v>53490</v>
      </c>
    </row>
    <row r="318" spans="1:9">
      <c r="A318" s="3185">
        <v>42723</v>
      </c>
      <c r="B318" s="3184" t="s">
        <v>3507</v>
      </c>
      <c r="C318" s="3184">
        <v>54</v>
      </c>
      <c r="D318" s="3184" t="s">
        <v>3535</v>
      </c>
      <c r="E318" s="3184" t="s">
        <v>3509</v>
      </c>
      <c r="F318" s="3184">
        <v>275</v>
      </c>
      <c r="G318" s="3185">
        <v>42721</v>
      </c>
      <c r="H318" s="3184">
        <v>269</v>
      </c>
      <c r="I318" s="3184">
        <v>49367</v>
      </c>
    </row>
    <row r="319" spans="1:9">
      <c r="A319" s="3185">
        <v>42719</v>
      </c>
      <c r="B319" s="3184" t="s">
        <v>3514</v>
      </c>
      <c r="C319" s="3184">
        <v>58</v>
      </c>
      <c r="D319" s="3184" t="s">
        <v>3535</v>
      </c>
      <c r="E319" s="3184" t="s">
        <v>3509</v>
      </c>
      <c r="F319" s="3184">
        <v>300</v>
      </c>
      <c r="G319" s="3185">
        <v>42708</v>
      </c>
      <c r="H319" s="3184">
        <v>287</v>
      </c>
      <c r="I319" s="3184">
        <v>49246</v>
      </c>
    </row>
    <row r="320" spans="1:9">
      <c r="A320" s="3185">
        <v>42714</v>
      </c>
      <c r="B320" s="3184" t="s">
        <v>3504</v>
      </c>
      <c r="C320" s="3184">
        <v>63</v>
      </c>
      <c r="D320" s="3184" t="s">
        <v>3579</v>
      </c>
      <c r="E320" s="3184" t="s">
        <v>3477</v>
      </c>
      <c r="F320" s="3184">
        <v>0</v>
      </c>
      <c r="H320" s="3184">
        <v>208</v>
      </c>
      <c r="I320" s="3184">
        <v>32561</v>
      </c>
    </row>
    <row r="321" spans="1:9">
      <c r="A321" s="3185">
        <v>42703</v>
      </c>
      <c r="B321" s="3184" t="s">
        <v>3507</v>
      </c>
      <c r="C321" s="3184">
        <v>69</v>
      </c>
      <c r="D321" s="3184" t="s">
        <v>3532</v>
      </c>
      <c r="E321" s="3184" t="s">
        <v>3509</v>
      </c>
      <c r="F321" s="3184">
        <v>370</v>
      </c>
      <c r="G321" s="3185">
        <v>42701</v>
      </c>
      <c r="H321" s="3184">
        <v>350</v>
      </c>
      <c r="I321" s="3184">
        <v>50418</v>
      </c>
    </row>
    <row r="322" spans="1:9">
      <c r="A322" s="3185">
        <v>42697</v>
      </c>
      <c r="B322" s="3184" t="s">
        <v>3507</v>
      </c>
      <c r="C322" s="3184">
        <v>54</v>
      </c>
      <c r="D322" s="3184" t="s">
        <v>3572</v>
      </c>
      <c r="E322" s="3184" t="s">
        <v>3509</v>
      </c>
      <c r="F322" s="3184">
        <v>265</v>
      </c>
      <c r="G322" s="3185">
        <v>42680</v>
      </c>
      <c r="H322" s="3184">
        <v>260</v>
      </c>
      <c r="I322" s="3184">
        <v>48149</v>
      </c>
    </row>
    <row r="323" spans="1:9">
      <c r="A323" s="3185">
        <v>42680</v>
      </c>
      <c r="B323" s="3184" t="s">
        <v>3507</v>
      </c>
      <c r="C323" s="3184">
        <v>71</v>
      </c>
      <c r="D323" s="3184" t="s">
        <v>3543</v>
      </c>
      <c r="E323" s="3184" t="s">
        <v>3477</v>
      </c>
      <c r="F323" s="3184">
        <v>350</v>
      </c>
      <c r="G323" s="3185">
        <v>42658</v>
      </c>
      <c r="H323" s="3184">
        <v>332</v>
      </c>
      <c r="I323" s="3184">
        <v>46761</v>
      </c>
    </row>
    <row r="324" spans="1:9">
      <c r="A324" s="3185">
        <v>42655</v>
      </c>
      <c r="B324" s="3184" t="s">
        <v>3504</v>
      </c>
      <c r="C324" s="3184">
        <v>53</v>
      </c>
      <c r="D324" s="3184" t="s">
        <v>3535</v>
      </c>
      <c r="E324" s="3184" t="s">
        <v>3505</v>
      </c>
      <c r="F324" s="3184">
        <v>0</v>
      </c>
      <c r="H324" s="3184">
        <v>277</v>
      </c>
      <c r="I324" s="3184">
        <v>52019</v>
      </c>
    </row>
    <row r="325" spans="1:9">
      <c r="A325" s="3185">
        <v>42649</v>
      </c>
      <c r="B325" s="3184" t="s">
        <v>3507</v>
      </c>
      <c r="C325" s="3184">
        <v>52</v>
      </c>
      <c r="D325" s="3184" t="s">
        <v>3535</v>
      </c>
      <c r="E325" s="3184" t="s">
        <v>3511</v>
      </c>
      <c r="F325" s="3184">
        <v>280</v>
      </c>
      <c r="G325" s="3185">
        <v>42645</v>
      </c>
      <c r="H325" s="3184">
        <v>278</v>
      </c>
      <c r="I325" s="3184">
        <v>53210</v>
      </c>
    </row>
    <row r="326" spans="1:9">
      <c r="A326" s="3185">
        <v>42634</v>
      </c>
      <c r="B326" s="3184" t="s">
        <v>3507</v>
      </c>
      <c r="C326" s="3184">
        <v>69</v>
      </c>
      <c r="D326" s="3184" t="s">
        <v>3535</v>
      </c>
      <c r="E326" s="3184" t="s">
        <v>3509</v>
      </c>
      <c r="F326" s="3184">
        <v>340</v>
      </c>
      <c r="G326" s="3185">
        <v>42624</v>
      </c>
      <c r="H326" s="3184">
        <v>330</v>
      </c>
      <c r="I326" s="3184">
        <v>47827</v>
      </c>
    </row>
    <row r="327" spans="1:9">
      <c r="A327" s="3185">
        <v>42632</v>
      </c>
      <c r="B327" s="3184" t="s">
        <v>3507</v>
      </c>
      <c r="C327" s="3184">
        <v>71</v>
      </c>
      <c r="D327" s="3184" t="s">
        <v>3535</v>
      </c>
      <c r="E327" s="3184" t="s">
        <v>3509</v>
      </c>
      <c r="F327" s="3184">
        <v>305</v>
      </c>
      <c r="G327" s="3185">
        <v>42621</v>
      </c>
      <c r="H327" s="3184">
        <v>305</v>
      </c>
      <c r="I327" s="3184">
        <v>42515</v>
      </c>
    </row>
    <row r="328" spans="1:9">
      <c r="A328" s="3185">
        <v>42631</v>
      </c>
      <c r="B328" s="3184" t="s">
        <v>3516</v>
      </c>
      <c r="C328" s="3184">
        <v>92</v>
      </c>
      <c r="D328" s="3184" t="s">
        <v>3553</v>
      </c>
      <c r="E328" s="3184" t="s">
        <v>3529</v>
      </c>
      <c r="F328" s="3184">
        <v>400</v>
      </c>
      <c r="G328" s="3185">
        <v>42575</v>
      </c>
      <c r="H328" s="3184">
        <v>398</v>
      </c>
      <c r="I328" s="3184">
        <v>43125</v>
      </c>
    </row>
    <row r="329" spans="1:9">
      <c r="A329" s="3185">
        <v>42618</v>
      </c>
      <c r="B329" s="3184" t="s">
        <v>3507</v>
      </c>
      <c r="C329" s="3184">
        <v>69</v>
      </c>
      <c r="D329" s="3184" t="s">
        <v>3543</v>
      </c>
      <c r="E329" s="3184" t="s">
        <v>3509</v>
      </c>
      <c r="F329" s="3184">
        <v>300</v>
      </c>
      <c r="G329" s="3185">
        <v>42616</v>
      </c>
      <c r="H329" s="3184">
        <v>308</v>
      </c>
      <c r="I329" s="3184">
        <v>44381</v>
      </c>
    </row>
    <row r="330" spans="1:9">
      <c r="A330" s="3185">
        <v>42617</v>
      </c>
      <c r="B330" s="3184" t="s">
        <v>3514</v>
      </c>
      <c r="C330" s="3184">
        <v>49</v>
      </c>
      <c r="D330" s="3184" t="s">
        <v>3569</v>
      </c>
      <c r="E330" s="3184" t="s">
        <v>3587</v>
      </c>
      <c r="F330" s="3184">
        <v>270</v>
      </c>
      <c r="G330" s="3185">
        <v>42602</v>
      </c>
      <c r="H330" s="3184">
        <v>254</v>
      </c>
      <c r="I330" s="3184">
        <v>51532</v>
      </c>
    </row>
    <row r="331" spans="1:9">
      <c r="A331" s="3185">
        <v>42613</v>
      </c>
      <c r="B331" s="3184" t="s">
        <v>3514</v>
      </c>
      <c r="C331" s="3184">
        <v>50</v>
      </c>
      <c r="D331" s="3184" t="s">
        <v>3532</v>
      </c>
      <c r="E331" s="3184" t="s">
        <v>3511</v>
      </c>
      <c r="F331" s="3184">
        <v>215</v>
      </c>
      <c r="G331" s="3185">
        <v>42604</v>
      </c>
      <c r="H331" s="3184">
        <v>215</v>
      </c>
      <c r="I331" s="3184">
        <v>42719</v>
      </c>
    </row>
    <row r="332" spans="1:9">
      <c r="A332" s="3185">
        <v>42612</v>
      </c>
      <c r="B332" s="3184" t="s">
        <v>3514</v>
      </c>
      <c r="C332" s="3184">
        <v>48</v>
      </c>
      <c r="D332" s="3184" t="s">
        <v>3569</v>
      </c>
      <c r="E332" s="3184" t="s">
        <v>3588</v>
      </c>
      <c r="F332" s="3184">
        <v>228</v>
      </c>
      <c r="G332" s="3185">
        <v>42610</v>
      </c>
      <c r="H332" s="3184">
        <v>224</v>
      </c>
      <c r="I332" s="3184">
        <v>45790</v>
      </c>
    </row>
    <row r="333" spans="1:9">
      <c r="A333" s="3185">
        <v>42610</v>
      </c>
      <c r="B333" s="3184" t="s">
        <v>3507</v>
      </c>
      <c r="C333" s="3184">
        <v>72</v>
      </c>
      <c r="D333" s="3184" t="s">
        <v>3553</v>
      </c>
      <c r="E333" s="3184" t="s">
        <v>3509</v>
      </c>
      <c r="F333" s="3184">
        <v>280</v>
      </c>
      <c r="G333" s="3185">
        <v>42554</v>
      </c>
      <c r="H333" s="3184">
        <v>279</v>
      </c>
      <c r="I333" s="3184">
        <v>38750</v>
      </c>
    </row>
    <row r="334" spans="1:9">
      <c r="A334" s="3185">
        <v>42610</v>
      </c>
      <c r="B334" s="3184" t="s">
        <v>3507</v>
      </c>
      <c r="C334" s="3184">
        <v>54</v>
      </c>
      <c r="D334" s="3184" t="s">
        <v>3532</v>
      </c>
      <c r="E334" s="3184" t="s">
        <v>3509</v>
      </c>
      <c r="F334" s="3184">
        <v>249</v>
      </c>
      <c r="G334" s="3185">
        <v>42604</v>
      </c>
      <c r="H334" s="3184">
        <v>248</v>
      </c>
      <c r="I334" s="3184">
        <v>45884</v>
      </c>
    </row>
    <row r="335" spans="1:9">
      <c r="A335" s="3185">
        <v>42608</v>
      </c>
      <c r="B335" s="3184" t="s">
        <v>3507</v>
      </c>
      <c r="C335" s="3184">
        <v>69</v>
      </c>
      <c r="D335" s="3184" t="s">
        <v>3543</v>
      </c>
      <c r="E335" s="3184" t="s">
        <v>3509</v>
      </c>
      <c r="F335" s="3184">
        <v>283</v>
      </c>
      <c r="G335" s="3185">
        <v>42586</v>
      </c>
      <c r="H335" s="3184">
        <v>281</v>
      </c>
      <c r="I335" s="3184">
        <v>40479</v>
      </c>
    </row>
    <row r="336" spans="1:9">
      <c r="A336" s="3185">
        <v>42608</v>
      </c>
      <c r="B336" s="3184" t="s">
        <v>3507</v>
      </c>
      <c r="C336" s="3184">
        <v>65</v>
      </c>
      <c r="D336" s="3184" t="s">
        <v>3569</v>
      </c>
      <c r="E336" s="3184" t="s">
        <v>3509</v>
      </c>
      <c r="F336" s="3184">
        <v>280</v>
      </c>
      <c r="G336" s="3185">
        <v>42488</v>
      </c>
      <c r="H336" s="3184">
        <v>279</v>
      </c>
      <c r="I336" s="3184">
        <v>42635</v>
      </c>
    </row>
    <row r="337" spans="1:9">
      <c r="A337" s="3185">
        <v>42606</v>
      </c>
      <c r="B337" s="3184" t="s">
        <v>3507</v>
      </c>
      <c r="C337" s="3184">
        <v>97</v>
      </c>
      <c r="D337" s="3184" t="s">
        <v>3572</v>
      </c>
      <c r="E337" s="3184" t="s">
        <v>3520</v>
      </c>
      <c r="F337" s="3184">
        <v>409</v>
      </c>
      <c r="G337" s="3185">
        <v>42534</v>
      </c>
      <c r="H337" s="3184">
        <v>395</v>
      </c>
      <c r="I337" s="3184">
        <v>40551</v>
      </c>
    </row>
    <row r="338" spans="1:9">
      <c r="A338" s="3185">
        <v>42605</v>
      </c>
      <c r="B338" s="3184" t="s">
        <v>3507</v>
      </c>
      <c r="C338" s="3184">
        <v>91</v>
      </c>
      <c r="D338" s="3184" t="s">
        <v>3543</v>
      </c>
      <c r="E338" s="3184" t="s">
        <v>3525</v>
      </c>
      <c r="F338" s="3184">
        <v>380</v>
      </c>
      <c r="G338" s="3185">
        <v>42564</v>
      </c>
      <c r="H338" s="3184">
        <v>373</v>
      </c>
      <c r="I338" s="3184">
        <v>40734</v>
      </c>
    </row>
    <row r="339" spans="1:9">
      <c r="A339" s="3185">
        <v>42599</v>
      </c>
      <c r="B339" s="3184" t="s">
        <v>3507</v>
      </c>
      <c r="C339" s="3184">
        <v>65</v>
      </c>
      <c r="D339" s="3184" t="s">
        <v>3569</v>
      </c>
      <c r="E339" s="3184" t="s">
        <v>3509</v>
      </c>
      <c r="F339" s="3184">
        <v>282</v>
      </c>
      <c r="G339" s="3185">
        <v>42547</v>
      </c>
      <c r="H339" s="3184">
        <v>280</v>
      </c>
      <c r="I339" s="3184">
        <v>42593</v>
      </c>
    </row>
    <row r="340" spans="1:9">
      <c r="A340" s="3185">
        <v>42592</v>
      </c>
      <c r="B340" s="3184" t="s">
        <v>3534</v>
      </c>
      <c r="C340" s="3184">
        <v>38</v>
      </c>
      <c r="D340" s="3184" t="s">
        <v>3532</v>
      </c>
      <c r="E340" s="3184" t="s">
        <v>3522</v>
      </c>
      <c r="F340" s="3184">
        <v>150</v>
      </c>
      <c r="G340" s="3185">
        <v>42584</v>
      </c>
      <c r="H340" s="3184">
        <v>145</v>
      </c>
      <c r="I340" s="3184">
        <v>37899</v>
      </c>
    </row>
    <row r="341" spans="1:9">
      <c r="A341" s="3185">
        <v>42587</v>
      </c>
      <c r="B341" s="3184" t="s">
        <v>3516</v>
      </c>
      <c r="C341" s="3184">
        <v>113</v>
      </c>
      <c r="D341" s="3184" t="s">
        <v>3569</v>
      </c>
      <c r="E341" s="3184" t="s">
        <v>3509</v>
      </c>
      <c r="F341" s="3184">
        <v>370</v>
      </c>
      <c r="G341" s="3185">
        <v>42559</v>
      </c>
      <c r="H341" s="3184">
        <v>365</v>
      </c>
      <c r="I341" s="3184">
        <v>32301</v>
      </c>
    </row>
    <row r="342" spans="1:9">
      <c r="A342" s="3185">
        <v>42585</v>
      </c>
      <c r="B342" s="3184" t="s">
        <v>3507</v>
      </c>
      <c r="C342" s="3184">
        <v>70</v>
      </c>
      <c r="D342" s="3184" t="s">
        <v>3553</v>
      </c>
      <c r="E342" s="3184" t="s">
        <v>3511</v>
      </c>
      <c r="F342" s="3184">
        <v>280</v>
      </c>
      <c r="G342" s="3185">
        <v>42583</v>
      </c>
      <c r="H342" s="3184">
        <v>277</v>
      </c>
      <c r="I342" s="3184">
        <v>39572</v>
      </c>
    </row>
    <row r="343" spans="1:9">
      <c r="A343" s="3185">
        <v>42583</v>
      </c>
      <c r="B343" s="3184" t="s">
        <v>3534</v>
      </c>
      <c r="C343" s="3184">
        <v>47</v>
      </c>
      <c r="D343" s="3184" t="s">
        <v>3569</v>
      </c>
      <c r="E343" s="3184" t="s">
        <v>3522</v>
      </c>
      <c r="F343" s="3184">
        <v>150</v>
      </c>
      <c r="G343" s="3185">
        <v>42557</v>
      </c>
      <c r="H343" s="3184">
        <v>157</v>
      </c>
      <c r="I343" s="3184">
        <v>33200</v>
      </c>
    </row>
    <row r="344" spans="1:9">
      <c r="A344" s="3185">
        <v>42583</v>
      </c>
      <c r="B344" s="3184" t="s">
        <v>3507</v>
      </c>
      <c r="C344" s="3184">
        <v>55</v>
      </c>
      <c r="D344" s="3184" t="s">
        <v>3572</v>
      </c>
      <c r="E344" s="3184" t="s">
        <v>3509</v>
      </c>
      <c r="F344" s="3184">
        <v>220</v>
      </c>
      <c r="G344" s="3185">
        <v>42528</v>
      </c>
      <c r="H344" s="3184">
        <v>208</v>
      </c>
      <c r="I344" s="3184">
        <v>37819</v>
      </c>
    </row>
    <row r="345" spans="1:9">
      <c r="A345" s="3185">
        <v>42582</v>
      </c>
      <c r="B345" s="3184" t="s">
        <v>3514</v>
      </c>
      <c r="C345" s="3184">
        <v>59</v>
      </c>
      <c r="D345" s="3184" t="s">
        <v>3569</v>
      </c>
      <c r="E345" s="3184" t="s">
        <v>3509</v>
      </c>
      <c r="F345" s="3184">
        <v>228</v>
      </c>
      <c r="G345" s="3185">
        <v>42552</v>
      </c>
      <c r="H345" s="3184">
        <v>223</v>
      </c>
      <c r="I345" s="3184">
        <v>37733</v>
      </c>
    </row>
    <row r="346" spans="1:9">
      <c r="A346" s="3185">
        <v>42581</v>
      </c>
      <c r="B346" s="3184" t="s">
        <v>3516</v>
      </c>
      <c r="C346" s="3184">
        <v>50</v>
      </c>
      <c r="D346" s="3184" t="s">
        <v>3569</v>
      </c>
      <c r="E346" s="3184" t="s">
        <v>3509</v>
      </c>
      <c r="F346" s="3184">
        <v>180</v>
      </c>
      <c r="G346" s="3185">
        <v>42355</v>
      </c>
      <c r="H346" s="3184">
        <v>175</v>
      </c>
      <c r="I346" s="3184">
        <v>35000</v>
      </c>
    </row>
    <row r="347" spans="1:9">
      <c r="A347" s="3185">
        <v>42577</v>
      </c>
      <c r="B347" s="3184" t="s">
        <v>3514</v>
      </c>
      <c r="C347" s="3184">
        <v>58</v>
      </c>
      <c r="D347" s="3184" t="s">
        <v>3535</v>
      </c>
      <c r="E347" s="3184" t="s">
        <v>3509</v>
      </c>
      <c r="F347" s="3184">
        <v>245</v>
      </c>
      <c r="G347" s="3185">
        <v>42564</v>
      </c>
      <c r="H347" s="3184">
        <v>245</v>
      </c>
      <c r="I347" s="3184">
        <v>41788</v>
      </c>
    </row>
    <row r="348" spans="1:9">
      <c r="A348" s="3185">
        <v>42576</v>
      </c>
      <c r="B348" s="3184" t="s">
        <v>3507</v>
      </c>
      <c r="C348" s="3184">
        <v>69</v>
      </c>
      <c r="D348" s="3184" t="s">
        <v>3543</v>
      </c>
      <c r="E348" s="3184" t="s">
        <v>3509</v>
      </c>
      <c r="F348" s="3184">
        <v>275</v>
      </c>
      <c r="G348" s="3185">
        <v>42460</v>
      </c>
      <c r="H348" s="3184">
        <v>273</v>
      </c>
      <c r="I348" s="3184">
        <v>39326</v>
      </c>
    </row>
    <row r="349" spans="1:9">
      <c r="A349" s="3185">
        <v>42555</v>
      </c>
      <c r="B349" s="3184" t="s">
        <v>3507</v>
      </c>
      <c r="C349" s="3184">
        <v>66</v>
      </c>
      <c r="D349" s="3184" t="s">
        <v>3535</v>
      </c>
      <c r="E349" s="3184" t="s">
        <v>3509</v>
      </c>
      <c r="F349" s="3184">
        <v>260</v>
      </c>
      <c r="G349" s="3185">
        <v>42553</v>
      </c>
      <c r="H349" s="3184">
        <v>253</v>
      </c>
      <c r="I349" s="3184">
        <v>38075</v>
      </c>
    </row>
    <row r="350" spans="1:9">
      <c r="A350" s="3185">
        <v>42550</v>
      </c>
      <c r="B350" s="3184" t="s">
        <v>3507</v>
      </c>
      <c r="C350" s="3184">
        <v>69</v>
      </c>
      <c r="D350" s="3184" t="s">
        <v>3532</v>
      </c>
      <c r="E350" s="3184" t="s">
        <v>3509</v>
      </c>
      <c r="F350" s="3184">
        <v>275</v>
      </c>
      <c r="G350" s="3185">
        <v>42533</v>
      </c>
      <c r="H350" s="3184">
        <v>262</v>
      </c>
      <c r="I350" s="3184">
        <v>37742</v>
      </c>
    </row>
    <row r="351" spans="1:9">
      <c r="A351" s="3185">
        <v>42550</v>
      </c>
      <c r="B351" s="3184" t="s">
        <v>3507</v>
      </c>
      <c r="C351" s="3184">
        <v>77</v>
      </c>
      <c r="D351" s="3184" t="s">
        <v>3574</v>
      </c>
      <c r="E351" s="3184" t="s">
        <v>3509</v>
      </c>
      <c r="F351" s="3184">
        <v>292</v>
      </c>
      <c r="G351" s="3185">
        <v>42471</v>
      </c>
      <c r="H351" s="3184">
        <v>290</v>
      </c>
      <c r="I351" s="3184">
        <v>37454</v>
      </c>
    </row>
    <row r="352" spans="1:9">
      <c r="A352" s="3185">
        <v>42541</v>
      </c>
      <c r="B352" s="3184" t="s">
        <v>3507</v>
      </c>
      <c r="C352" s="3184">
        <v>68</v>
      </c>
      <c r="D352" s="3184" t="s">
        <v>3543</v>
      </c>
      <c r="E352" s="3184" t="s">
        <v>3477</v>
      </c>
      <c r="F352" s="3184">
        <v>260</v>
      </c>
      <c r="G352" s="3185">
        <v>42481</v>
      </c>
      <c r="H352" s="3184">
        <v>259</v>
      </c>
      <c r="I352" s="3184">
        <v>37811</v>
      </c>
    </row>
    <row r="353" spans="1:9">
      <c r="A353" s="3185">
        <v>42527</v>
      </c>
      <c r="B353" s="3184" t="s">
        <v>3507</v>
      </c>
      <c r="C353" s="3184">
        <v>70</v>
      </c>
      <c r="D353" s="3184" t="s">
        <v>3532</v>
      </c>
      <c r="E353" s="3184" t="s">
        <v>3519</v>
      </c>
      <c r="F353" s="3184">
        <v>259</v>
      </c>
      <c r="G353" s="3185">
        <v>42528</v>
      </c>
      <c r="H353" s="3184">
        <v>253</v>
      </c>
      <c r="I353" s="3184">
        <v>36133</v>
      </c>
    </row>
    <row r="354" spans="1:9">
      <c r="A354" s="3185">
        <v>42510</v>
      </c>
      <c r="B354" s="3184" t="s">
        <v>3514</v>
      </c>
      <c r="C354" s="3184">
        <v>59</v>
      </c>
      <c r="D354" s="3184" t="s">
        <v>3543</v>
      </c>
      <c r="E354" s="3184" t="s">
        <v>3509</v>
      </c>
      <c r="F354" s="3184">
        <v>230</v>
      </c>
      <c r="G354" s="3185">
        <v>42511</v>
      </c>
      <c r="H354" s="3184">
        <v>219</v>
      </c>
      <c r="I354" s="3184">
        <v>37056</v>
      </c>
    </row>
    <row r="355" spans="1:9">
      <c r="A355" s="3185">
        <v>42485</v>
      </c>
      <c r="B355" s="3184" t="s">
        <v>3507</v>
      </c>
      <c r="C355" s="3184">
        <v>102</v>
      </c>
      <c r="D355" s="3184" t="s">
        <v>3538</v>
      </c>
      <c r="E355" s="3184" t="s">
        <v>3519</v>
      </c>
      <c r="F355" s="3184">
        <v>320</v>
      </c>
      <c r="G355" s="3185">
        <v>42485</v>
      </c>
      <c r="H355" s="3184">
        <v>300</v>
      </c>
      <c r="I355" s="3184">
        <v>29226</v>
      </c>
    </row>
    <row r="356" spans="1:9">
      <c r="A356" s="3185">
        <v>42470</v>
      </c>
      <c r="B356" s="3184" t="s">
        <v>3507</v>
      </c>
      <c r="C356" s="3184">
        <v>69</v>
      </c>
      <c r="D356" s="3184" t="s">
        <v>3544</v>
      </c>
      <c r="E356" s="3184" t="s">
        <v>3509</v>
      </c>
      <c r="F356" s="3184">
        <v>272</v>
      </c>
      <c r="G356" s="3185">
        <v>42470</v>
      </c>
      <c r="H356" s="3184">
        <v>269</v>
      </c>
      <c r="I356" s="3184">
        <v>38501</v>
      </c>
    </row>
    <row r="357" spans="1:9">
      <c r="A357" s="3185">
        <v>42462</v>
      </c>
      <c r="B357" s="3184" t="s">
        <v>3514</v>
      </c>
      <c r="C357" s="3184">
        <v>58</v>
      </c>
      <c r="D357" s="3184" t="s">
        <v>3569</v>
      </c>
      <c r="E357" s="3184" t="s">
        <v>3509</v>
      </c>
      <c r="F357" s="3184">
        <v>210</v>
      </c>
      <c r="G357" s="3185">
        <v>42463</v>
      </c>
      <c r="H357" s="3184">
        <v>190</v>
      </c>
      <c r="I357" s="3184">
        <v>32237</v>
      </c>
    </row>
    <row r="358" spans="1:9">
      <c r="A358" s="3185">
        <v>42462</v>
      </c>
      <c r="B358" s="3184" t="s">
        <v>3507</v>
      </c>
      <c r="C358" s="3184">
        <v>70</v>
      </c>
      <c r="D358" s="3184" t="s">
        <v>3553</v>
      </c>
      <c r="E358" s="3184" t="s">
        <v>3519</v>
      </c>
      <c r="F358" s="3184">
        <v>240</v>
      </c>
      <c r="G358" s="3185">
        <v>42463</v>
      </c>
      <c r="H358" s="3184">
        <v>233</v>
      </c>
      <c r="I358" s="3184">
        <v>33343</v>
      </c>
    </row>
    <row r="359" spans="1:9">
      <c r="A359" s="3185">
        <v>42456</v>
      </c>
      <c r="B359" s="3184" t="s">
        <v>3507</v>
      </c>
      <c r="C359" s="3184">
        <v>69</v>
      </c>
      <c r="D359" s="3184" t="s">
        <v>3543</v>
      </c>
      <c r="E359" s="3184" t="s">
        <v>3509</v>
      </c>
      <c r="F359" s="3184">
        <v>268</v>
      </c>
      <c r="G359" s="3185">
        <v>42456</v>
      </c>
      <c r="H359" s="3184">
        <v>266</v>
      </c>
      <c r="I359" s="3184">
        <v>38390</v>
      </c>
    </row>
    <row r="360" spans="1:9">
      <c r="A360" s="3185">
        <v>42450</v>
      </c>
      <c r="B360" s="3184" t="s">
        <v>3514</v>
      </c>
      <c r="C360" s="3184">
        <v>55</v>
      </c>
      <c r="D360" s="3184" t="s">
        <v>3532</v>
      </c>
      <c r="E360" s="3184" t="s">
        <v>3509</v>
      </c>
      <c r="F360" s="3184">
        <v>210</v>
      </c>
      <c r="G360" s="3185">
        <v>42452</v>
      </c>
      <c r="H360" s="3184">
        <v>210</v>
      </c>
      <c r="I360" s="3184">
        <v>37811</v>
      </c>
    </row>
    <row r="361" spans="1:9">
      <c r="A361" s="3185">
        <v>42445</v>
      </c>
      <c r="B361" s="3184" t="s">
        <v>3507</v>
      </c>
      <c r="C361" s="3184">
        <v>91</v>
      </c>
      <c r="D361" s="3184" t="s">
        <v>3572</v>
      </c>
      <c r="E361" s="3184" t="s">
        <v>3525</v>
      </c>
      <c r="F361" s="3184">
        <v>320</v>
      </c>
      <c r="G361" s="3185">
        <v>42445</v>
      </c>
      <c r="H361" s="3184">
        <v>320</v>
      </c>
      <c r="I361" s="3184">
        <v>34950</v>
      </c>
    </row>
    <row r="362" spans="1:9">
      <c r="A362" s="3185">
        <v>42432</v>
      </c>
      <c r="B362" s="3184" t="s">
        <v>3514</v>
      </c>
      <c r="C362" s="3184">
        <v>53</v>
      </c>
      <c r="D362" s="3184" t="s">
        <v>3532</v>
      </c>
      <c r="E362" s="3184" t="s">
        <v>3509</v>
      </c>
      <c r="F362" s="3184">
        <v>180</v>
      </c>
      <c r="G362" s="3185">
        <v>42432</v>
      </c>
      <c r="H362" s="3184">
        <v>180</v>
      </c>
      <c r="I362" s="3184">
        <v>33608</v>
      </c>
    </row>
    <row r="363" spans="1:9">
      <c r="A363" s="3185">
        <v>42432</v>
      </c>
      <c r="B363" s="3184" t="s">
        <v>3507</v>
      </c>
      <c r="C363" s="3184">
        <v>81</v>
      </c>
      <c r="D363" s="3184" t="s">
        <v>3569</v>
      </c>
      <c r="E363" s="3184" t="s">
        <v>3509</v>
      </c>
      <c r="F363" s="3184">
        <v>265</v>
      </c>
      <c r="G363" s="3185">
        <v>42433</v>
      </c>
      <c r="H363" s="3184">
        <v>265</v>
      </c>
      <c r="I363" s="3184">
        <v>32564</v>
      </c>
    </row>
    <row r="364" spans="1:9">
      <c r="A364" s="3185">
        <v>42428</v>
      </c>
      <c r="B364" s="3184" t="s">
        <v>3507</v>
      </c>
      <c r="C364" s="3184">
        <v>56</v>
      </c>
      <c r="D364" s="3184" t="s">
        <v>3569</v>
      </c>
      <c r="E364" s="3184" t="s">
        <v>3509</v>
      </c>
      <c r="F364" s="3184">
        <v>190</v>
      </c>
      <c r="G364" s="3185">
        <v>42428</v>
      </c>
      <c r="H364" s="3184">
        <v>190</v>
      </c>
      <c r="I364" s="3184">
        <v>33369</v>
      </c>
    </row>
    <row r="365" spans="1:9">
      <c r="A365" s="3185">
        <v>42428</v>
      </c>
      <c r="B365" s="3184" t="s">
        <v>3514</v>
      </c>
      <c r="C365" s="3184">
        <v>47</v>
      </c>
      <c r="D365" s="3184" t="s">
        <v>3535</v>
      </c>
      <c r="E365" s="3184" t="s">
        <v>3522</v>
      </c>
      <c r="F365" s="3184">
        <v>135</v>
      </c>
      <c r="G365" s="3185">
        <v>42428</v>
      </c>
      <c r="H365" s="3184">
        <v>132</v>
      </c>
      <c r="I365" s="3184">
        <v>28044</v>
      </c>
    </row>
    <row r="366" spans="1:9">
      <c r="A366" s="3185">
        <v>42427</v>
      </c>
      <c r="B366" s="3184" t="s">
        <v>3514</v>
      </c>
      <c r="C366" s="3184">
        <v>54</v>
      </c>
      <c r="D366" s="3184" t="s">
        <v>3535</v>
      </c>
      <c r="E366" s="3184" t="s">
        <v>3519</v>
      </c>
      <c r="F366" s="3184">
        <v>157</v>
      </c>
      <c r="G366" s="3185">
        <v>42427</v>
      </c>
      <c r="H366" s="3184">
        <v>150</v>
      </c>
      <c r="I366" s="3184">
        <v>27508</v>
      </c>
    </row>
    <row r="367" spans="1:9">
      <c r="A367" s="3185">
        <v>42424</v>
      </c>
      <c r="B367" s="3184" t="s">
        <v>3507</v>
      </c>
      <c r="C367" s="3184">
        <v>53</v>
      </c>
      <c r="D367" s="3184" t="s">
        <v>3569</v>
      </c>
      <c r="E367" s="3184" t="s">
        <v>3509</v>
      </c>
      <c r="F367" s="3184">
        <v>176</v>
      </c>
      <c r="G367" s="3185">
        <v>42425</v>
      </c>
      <c r="H367" s="3184">
        <v>175</v>
      </c>
      <c r="I367" s="3184">
        <v>32547</v>
      </c>
    </row>
    <row r="368" spans="1:9">
      <c r="A368" s="3185">
        <v>42422</v>
      </c>
      <c r="B368" s="3184" t="s">
        <v>3507</v>
      </c>
      <c r="C368" s="3184">
        <v>91</v>
      </c>
      <c r="D368" s="3184" t="s">
        <v>3535</v>
      </c>
      <c r="E368" s="3184" t="s">
        <v>3589</v>
      </c>
      <c r="F368" s="3184">
        <v>288</v>
      </c>
      <c r="G368" s="3185">
        <v>42424</v>
      </c>
      <c r="H368" s="3184">
        <v>286</v>
      </c>
      <c r="I368" s="3184">
        <v>31237</v>
      </c>
    </row>
    <row r="369" spans="1:9">
      <c r="A369" s="3185">
        <v>42393</v>
      </c>
      <c r="B369" s="3184" t="s">
        <v>3514</v>
      </c>
      <c r="C369" s="3184">
        <v>49</v>
      </c>
      <c r="D369" s="3184" t="s">
        <v>3569</v>
      </c>
      <c r="E369" s="3184" t="s">
        <v>3519</v>
      </c>
      <c r="F369" s="3184">
        <v>168</v>
      </c>
      <c r="G369" s="3185">
        <v>42393</v>
      </c>
      <c r="H369" s="3184">
        <v>164</v>
      </c>
      <c r="I369" s="3184">
        <v>33443</v>
      </c>
    </row>
    <row r="370" spans="1:9">
      <c r="A370" s="3185">
        <v>42364</v>
      </c>
      <c r="B370" s="3184" t="s">
        <v>3507</v>
      </c>
      <c r="C370" s="3184">
        <v>69</v>
      </c>
      <c r="D370" s="3184" t="s">
        <v>3535</v>
      </c>
      <c r="E370" s="3184" t="s">
        <v>3509</v>
      </c>
      <c r="F370" s="3184">
        <v>230</v>
      </c>
      <c r="G370" s="3185">
        <v>42364</v>
      </c>
      <c r="H370" s="3184">
        <v>222</v>
      </c>
      <c r="I370" s="3184">
        <v>31980</v>
      </c>
    </row>
    <row r="371" spans="1:9">
      <c r="A371" s="3185">
        <v>42357</v>
      </c>
      <c r="B371" s="3184" t="s">
        <v>3514</v>
      </c>
      <c r="C371" s="3184">
        <v>56</v>
      </c>
      <c r="D371" s="3184" t="s">
        <v>3569</v>
      </c>
      <c r="E371" s="3184" t="s">
        <v>3511</v>
      </c>
      <c r="F371" s="3184">
        <v>200</v>
      </c>
      <c r="G371" s="3185">
        <v>42357</v>
      </c>
      <c r="H371" s="3184">
        <v>196</v>
      </c>
      <c r="I371" s="3184">
        <v>34453</v>
      </c>
    </row>
    <row r="372" spans="1:9">
      <c r="A372" s="3185">
        <v>42350</v>
      </c>
      <c r="B372" s="3184" t="s">
        <v>3514</v>
      </c>
      <c r="C372" s="3184">
        <v>55</v>
      </c>
      <c r="D372" s="3184" t="s">
        <v>3535</v>
      </c>
      <c r="E372" s="3184" t="s">
        <v>3509</v>
      </c>
      <c r="F372" s="3184">
        <v>178</v>
      </c>
      <c r="G372" s="3185">
        <v>42350</v>
      </c>
      <c r="H372" s="3184">
        <v>178</v>
      </c>
      <c r="I372" s="3184">
        <v>32049</v>
      </c>
    </row>
    <row r="373" spans="1:9">
      <c r="A373" s="3185">
        <v>42344</v>
      </c>
      <c r="B373" s="3184" t="s">
        <v>3514</v>
      </c>
      <c r="C373" s="3184">
        <v>53</v>
      </c>
      <c r="D373" s="3184" t="s">
        <v>3543</v>
      </c>
      <c r="E373" s="3184" t="s">
        <v>3509</v>
      </c>
      <c r="F373" s="3184">
        <v>180</v>
      </c>
      <c r="G373" s="3185">
        <v>42345</v>
      </c>
      <c r="H373" s="3184">
        <v>170</v>
      </c>
      <c r="I373" s="3184">
        <v>31576</v>
      </c>
    </row>
    <row r="374" spans="1:9">
      <c r="A374" s="3185">
        <v>42335</v>
      </c>
      <c r="B374" s="3184" t="s">
        <v>3507</v>
      </c>
      <c r="C374" s="3184">
        <v>69</v>
      </c>
      <c r="D374" s="3184" t="s">
        <v>3572</v>
      </c>
      <c r="E374" s="3184" t="s">
        <v>3509</v>
      </c>
      <c r="F374" s="3184">
        <v>225</v>
      </c>
      <c r="G374" s="3185">
        <v>42335</v>
      </c>
      <c r="H374" s="3184">
        <v>220</v>
      </c>
      <c r="I374" s="3184">
        <v>31692</v>
      </c>
    </row>
    <row r="375" spans="1:9">
      <c r="A375" s="3185">
        <v>42322</v>
      </c>
      <c r="B375" s="3184" t="s">
        <v>3507</v>
      </c>
      <c r="C375" s="3184">
        <v>69</v>
      </c>
      <c r="D375" s="3184" t="s">
        <v>3535</v>
      </c>
      <c r="E375" s="3184" t="s">
        <v>3509</v>
      </c>
      <c r="F375" s="3184">
        <v>228</v>
      </c>
      <c r="G375" s="3185">
        <v>42323</v>
      </c>
      <c r="H375" s="3184">
        <v>220</v>
      </c>
      <c r="I375" s="3184">
        <v>31692</v>
      </c>
    </row>
    <row r="376" spans="1:9">
      <c r="A376" s="3185">
        <v>42322</v>
      </c>
      <c r="B376" s="3184" t="s">
        <v>3507</v>
      </c>
      <c r="C376" s="3184">
        <v>69</v>
      </c>
      <c r="D376" s="3184" t="s">
        <v>3572</v>
      </c>
      <c r="E376" s="3184" t="s">
        <v>3509</v>
      </c>
      <c r="F376" s="3184">
        <v>215</v>
      </c>
      <c r="G376" s="3185">
        <v>42322</v>
      </c>
      <c r="H376" s="3184">
        <v>213</v>
      </c>
      <c r="I376" s="3184">
        <v>30683</v>
      </c>
    </row>
    <row r="377" spans="1:9">
      <c r="A377" s="3185">
        <v>42304</v>
      </c>
      <c r="B377" s="3184" t="s">
        <v>3507</v>
      </c>
      <c r="C377" s="3184">
        <v>71</v>
      </c>
      <c r="D377" s="3184" t="s">
        <v>3569</v>
      </c>
      <c r="E377" s="3184" t="s">
        <v>3509</v>
      </c>
      <c r="F377" s="3184">
        <v>215</v>
      </c>
      <c r="G377" s="3185">
        <v>42305</v>
      </c>
      <c r="H377" s="3184">
        <v>208</v>
      </c>
      <c r="I377" s="3184">
        <v>28994</v>
      </c>
    </row>
    <row r="378" spans="1:9">
      <c r="A378" s="3185">
        <v>42301</v>
      </c>
      <c r="B378" s="3184" t="s">
        <v>3507</v>
      </c>
      <c r="C378" s="3184">
        <v>69</v>
      </c>
      <c r="D378" s="3184" t="s">
        <v>3569</v>
      </c>
      <c r="E378" s="3184" t="s">
        <v>3511</v>
      </c>
      <c r="F378" s="3184">
        <v>190</v>
      </c>
      <c r="G378" s="3185">
        <v>42302</v>
      </c>
      <c r="H378" s="3184">
        <v>183</v>
      </c>
      <c r="I378" s="3184">
        <v>26354</v>
      </c>
    </row>
    <row r="379" spans="1:9">
      <c r="A379" s="3185">
        <v>42284</v>
      </c>
      <c r="B379" s="3184" t="s">
        <v>3507</v>
      </c>
      <c r="C379" s="3184">
        <v>69</v>
      </c>
      <c r="D379" s="3184" t="s">
        <v>3535</v>
      </c>
      <c r="E379" s="3184" t="s">
        <v>3509</v>
      </c>
      <c r="F379" s="3184">
        <v>225</v>
      </c>
      <c r="G379" s="3185">
        <v>42284</v>
      </c>
      <c r="H379" s="3184">
        <v>222</v>
      </c>
      <c r="I379" s="3184">
        <v>32052</v>
      </c>
    </row>
    <row r="380" spans="1:9">
      <c r="A380" s="3185">
        <v>42249</v>
      </c>
      <c r="B380" s="3184" t="s">
        <v>3534</v>
      </c>
      <c r="C380" s="3184">
        <v>42</v>
      </c>
      <c r="D380" s="3184" t="s">
        <v>3543</v>
      </c>
      <c r="E380" s="3184" t="s">
        <v>3522</v>
      </c>
      <c r="F380" s="3184">
        <v>125</v>
      </c>
      <c r="G380" s="3185">
        <v>42250</v>
      </c>
      <c r="H380" s="3184">
        <v>120</v>
      </c>
      <c r="I380" s="3184">
        <v>28189</v>
      </c>
    </row>
    <row r="381" spans="1:9">
      <c r="A381" s="3185">
        <v>42247</v>
      </c>
      <c r="B381" s="3184" t="s">
        <v>3516</v>
      </c>
      <c r="C381" s="3184">
        <v>91</v>
      </c>
      <c r="D381" s="3184" t="s">
        <v>3569</v>
      </c>
      <c r="E381" s="3184" t="s">
        <v>3519</v>
      </c>
      <c r="F381" s="3184">
        <v>230</v>
      </c>
      <c r="G381" s="3185">
        <v>42247</v>
      </c>
      <c r="H381" s="3184">
        <v>198</v>
      </c>
      <c r="I381" s="3184">
        <v>21593</v>
      </c>
    </row>
    <row r="382" spans="1:9">
      <c r="A382" s="3185">
        <v>42239</v>
      </c>
      <c r="B382" s="3184" t="s">
        <v>3507</v>
      </c>
      <c r="C382" s="3184">
        <v>69</v>
      </c>
      <c r="D382" s="3184" t="s">
        <v>3543</v>
      </c>
      <c r="E382" s="3184" t="s">
        <v>3509</v>
      </c>
      <c r="F382" s="3184">
        <v>220</v>
      </c>
      <c r="G382" s="3185">
        <v>42240</v>
      </c>
      <c r="H382" s="3184">
        <v>208</v>
      </c>
      <c r="I382" s="3184">
        <v>29963</v>
      </c>
    </row>
    <row r="383" spans="1:9">
      <c r="A383" s="3185">
        <v>42237</v>
      </c>
      <c r="B383" s="3184" t="s">
        <v>3507</v>
      </c>
      <c r="C383" s="3184">
        <v>57</v>
      </c>
      <c r="D383" s="3184" t="s">
        <v>3569</v>
      </c>
      <c r="E383" s="3184" t="s">
        <v>3509</v>
      </c>
      <c r="F383" s="3184">
        <v>158</v>
      </c>
      <c r="G383" s="3185">
        <v>42238</v>
      </c>
      <c r="H383" s="3184">
        <v>152</v>
      </c>
      <c r="I383" s="3184">
        <v>26468</v>
      </c>
    </row>
    <row r="384" spans="1:9">
      <c r="A384" s="3185">
        <v>42191</v>
      </c>
      <c r="B384" s="3184" t="s">
        <v>3507</v>
      </c>
      <c r="C384" s="3184">
        <v>69</v>
      </c>
      <c r="D384" s="3184" t="s">
        <v>3532</v>
      </c>
      <c r="E384" s="3184" t="s">
        <v>3509</v>
      </c>
      <c r="F384" s="3184">
        <v>235</v>
      </c>
      <c r="G384" s="3185">
        <v>42191</v>
      </c>
      <c r="H384" s="3184">
        <v>230</v>
      </c>
      <c r="I384" s="3184">
        <v>33132</v>
      </c>
    </row>
    <row r="385" spans="1:9">
      <c r="A385" s="3185">
        <v>42179</v>
      </c>
      <c r="B385" s="3184" t="s">
        <v>3507</v>
      </c>
      <c r="C385" s="3184">
        <v>70</v>
      </c>
      <c r="D385" s="3184" t="s">
        <v>3572</v>
      </c>
      <c r="E385" s="3184" t="s">
        <v>3509</v>
      </c>
      <c r="F385" s="3184">
        <v>215</v>
      </c>
      <c r="G385" s="3185">
        <v>42179</v>
      </c>
      <c r="H385" s="3184">
        <v>209</v>
      </c>
      <c r="I385" s="3184">
        <v>29705</v>
      </c>
    </row>
    <row r="386" spans="1:9">
      <c r="A386" s="3185">
        <v>42148</v>
      </c>
      <c r="B386" s="3184" t="s">
        <v>3507</v>
      </c>
      <c r="C386" s="3184">
        <v>49</v>
      </c>
      <c r="D386" s="3184" t="s">
        <v>3572</v>
      </c>
      <c r="E386" s="3184" t="s">
        <v>3509</v>
      </c>
      <c r="F386" s="3184">
        <v>155</v>
      </c>
      <c r="G386" s="3185">
        <v>42148</v>
      </c>
      <c r="H386" s="3184">
        <v>145</v>
      </c>
      <c r="I386" s="3184">
        <v>29194</v>
      </c>
    </row>
    <row r="387" spans="1:9">
      <c r="A387" s="3185">
        <v>42129</v>
      </c>
      <c r="B387" s="3184" t="s">
        <v>3507</v>
      </c>
      <c r="C387" s="3184">
        <v>69</v>
      </c>
      <c r="D387" s="3184" t="s">
        <v>3572</v>
      </c>
      <c r="E387" s="3184" t="s">
        <v>3509</v>
      </c>
      <c r="F387" s="3184">
        <v>210</v>
      </c>
      <c r="G387" s="3185">
        <v>42130</v>
      </c>
      <c r="H387" s="3184">
        <v>208</v>
      </c>
      <c r="I387" s="3184">
        <v>29963</v>
      </c>
    </row>
    <row r="388" spans="1:9">
      <c r="A388" s="3185">
        <v>42122</v>
      </c>
      <c r="B388" s="3184" t="s">
        <v>3514</v>
      </c>
      <c r="C388" s="3184">
        <v>50</v>
      </c>
      <c r="D388" s="3184" t="s">
        <v>3535</v>
      </c>
      <c r="E388" s="3184" t="s">
        <v>3511</v>
      </c>
      <c r="F388" s="3184">
        <v>165</v>
      </c>
      <c r="G388" s="3185">
        <v>42123</v>
      </c>
      <c r="H388" s="3184">
        <v>160</v>
      </c>
      <c r="I388" s="3184">
        <v>31791</v>
      </c>
    </row>
    <row r="389" spans="1:9">
      <c r="A389" s="3185">
        <v>42116</v>
      </c>
      <c r="B389" s="3184" t="s">
        <v>3514</v>
      </c>
      <c r="C389" s="3184">
        <v>42</v>
      </c>
      <c r="D389" s="3184" t="s">
        <v>3535</v>
      </c>
      <c r="E389" s="3184" t="s">
        <v>3522</v>
      </c>
      <c r="F389" s="3184">
        <v>105</v>
      </c>
      <c r="G389" s="3185">
        <v>42117</v>
      </c>
      <c r="H389" s="3184">
        <v>96</v>
      </c>
      <c r="I389" s="3184">
        <v>22706</v>
      </c>
    </row>
    <row r="390" spans="1:9">
      <c r="A390" s="3185">
        <v>42112</v>
      </c>
      <c r="B390" s="3184" t="s">
        <v>3507</v>
      </c>
      <c r="C390" s="3184">
        <v>69</v>
      </c>
      <c r="D390" s="3184" t="s">
        <v>3572</v>
      </c>
      <c r="E390" s="3184" t="s">
        <v>3509</v>
      </c>
      <c r="F390" s="3184">
        <v>190</v>
      </c>
      <c r="G390" s="3185">
        <v>42113</v>
      </c>
      <c r="H390" s="3184">
        <v>183</v>
      </c>
      <c r="I390" s="3184">
        <v>26434</v>
      </c>
    </row>
    <row r="391" spans="1:9">
      <c r="A391" s="3185">
        <v>42097</v>
      </c>
      <c r="B391" s="3184" t="s">
        <v>3507</v>
      </c>
      <c r="C391" s="3184">
        <v>56</v>
      </c>
      <c r="D391" s="3184" t="s">
        <v>3532</v>
      </c>
      <c r="E391" s="3184" t="s">
        <v>3509</v>
      </c>
      <c r="F391" s="3184">
        <v>165</v>
      </c>
      <c r="G391" s="3185">
        <v>42098</v>
      </c>
      <c r="H391" s="3184">
        <v>159</v>
      </c>
      <c r="I391" s="3184">
        <v>27920</v>
      </c>
    </row>
    <row r="392" spans="1:9">
      <c r="A392" s="3185">
        <v>42078</v>
      </c>
      <c r="B392" s="3184" t="s">
        <v>3526</v>
      </c>
      <c r="C392" s="3184">
        <v>103</v>
      </c>
      <c r="D392" s="3184" t="s">
        <v>3569</v>
      </c>
      <c r="E392" s="3184" t="s">
        <v>3509</v>
      </c>
      <c r="F392" s="3184">
        <v>295</v>
      </c>
      <c r="G392" s="3185">
        <v>42079</v>
      </c>
      <c r="H392" s="3184">
        <v>265</v>
      </c>
      <c r="I392" s="3184">
        <v>25664</v>
      </c>
    </row>
    <row r="393" spans="1:9">
      <c r="A393" s="3185">
        <v>42042</v>
      </c>
      <c r="B393" s="3184" t="s">
        <v>3507</v>
      </c>
      <c r="C393" s="3184">
        <v>70</v>
      </c>
      <c r="D393" s="3184" t="s">
        <v>3553</v>
      </c>
      <c r="E393" s="3184" t="s">
        <v>3509</v>
      </c>
      <c r="F393" s="3184">
        <v>192</v>
      </c>
      <c r="G393" s="3185">
        <v>42042</v>
      </c>
      <c r="H393" s="3184">
        <v>190</v>
      </c>
      <c r="I393" s="3184">
        <v>27128</v>
      </c>
    </row>
    <row r="394" spans="1:9">
      <c r="A394" s="3185">
        <v>42034</v>
      </c>
      <c r="B394" s="3184" t="s">
        <v>3507</v>
      </c>
      <c r="C394" s="3184">
        <v>69</v>
      </c>
      <c r="D394" s="3184" t="s">
        <v>3532</v>
      </c>
      <c r="E394" s="3184" t="s">
        <v>3509</v>
      </c>
      <c r="F394" s="3184">
        <v>209</v>
      </c>
      <c r="G394" s="3185">
        <v>42035</v>
      </c>
      <c r="H394" s="3184">
        <v>200</v>
      </c>
      <c r="I394" s="3184">
        <v>28811</v>
      </c>
    </row>
    <row r="395" spans="1:9">
      <c r="A395" s="3185">
        <v>41955</v>
      </c>
      <c r="B395" s="3184" t="s">
        <v>3507</v>
      </c>
      <c r="C395" s="3184">
        <v>69</v>
      </c>
      <c r="D395" s="3184" t="s">
        <v>3535</v>
      </c>
      <c r="E395" s="3184" t="s">
        <v>3509</v>
      </c>
      <c r="F395" s="3184">
        <v>218</v>
      </c>
      <c r="G395" s="3185">
        <v>41956</v>
      </c>
      <c r="H395" s="3184">
        <v>208</v>
      </c>
      <c r="I395" s="3184">
        <v>29963</v>
      </c>
    </row>
    <row r="396" spans="1:9">
      <c r="A396" s="3185">
        <v>41943</v>
      </c>
      <c r="B396" s="3184" t="s">
        <v>3507</v>
      </c>
      <c r="C396" s="3184">
        <v>56</v>
      </c>
      <c r="D396" s="3184" t="s">
        <v>3532</v>
      </c>
      <c r="E396" s="3184" t="s">
        <v>3509</v>
      </c>
      <c r="F396" s="3184">
        <v>165</v>
      </c>
      <c r="G396" s="3185">
        <v>41943</v>
      </c>
      <c r="H396" s="3184">
        <v>158</v>
      </c>
      <c r="I396" s="3184">
        <v>28094</v>
      </c>
    </row>
    <row r="397" spans="1:9">
      <c r="A397" s="3185">
        <v>41937</v>
      </c>
      <c r="B397" s="3184" t="s">
        <v>3507</v>
      </c>
      <c r="C397" s="3184">
        <v>53</v>
      </c>
      <c r="D397" s="3184" t="s">
        <v>3574</v>
      </c>
      <c r="E397" s="3184" t="s">
        <v>3509</v>
      </c>
      <c r="F397" s="3184">
        <v>156</v>
      </c>
      <c r="G397" s="3185">
        <v>41942</v>
      </c>
      <c r="H397" s="3184">
        <v>155</v>
      </c>
      <c r="I397" s="3184">
        <v>28838</v>
      </c>
    </row>
    <row r="398" spans="1:9">
      <c r="A398" s="3185">
        <v>41929</v>
      </c>
      <c r="B398" s="3184" t="s">
        <v>3507</v>
      </c>
      <c r="C398" s="3184">
        <v>54</v>
      </c>
      <c r="D398" s="3184" t="s">
        <v>3569</v>
      </c>
      <c r="E398" s="3184" t="s">
        <v>3509</v>
      </c>
      <c r="F398" s="3184">
        <v>155</v>
      </c>
      <c r="G398" s="3185">
        <v>41934</v>
      </c>
      <c r="H398" s="3184">
        <v>149</v>
      </c>
      <c r="I398" s="3184">
        <v>27345</v>
      </c>
    </row>
    <row r="399" spans="1:9">
      <c r="A399" s="3185">
        <v>41928</v>
      </c>
      <c r="B399" s="3184" t="s">
        <v>3507</v>
      </c>
      <c r="C399" s="3184">
        <v>69</v>
      </c>
      <c r="D399" s="3184" t="s">
        <v>3535</v>
      </c>
      <c r="E399" s="3184" t="s">
        <v>3509</v>
      </c>
      <c r="F399" s="3184">
        <v>220</v>
      </c>
      <c r="G399" s="3185">
        <v>41932</v>
      </c>
      <c r="H399" s="3184">
        <v>213</v>
      </c>
      <c r="I399" s="3184">
        <v>30683</v>
      </c>
    </row>
    <row r="400" spans="1:9">
      <c r="A400" s="3185">
        <v>41925</v>
      </c>
      <c r="B400" s="3184" t="s">
        <v>3507</v>
      </c>
      <c r="C400" s="3184">
        <v>70</v>
      </c>
      <c r="D400" s="3184" t="s">
        <v>3532</v>
      </c>
      <c r="E400" s="3184" t="s">
        <v>3519</v>
      </c>
      <c r="F400" s="3184">
        <v>215</v>
      </c>
      <c r="G400" s="3185">
        <v>41928</v>
      </c>
      <c r="H400" s="3184">
        <v>200</v>
      </c>
      <c r="I400" s="3184">
        <v>28426</v>
      </c>
    </row>
    <row r="401" spans="1:9">
      <c r="A401" s="3185">
        <v>41898</v>
      </c>
      <c r="B401" s="3184" t="s">
        <v>3526</v>
      </c>
      <c r="C401" s="3184">
        <v>107</v>
      </c>
      <c r="D401" s="3184" t="s">
        <v>3553</v>
      </c>
      <c r="E401" s="3184" t="s">
        <v>3509</v>
      </c>
      <c r="F401" s="3184">
        <v>318</v>
      </c>
      <c r="G401" s="3185">
        <v>41908</v>
      </c>
      <c r="H401" s="3184">
        <v>318</v>
      </c>
      <c r="I401" s="3184">
        <v>29609</v>
      </c>
    </row>
    <row r="402" spans="1:9">
      <c r="A402" s="3185">
        <v>41877</v>
      </c>
      <c r="B402" s="3184" t="s">
        <v>3507</v>
      </c>
      <c r="C402" s="3184">
        <v>69</v>
      </c>
      <c r="D402" s="3184" t="s">
        <v>3543</v>
      </c>
      <c r="E402" s="3184" t="s">
        <v>3509</v>
      </c>
      <c r="F402" s="3184">
        <v>208</v>
      </c>
      <c r="G402" s="3185">
        <v>41879</v>
      </c>
      <c r="H402" s="3184">
        <v>191</v>
      </c>
      <c r="I402" s="3184">
        <v>27601</v>
      </c>
    </row>
    <row r="403" spans="1:9">
      <c r="A403" s="3185">
        <v>41851</v>
      </c>
      <c r="B403" s="3184" t="s">
        <v>3507</v>
      </c>
      <c r="C403" s="3184">
        <v>69</v>
      </c>
      <c r="D403" s="3184" t="s">
        <v>3543</v>
      </c>
      <c r="E403" s="3184" t="s">
        <v>3509</v>
      </c>
      <c r="F403" s="3184">
        <v>210</v>
      </c>
      <c r="G403" s="3185">
        <v>41851</v>
      </c>
      <c r="H403" s="3184">
        <v>197</v>
      </c>
      <c r="I403" s="3184">
        <v>28378</v>
      </c>
    </row>
    <row r="404" spans="1:9">
      <c r="A404" s="3185">
        <v>41846</v>
      </c>
      <c r="B404" s="3184" t="s">
        <v>3507</v>
      </c>
      <c r="C404" s="3184">
        <v>68</v>
      </c>
      <c r="D404" s="3184" t="s">
        <v>3532</v>
      </c>
      <c r="E404" s="3184" t="s">
        <v>3519</v>
      </c>
      <c r="F404" s="3184">
        <v>185</v>
      </c>
      <c r="G404" s="3185">
        <v>41848</v>
      </c>
      <c r="H404" s="3184">
        <v>179</v>
      </c>
      <c r="I404" s="3184">
        <v>26185</v>
      </c>
    </row>
    <row r="405" spans="1:9">
      <c r="A405" s="3185">
        <v>41723</v>
      </c>
      <c r="B405" s="3184" t="s">
        <v>3507</v>
      </c>
      <c r="C405" s="3184">
        <v>68</v>
      </c>
      <c r="D405" s="3184" t="s">
        <v>3535</v>
      </c>
      <c r="E405" s="3184" t="s">
        <v>3519</v>
      </c>
      <c r="F405" s="3184">
        <v>235</v>
      </c>
      <c r="G405" s="3185">
        <v>41726</v>
      </c>
      <c r="H405" s="3184">
        <v>215</v>
      </c>
      <c r="I405" s="3184">
        <v>31595</v>
      </c>
    </row>
    <row r="406" spans="1:9">
      <c r="A406" s="3185">
        <v>41693</v>
      </c>
      <c r="B406" s="3184" t="s">
        <v>3507</v>
      </c>
      <c r="C406" s="3184">
        <v>69</v>
      </c>
      <c r="D406" s="3184" t="s">
        <v>3535</v>
      </c>
      <c r="E406" s="3184" t="s">
        <v>3509</v>
      </c>
      <c r="F406" s="3184">
        <v>255</v>
      </c>
      <c r="G406" s="3185">
        <v>41694</v>
      </c>
      <c r="H406" s="3184">
        <v>245</v>
      </c>
      <c r="I406" s="3184">
        <v>35293</v>
      </c>
    </row>
    <row r="407" spans="1:9">
      <c r="A407" s="3185">
        <v>41635</v>
      </c>
      <c r="B407" s="3184" t="s">
        <v>3507</v>
      </c>
      <c r="C407" s="3184">
        <v>70</v>
      </c>
      <c r="D407" s="3184" t="s">
        <v>3553</v>
      </c>
      <c r="E407" s="3184" t="s">
        <v>3509</v>
      </c>
      <c r="F407" s="3184">
        <v>255</v>
      </c>
      <c r="G407" s="3185">
        <v>41636</v>
      </c>
      <c r="H407" s="3184">
        <v>253</v>
      </c>
      <c r="I407" s="3184">
        <v>35958</v>
      </c>
    </row>
    <row r="408" spans="1:9">
      <c r="A408" s="3185">
        <v>41608</v>
      </c>
      <c r="B408" s="3184" t="s">
        <v>3542</v>
      </c>
      <c r="C408" s="3184">
        <v>84</v>
      </c>
      <c r="D408" s="3184" t="s">
        <v>3543</v>
      </c>
      <c r="E408" s="3184" t="s">
        <v>3590</v>
      </c>
      <c r="F408" s="3184">
        <v>280</v>
      </c>
      <c r="G408" s="3185">
        <v>41608</v>
      </c>
      <c r="H408" s="3184">
        <v>272</v>
      </c>
      <c r="I408" s="3184">
        <v>32114</v>
      </c>
    </row>
    <row r="409" spans="1:9">
      <c r="A409" s="3185">
        <v>41608</v>
      </c>
      <c r="B409" s="3184" t="s">
        <v>3516</v>
      </c>
      <c r="C409" s="3184">
        <v>102</v>
      </c>
      <c r="D409" s="3184" t="s">
        <v>3538</v>
      </c>
      <c r="E409" s="3184" t="s">
        <v>3509</v>
      </c>
      <c r="F409" s="3184">
        <v>330</v>
      </c>
      <c r="G409" s="3185">
        <v>41608</v>
      </c>
      <c r="H409" s="3184">
        <v>320</v>
      </c>
      <c r="I409" s="3184">
        <v>31087</v>
      </c>
    </row>
    <row r="410" spans="1:9">
      <c r="A410" s="3185">
        <v>41588</v>
      </c>
      <c r="B410" s="3184" t="s">
        <v>3507</v>
      </c>
      <c r="C410" s="3184">
        <v>57</v>
      </c>
      <c r="D410" s="3184" t="s">
        <v>3569</v>
      </c>
      <c r="E410" s="3184" t="s">
        <v>3509</v>
      </c>
      <c r="F410" s="3184">
        <v>200</v>
      </c>
      <c r="G410" s="3185">
        <v>41589</v>
      </c>
      <c r="H410" s="3184">
        <v>190</v>
      </c>
      <c r="I410" s="3184">
        <v>33084</v>
      </c>
    </row>
    <row r="411" spans="1:9">
      <c r="A411" s="3185">
        <v>41570</v>
      </c>
      <c r="B411" s="3184" t="s">
        <v>3507</v>
      </c>
      <c r="C411" s="3184">
        <v>66</v>
      </c>
      <c r="D411" s="3184" t="s">
        <v>3535</v>
      </c>
      <c r="E411" s="3184" t="s">
        <v>3509</v>
      </c>
      <c r="F411" s="3184">
        <v>240</v>
      </c>
      <c r="G411" s="3185">
        <v>41573</v>
      </c>
      <c r="H411" s="3184">
        <v>232</v>
      </c>
      <c r="I411" s="3184">
        <v>34846</v>
      </c>
    </row>
    <row r="412" spans="1:9">
      <c r="A412" s="3185">
        <v>41570</v>
      </c>
      <c r="B412" s="3184" t="s">
        <v>3507</v>
      </c>
      <c r="C412" s="3184">
        <v>103</v>
      </c>
      <c r="D412" s="3184" t="s">
        <v>3535</v>
      </c>
      <c r="E412" s="3184" t="s">
        <v>3590</v>
      </c>
      <c r="F412" s="3184">
        <v>300</v>
      </c>
      <c r="G412" s="3185">
        <v>41573</v>
      </c>
      <c r="H412" s="3184">
        <v>296</v>
      </c>
      <c r="I412" s="3184">
        <v>28627</v>
      </c>
    </row>
    <row r="413" spans="1:9">
      <c r="A413" s="3185">
        <v>41542</v>
      </c>
      <c r="B413" s="3184" t="s">
        <v>3507</v>
      </c>
      <c r="C413" s="3184">
        <v>47</v>
      </c>
      <c r="D413" s="3184" t="s">
        <v>3574</v>
      </c>
      <c r="E413" s="3184" t="s">
        <v>3519</v>
      </c>
      <c r="F413" s="3184">
        <v>155</v>
      </c>
      <c r="G413" s="3185">
        <v>41542</v>
      </c>
      <c r="H413" s="3184">
        <v>149</v>
      </c>
      <c r="I413" s="3184">
        <v>31611</v>
      </c>
    </row>
    <row r="414" spans="1:9">
      <c r="A414" s="3185">
        <v>41514</v>
      </c>
      <c r="B414" s="3184" t="s">
        <v>3507</v>
      </c>
      <c r="C414" s="3184">
        <v>70</v>
      </c>
      <c r="D414" s="3184" t="s">
        <v>3544</v>
      </c>
      <c r="E414" s="3184" t="s">
        <v>3509</v>
      </c>
      <c r="F414" s="3184">
        <v>253</v>
      </c>
      <c r="G414" s="3185">
        <v>41515</v>
      </c>
      <c r="H414" s="3184">
        <v>245</v>
      </c>
      <c r="I414" s="3184">
        <v>34821</v>
      </c>
    </row>
    <row r="415" spans="1:9">
      <c r="A415" s="3185">
        <v>41509</v>
      </c>
      <c r="B415" s="3184" t="s">
        <v>3507</v>
      </c>
      <c r="C415" s="3184">
        <v>69</v>
      </c>
      <c r="D415" s="3184" t="s">
        <v>3535</v>
      </c>
      <c r="E415" s="3184" t="s">
        <v>3509</v>
      </c>
      <c r="F415" s="3184">
        <v>240</v>
      </c>
      <c r="G415" s="3185">
        <v>41513</v>
      </c>
      <c r="H415" s="3184">
        <v>234</v>
      </c>
      <c r="I415" s="3184">
        <v>33708</v>
      </c>
    </row>
    <row r="416" spans="1:9">
      <c r="A416" s="3185">
        <v>41472</v>
      </c>
      <c r="B416" s="3184" t="s">
        <v>3507</v>
      </c>
      <c r="C416" s="3184">
        <v>54</v>
      </c>
      <c r="D416" s="3184" t="s">
        <v>3532</v>
      </c>
      <c r="E416" s="3184" t="s">
        <v>3505</v>
      </c>
      <c r="F416" s="3184">
        <v>188</v>
      </c>
      <c r="G416" s="3185">
        <v>41473</v>
      </c>
      <c r="H416" s="3184">
        <v>184</v>
      </c>
      <c r="I416" s="3184">
        <v>33675</v>
      </c>
    </row>
    <row r="417" spans="1:9">
      <c r="A417" s="3185">
        <v>41463</v>
      </c>
      <c r="B417" s="3184" t="s">
        <v>3514</v>
      </c>
      <c r="C417" s="3184">
        <v>42</v>
      </c>
      <c r="D417" s="3184" t="s">
        <v>3569</v>
      </c>
      <c r="E417" s="3184" t="s">
        <v>3509</v>
      </c>
      <c r="F417" s="3184">
        <v>146</v>
      </c>
      <c r="G417" s="3185">
        <v>41485</v>
      </c>
      <c r="H417" s="3184">
        <v>140</v>
      </c>
      <c r="I417" s="3184">
        <v>33129</v>
      </c>
    </row>
    <row r="418" spans="1:9">
      <c r="A418" s="3185">
        <v>41461</v>
      </c>
      <c r="B418" s="3184" t="s">
        <v>3507</v>
      </c>
      <c r="C418" s="3184">
        <v>63</v>
      </c>
      <c r="D418" s="3184" t="s">
        <v>3572</v>
      </c>
      <c r="E418" s="3184" t="s">
        <v>3509</v>
      </c>
      <c r="F418" s="3184">
        <v>184</v>
      </c>
      <c r="G418" s="3185">
        <v>41470</v>
      </c>
      <c r="H418" s="3184">
        <v>183</v>
      </c>
      <c r="I418" s="3184">
        <v>28740</v>
      </c>
    </row>
    <row r="419" spans="1:9">
      <c r="A419" s="3185">
        <v>41460</v>
      </c>
      <c r="B419" s="3184" t="s">
        <v>3507</v>
      </c>
      <c r="C419" s="3184">
        <v>69</v>
      </c>
      <c r="D419" s="3184" t="s">
        <v>3535</v>
      </c>
      <c r="E419" s="3184" t="s">
        <v>3509</v>
      </c>
      <c r="F419" s="3184">
        <v>230</v>
      </c>
      <c r="G419" s="3185">
        <v>41465</v>
      </c>
      <c r="H419" s="3184">
        <v>225</v>
      </c>
      <c r="I419" s="3184">
        <v>32412</v>
      </c>
    </row>
    <row r="420" spans="1:9">
      <c r="A420" s="3185">
        <v>41441</v>
      </c>
      <c r="B420" s="3184" t="s">
        <v>3507</v>
      </c>
      <c r="C420" s="3184">
        <v>57</v>
      </c>
      <c r="D420" s="3184" t="s">
        <v>3543</v>
      </c>
      <c r="E420" s="3184" t="s">
        <v>3509</v>
      </c>
      <c r="F420" s="3184">
        <v>185</v>
      </c>
      <c r="G420" s="3185">
        <v>41453</v>
      </c>
      <c r="H420" s="3184">
        <v>175</v>
      </c>
      <c r="I420" s="3184">
        <v>30472</v>
      </c>
    </row>
    <row r="421" spans="1:9">
      <c r="A421" s="3185">
        <v>41434</v>
      </c>
      <c r="B421" s="3184" t="s">
        <v>3507</v>
      </c>
      <c r="C421" s="3184">
        <v>70</v>
      </c>
      <c r="D421" s="3184" t="s">
        <v>3543</v>
      </c>
      <c r="E421" s="3184" t="s">
        <v>3519</v>
      </c>
      <c r="F421" s="3184">
        <v>225</v>
      </c>
      <c r="G421" s="3185">
        <v>41438</v>
      </c>
      <c r="H421" s="3184">
        <v>218</v>
      </c>
      <c r="I421" s="3184">
        <v>30984</v>
      </c>
    </row>
    <row r="422" spans="1:9">
      <c r="A422" s="3185">
        <v>41433</v>
      </c>
      <c r="B422" s="3184" t="s">
        <v>3542</v>
      </c>
      <c r="C422" s="3184">
        <v>103</v>
      </c>
      <c r="D422" s="3184" t="s">
        <v>3569</v>
      </c>
      <c r="E422" s="3184" t="s">
        <v>3509</v>
      </c>
      <c r="F422" s="3184">
        <v>300</v>
      </c>
      <c r="G422" s="3185">
        <v>41437</v>
      </c>
      <c r="H422" s="3184">
        <v>298</v>
      </c>
      <c r="I422" s="3184">
        <v>28860</v>
      </c>
    </row>
    <row r="423" spans="1:9">
      <c r="A423" s="3185">
        <v>41413</v>
      </c>
      <c r="B423" s="3184" t="s">
        <v>3514</v>
      </c>
      <c r="C423" s="3184">
        <v>59</v>
      </c>
      <c r="D423" s="3184" t="s">
        <v>3569</v>
      </c>
      <c r="E423" s="3184" t="s">
        <v>3509</v>
      </c>
      <c r="F423" s="3184">
        <v>170</v>
      </c>
      <c r="G423" s="3185">
        <v>41417</v>
      </c>
      <c r="H423" s="3184">
        <v>158</v>
      </c>
      <c r="I423" s="3184">
        <v>26735</v>
      </c>
    </row>
    <row r="424" spans="1:9">
      <c r="A424" s="3185">
        <v>41342</v>
      </c>
      <c r="B424" s="3184" t="s">
        <v>3507</v>
      </c>
      <c r="C424" s="3184">
        <v>69</v>
      </c>
      <c r="D424" s="3184" t="s">
        <v>3543</v>
      </c>
      <c r="E424" s="3184" t="s">
        <v>3509</v>
      </c>
      <c r="F424" s="3184">
        <v>210</v>
      </c>
      <c r="G424" s="3185">
        <v>41344</v>
      </c>
      <c r="H424" s="3184">
        <v>204</v>
      </c>
      <c r="I424" s="3184">
        <v>29459</v>
      </c>
    </row>
    <row r="425" spans="1:9">
      <c r="A425" s="3185">
        <v>41337</v>
      </c>
      <c r="B425" s="3184" t="s">
        <v>3534</v>
      </c>
      <c r="C425" s="3184">
        <v>37</v>
      </c>
      <c r="D425" s="3184" t="s">
        <v>3535</v>
      </c>
      <c r="E425" s="3184" t="s">
        <v>3522</v>
      </c>
      <c r="F425" s="3184">
        <v>120</v>
      </c>
      <c r="G425" s="3185">
        <v>41338</v>
      </c>
      <c r="H425" s="3184">
        <v>115</v>
      </c>
      <c r="I425" s="3184">
        <v>31031</v>
      </c>
    </row>
    <row r="426" spans="1:9">
      <c r="A426" s="3185">
        <v>41337</v>
      </c>
      <c r="B426" s="3184" t="s">
        <v>3514</v>
      </c>
      <c r="C426" s="3184">
        <v>38</v>
      </c>
      <c r="D426" s="3184" t="s">
        <v>3535</v>
      </c>
      <c r="E426" s="3184" t="s">
        <v>3522</v>
      </c>
      <c r="F426" s="3184">
        <v>120</v>
      </c>
      <c r="G426" s="3185">
        <v>41337</v>
      </c>
      <c r="H426" s="3184">
        <v>120</v>
      </c>
      <c r="I426" s="3184">
        <v>31439</v>
      </c>
    </row>
    <row r="427" spans="1:9">
      <c r="A427" s="3185">
        <v>41294</v>
      </c>
      <c r="B427" s="3184" t="s">
        <v>3507</v>
      </c>
      <c r="C427" s="3184">
        <v>69</v>
      </c>
      <c r="D427" s="3184" t="s">
        <v>3543</v>
      </c>
      <c r="E427" s="3184" t="s">
        <v>3509</v>
      </c>
      <c r="F427" s="3184">
        <v>190</v>
      </c>
      <c r="G427" s="3185">
        <v>41295</v>
      </c>
      <c r="H427" s="3184">
        <v>189</v>
      </c>
      <c r="I427" s="3184">
        <v>27341</v>
      </c>
    </row>
    <row r="428" spans="1:9">
      <c r="A428" s="3185">
        <v>41277</v>
      </c>
      <c r="B428" s="3184" t="s">
        <v>3516</v>
      </c>
      <c r="C428" s="3184">
        <v>72</v>
      </c>
      <c r="D428" s="3184" t="s">
        <v>3535</v>
      </c>
      <c r="E428" s="3184" t="s">
        <v>3509</v>
      </c>
      <c r="F428" s="3184">
        <v>180</v>
      </c>
      <c r="G428" s="3185">
        <v>41279</v>
      </c>
      <c r="H428" s="3184">
        <v>175</v>
      </c>
      <c r="I428" s="3184">
        <v>24312</v>
      </c>
    </row>
    <row r="429" spans="1:9">
      <c r="A429" s="3185">
        <v>41272</v>
      </c>
      <c r="B429" s="3184" t="s">
        <v>3507</v>
      </c>
      <c r="C429" s="3184">
        <v>70</v>
      </c>
      <c r="D429" s="3184" t="s">
        <v>3532</v>
      </c>
      <c r="E429" s="3184" t="s">
        <v>3509</v>
      </c>
      <c r="F429" s="3184">
        <v>190</v>
      </c>
      <c r="G429" s="3185">
        <v>41272</v>
      </c>
      <c r="H429" s="3184">
        <v>188</v>
      </c>
      <c r="I429" s="3184">
        <v>26720</v>
      </c>
    </row>
    <row r="430" spans="1:9">
      <c r="A430" s="3185">
        <v>41245</v>
      </c>
      <c r="B430" s="3184" t="s">
        <v>3514</v>
      </c>
      <c r="C430" s="3184">
        <v>50</v>
      </c>
      <c r="D430" s="3184" t="s">
        <v>3532</v>
      </c>
      <c r="E430" s="3184" t="s">
        <v>3511</v>
      </c>
      <c r="F430" s="3184">
        <v>132</v>
      </c>
      <c r="G430" s="3185">
        <v>41246</v>
      </c>
      <c r="H430" s="3184">
        <v>127</v>
      </c>
      <c r="I430" s="3184">
        <v>25333</v>
      </c>
    </row>
    <row r="431" spans="1:9">
      <c r="A431" s="3185">
        <v>41228</v>
      </c>
      <c r="B431" s="3184" t="s">
        <v>3507</v>
      </c>
      <c r="C431" s="3184">
        <v>56</v>
      </c>
      <c r="D431" s="3184" t="s">
        <v>3532</v>
      </c>
      <c r="E431" s="3184" t="s">
        <v>3509</v>
      </c>
      <c r="F431" s="3184">
        <v>145</v>
      </c>
      <c r="G431" s="3185">
        <v>41229</v>
      </c>
      <c r="H431" s="3184">
        <v>135</v>
      </c>
      <c r="I431" s="3184">
        <v>23706</v>
      </c>
    </row>
    <row r="432" spans="1:9">
      <c r="A432" s="3185">
        <v>41205</v>
      </c>
      <c r="B432" s="3184" t="s">
        <v>3514</v>
      </c>
      <c r="C432" s="3184">
        <v>55</v>
      </c>
      <c r="D432" s="3184" t="s">
        <v>3543</v>
      </c>
      <c r="E432" s="3184" t="s">
        <v>3519</v>
      </c>
      <c r="F432" s="3184">
        <v>120</v>
      </c>
      <c r="G432" s="3185">
        <v>41205</v>
      </c>
      <c r="H432" s="3184">
        <v>115</v>
      </c>
      <c r="I432" s="3184">
        <v>20717</v>
      </c>
    </row>
    <row r="433" spans="1:9">
      <c r="A433" s="3185">
        <v>41162</v>
      </c>
      <c r="B433" s="3184" t="s">
        <v>3542</v>
      </c>
      <c r="C433" s="3184">
        <v>91</v>
      </c>
      <c r="D433" s="3184" t="s">
        <v>3543</v>
      </c>
      <c r="E433" s="3184" t="s">
        <v>3509</v>
      </c>
      <c r="F433" s="3184">
        <v>210</v>
      </c>
      <c r="G433" s="3185">
        <v>41164</v>
      </c>
      <c r="H433" s="3184">
        <v>207</v>
      </c>
      <c r="I433" s="3184">
        <v>22725</v>
      </c>
    </row>
    <row r="434" spans="1:9">
      <c r="A434" s="3185">
        <v>41147</v>
      </c>
      <c r="B434" s="3184" t="s">
        <v>3514</v>
      </c>
      <c r="C434" s="3184">
        <v>55</v>
      </c>
      <c r="D434" s="3184" t="s">
        <v>3532</v>
      </c>
      <c r="E434" s="3184" t="s">
        <v>3509</v>
      </c>
      <c r="F434" s="3184">
        <v>130</v>
      </c>
      <c r="G434" s="3185">
        <v>41150</v>
      </c>
      <c r="H434" s="3184">
        <v>128</v>
      </c>
      <c r="I434" s="3184">
        <v>23047</v>
      </c>
    </row>
    <row r="435" spans="1:9">
      <c r="A435" s="3185">
        <v>41087</v>
      </c>
      <c r="B435" s="3184" t="s">
        <v>3507</v>
      </c>
      <c r="C435" s="3184">
        <v>53</v>
      </c>
      <c r="D435" s="3184" t="s">
        <v>3532</v>
      </c>
      <c r="E435" s="3184" t="s">
        <v>3505</v>
      </c>
      <c r="F435" s="3184">
        <v>128</v>
      </c>
      <c r="G435" s="3185">
        <v>41087</v>
      </c>
      <c r="H435" s="3184">
        <v>125</v>
      </c>
      <c r="I435" s="3184">
        <v>23475</v>
      </c>
    </row>
    <row r="436" spans="1:9">
      <c r="A436" s="3185">
        <v>41063</v>
      </c>
      <c r="B436" s="3184" t="s">
        <v>3514</v>
      </c>
      <c r="C436" s="3184">
        <v>54</v>
      </c>
      <c r="D436" s="3184" t="s">
        <v>3535</v>
      </c>
      <c r="E436" s="3184" t="s">
        <v>3519</v>
      </c>
      <c r="F436" s="3184">
        <v>100</v>
      </c>
      <c r="G436" s="3185">
        <v>41064</v>
      </c>
      <c r="H436" s="3184">
        <v>100</v>
      </c>
      <c r="I436" s="3184">
        <v>18339</v>
      </c>
    </row>
    <row r="437" spans="1:9">
      <c r="A437" s="3185">
        <v>41024</v>
      </c>
      <c r="B437" s="3184" t="s">
        <v>3514</v>
      </c>
      <c r="C437" s="3184">
        <v>53</v>
      </c>
      <c r="D437" s="3184" t="s">
        <v>3535</v>
      </c>
      <c r="E437" s="3184" t="s">
        <v>3509</v>
      </c>
      <c r="F437" s="3184">
        <v>120</v>
      </c>
      <c r="G437" s="3185">
        <v>41026</v>
      </c>
      <c r="H437" s="3184">
        <v>112</v>
      </c>
      <c r="I437" s="3184">
        <v>20912</v>
      </c>
    </row>
    <row r="438" spans="1:9">
      <c r="A438" s="3185">
        <v>40950</v>
      </c>
      <c r="B438" s="3184" t="s">
        <v>3516</v>
      </c>
      <c r="C438" s="3184">
        <v>103</v>
      </c>
      <c r="D438" s="3184" t="s">
        <v>3569</v>
      </c>
      <c r="E438" s="3184" t="s">
        <v>3509</v>
      </c>
      <c r="F438" s="3184">
        <v>190</v>
      </c>
      <c r="G438" s="3185">
        <v>40951</v>
      </c>
      <c r="H438" s="3184">
        <v>190</v>
      </c>
      <c r="I438" s="3184">
        <v>18401</v>
      </c>
    </row>
    <row r="439" spans="1:9">
      <c r="A439" s="3185">
        <v>40887</v>
      </c>
      <c r="B439" s="3184" t="s">
        <v>3507</v>
      </c>
      <c r="C439" s="3184">
        <v>71</v>
      </c>
      <c r="D439" s="3184" t="s">
        <v>3535</v>
      </c>
      <c r="E439" s="3184" t="s">
        <v>3509</v>
      </c>
      <c r="F439" s="3184">
        <v>130</v>
      </c>
      <c r="G439" s="3185">
        <v>40889</v>
      </c>
      <c r="H439" s="3184">
        <v>130</v>
      </c>
      <c r="I439" s="3184">
        <v>18121</v>
      </c>
    </row>
  </sheetData>
  <phoneticPr fontId="134" type="noConversion"/>
  <pageMargins left="0.75" right="0.75" top="1" bottom="1" header="0.51" footer="0.51"/>
  <pageSetup paperSize="9" orientation="portrait" horizontalDpi="0" verticalDpi="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14" t="s">
        <v>2607</v>
      </c>
      <c r="B20" s="3504" t="s">
        <v>2628</v>
      </c>
      <c r="C20" s="3169" t="s">
        <v>2439</v>
      </c>
      <c r="D20" s="3169"/>
      <c r="E20" s="2845">
        <v>1</v>
      </c>
      <c r="F20" s="2846" t="s">
        <v>2440</v>
      </c>
      <c r="G20" s="2846"/>
    </row>
    <row r="21" spans="1:13" ht="19.5" customHeight="1">
      <c r="A21" s="3515"/>
      <c r="B21" s="3505"/>
      <c r="C21" s="2858" t="s">
        <v>2441</v>
      </c>
      <c r="D21" s="2858"/>
      <c r="E21" s="2849">
        <v>1</v>
      </c>
      <c r="F21" s="2846" t="s">
        <v>2442</v>
      </c>
      <c r="G21" s="2846"/>
    </row>
    <row r="22" spans="1:13" ht="19.5" customHeight="1">
      <c r="A22" s="3515"/>
      <c r="B22" s="3505"/>
      <c r="C22" s="2858" t="s">
        <v>2443</v>
      </c>
      <c r="D22" s="2858"/>
      <c r="E22" s="2849">
        <v>0.9</v>
      </c>
      <c r="F22" s="2846" t="s">
        <v>2444</v>
      </c>
      <c r="G22" s="2846"/>
    </row>
    <row r="23" spans="1:13" ht="19.5" customHeight="1">
      <c r="A23" s="3515"/>
      <c r="B23" s="3505"/>
      <c r="C23" s="2858" t="s">
        <v>2445</v>
      </c>
      <c r="D23" s="2858"/>
      <c r="E23" s="2849">
        <v>0.9</v>
      </c>
      <c r="F23" s="2846" t="s">
        <v>2446</v>
      </c>
      <c r="G23" s="2846"/>
    </row>
    <row r="24" spans="1:13" ht="19.5" customHeight="1">
      <c r="A24" s="3515"/>
      <c r="B24" s="3505"/>
      <c r="C24" s="2858" t="s">
        <v>2447</v>
      </c>
      <c r="D24" s="2858"/>
      <c r="E24" s="2849">
        <v>0.8</v>
      </c>
      <c r="F24" s="2846" t="s">
        <v>2448</v>
      </c>
      <c r="G24" s="2846"/>
    </row>
    <row r="25" spans="1:13" ht="19.5" customHeight="1">
      <c r="A25" s="3515"/>
      <c r="B25" s="3505"/>
      <c r="C25" s="2858" t="s">
        <v>2449</v>
      </c>
      <c r="D25" s="2858"/>
      <c r="E25" s="2849">
        <v>0.8</v>
      </c>
      <c r="F25" s="2846"/>
      <c r="G25" s="2846"/>
    </row>
    <row r="26" spans="1:13" ht="19.5" customHeight="1">
      <c r="A26" s="3515"/>
      <c r="B26" s="3505"/>
      <c r="C26" s="2858" t="s">
        <v>3407</v>
      </c>
      <c r="D26" s="2858"/>
      <c r="E26" s="2849">
        <v>0.43</v>
      </c>
      <c r="F26" s="2846"/>
      <c r="G26" s="2846"/>
    </row>
    <row r="27" spans="1:13" ht="19.5" customHeight="1" thickBot="1">
      <c r="A27" s="3516"/>
      <c r="B27" s="3506"/>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507" t="s">
        <v>2631</v>
      </c>
      <c r="B29" s="3510" t="s">
        <v>2612</v>
      </c>
      <c r="C29" s="2843" t="s">
        <v>2452</v>
      </c>
      <c r="D29" s="2844"/>
      <c r="E29" s="2845">
        <v>1</v>
      </c>
      <c r="F29" s="2846" t="s">
        <v>2453</v>
      </c>
      <c r="G29" s="2846"/>
    </row>
    <row r="30" spans="1:13" ht="19.5" customHeight="1">
      <c r="A30" s="3508"/>
      <c r="B30" s="3511"/>
      <c r="C30" s="2847" t="s">
        <v>2454</v>
      </c>
      <c r="D30" s="2848"/>
      <c r="E30" s="2849">
        <v>1</v>
      </c>
      <c r="F30" s="2846" t="s">
        <v>2455</v>
      </c>
      <c r="G30" s="2846"/>
    </row>
    <row r="31" spans="1:13" ht="19.5" customHeight="1">
      <c r="A31" s="3508"/>
      <c r="B31" s="3511"/>
      <c r="C31" s="2847" t="s">
        <v>2456</v>
      </c>
      <c r="D31" s="2848"/>
      <c r="E31" s="2849">
        <v>0.8</v>
      </c>
      <c r="F31" s="2846" t="s">
        <v>2457</v>
      </c>
      <c r="G31" s="2846"/>
    </row>
    <row r="32" spans="1:13" ht="19.5" customHeight="1">
      <c r="A32" s="3508"/>
      <c r="B32" s="3511"/>
      <c r="C32" s="2847" t="s">
        <v>2458</v>
      </c>
      <c r="D32" s="2848"/>
      <c r="E32" s="2849">
        <v>0.8</v>
      </c>
      <c r="F32" s="2846" t="s">
        <v>2459</v>
      </c>
      <c r="G32" s="2846"/>
    </row>
    <row r="33" spans="1:7" ht="19.5" customHeight="1">
      <c r="A33" s="3508"/>
      <c r="B33" s="3511"/>
      <c r="C33" s="2847" t="s">
        <v>2460</v>
      </c>
      <c r="D33" s="2848"/>
      <c r="E33" s="2849">
        <v>0.8</v>
      </c>
      <c r="F33" s="2846" t="s">
        <v>2461</v>
      </c>
      <c r="G33" s="2846"/>
    </row>
    <row r="34" spans="1:7" ht="19.5" customHeight="1">
      <c r="A34" s="3508"/>
      <c r="B34" s="3511"/>
      <c r="C34" s="2847" t="s">
        <v>2462</v>
      </c>
      <c r="D34" s="2848"/>
      <c r="E34" s="2849">
        <v>0.7</v>
      </c>
      <c r="F34" s="2846" t="s">
        <v>2463</v>
      </c>
      <c r="G34" s="2846"/>
    </row>
    <row r="35" spans="1:7" ht="19.5" customHeight="1">
      <c r="A35" s="3508"/>
      <c r="B35" s="3511"/>
      <c r="C35" s="2847" t="s">
        <v>2464</v>
      </c>
      <c r="D35" s="2848"/>
      <c r="E35" s="2849">
        <v>0.8</v>
      </c>
      <c r="F35" s="2846" t="s">
        <v>2465</v>
      </c>
      <c r="G35" s="2846"/>
    </row>
    <row r="36" spans="1:7" ht="19.5" customHeight="1">
      <c r="A36" s="3508"/>
      <c r="B36" s="3511"/>
      <c r="C36" s="2847" t="s">
        <v>2466</v>
      </c>
      <c r="D36" s="2848"/>
      <c r="E36" s="2849">
        <v>0.6</v>
      </c>
      <c r="F36" s="2846" t="s">
        <v>2467</v>
      </c>
      <c r="G36" s="2846"/>
    </row>
    <row r="37" spans="1:7" ht="19.5" customHeight="1">
      <c r="A37" s="3508"/>
      <c r="B37" s="3511"/>
      <c r="C37" s="2847" t="s">
        <v>2468</v>
      </c>
      <c r="D37" s="2848"/>
      <c r="E37" s="2849">
        <v>0.2</v>
      </c>
      <c r="F37" s="2846" t="s">
        <v>2469</v>
      </c>
      <c r="G37" s="2846"/>
    </row>
    <row r="38" spans="1:7" ht="19.5" customHeight="1">
      <c r="A38" s="3508"/>
      <c r="B38" s="3511"/>
      <c r="C38" s="2847" t="s">
        <v>2470</v>
      </c>
      <c r="D38" s="2848"/>
      <c r="E38" s="2849">
        <v>0.2</v>
      </c>
      <c r="F38" s="2846" t="s">
        <v>2471</v>
      </c>
      <c r="G38" s="2846"/>
    </row>
    <row r="39" spans="1:7" ht="19.5" customHeight="1">
      <c r="A39" s="3508"/>
      <c r="B39" s="3512" t="s">
        <v>2632</v>
      </c>
      <c r="C39" s="2847" t="s">
        <v>2472</v>
      </c>
      <c r="D39" s="2848"/>
      <c r="E39" s="2849">
        <v>0.6</v>
      </c>
      <c r="F39" s="2846" t="s">
        <v>2473</v>
      </c>
      <c r="G39" s="2846"/>
    </row>
    <row r="40" spans="1:7" ht="19.5" customHeight="1">
      <c r="A40" s="3508"/>
      <c r="B40" s="3511"/>
      <c r="C40" s="2847" t="s">
        <v>2474</v>
      </c>
      <c r="D40" s="2848"/>
      <c r="E40" s="2849">
        <v>0.6</v>
      </c>
      <c r="F40" s="2846" t="s">
        <v>2475</v>
      </c>
      <c r="G40" s="2846"/>
    </row>
    <row r="41" spans="1:7" ht="19.5" customHeight="1" thickBot="1">
      <c r="A41" s="3509"/>
      <c r="B41" s="3513"/>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514" t="s">
        <v>2610</v>
      </c>
      <c r="B43" s="3510" t="s">
        <v>2634</v>
      </c>
      <c r="C43" s="2843" t="s">
        <v>2479</v>
      </c>
      <c r="D43" s="2844"/>
      <c r="E43" s="2845">
        <v>1</v>
      </c>
      <c r="F43" s="2846" t="s">
        <v>2480</v>
      </c>
      <c r="G43" s="2846"/>
    </row>
    <row r="44" spans="1:7" ht="19.5" customHeight="1">
      <c r="A44" s="3515"/>
      <c r="B44" s="3511"/>
      <c r="C44" s="2847" t="s">
        <v>2481</v>
      </c>
      <c r="D44" s="2848"/>
      <c r="E44" s="2849">
        <v>1</v>
      </c>
      <c r="F44" s="2846" t="s">
        <v>2482</v>
      </c>
      <c r="G44" s="2846"/>
    </row>
    <row r="45" spans="1:7" ht="19.5" customHeight="1">
      <c r="A45" s="3515"/>
      <c r="B45" s="3517"/>
      <c r="C45" s="2847" t="s">
        <v>2483</v>
      </c>
      <c r="D45" s="2848"/>
      <c r="E45" s="2849">
        <v>1.5</v>
      </c>
      <c r="F45" s="2846" t="s">
        <v>2484</v>
      </c>
      <c r="G45" s="2846"/>
    </row>
    <row r="46" spans="1:7" ht="19.5" customHeight="1">
      <c r="A46" s="3515"/>
      <c r="B46" s="2858" t="s">
        <v>2635</v>
      </c>
      <c r="C46" s="2847" t="s">
        <v>2636</v>
      </c>
      <c r="D46" s="2848"/>
      <c r="E46" s="2849">
        <v>2</v>
      </c>
      <c r="F46" s="2846" t="s">
        <v>2485</v>
      </c>
      <c r="G46" s="2846"/>
    </row>
    <row r="47" spans="1:7" ht="19.5" customHeight="1">
      <c r="A47" s="3515"/>
      <c r="B47" s="3512" t="s">
        <v>2637</v>
      </c>
      <c r="C47" s="2847" t="s">
        <v>2486</v>
      </c>
      <c r="D47" s="2848"/>
      <c r="E47" s="2849">
        <v>1</v>
      </c>
      <c r="F47" s="2846" t="s">
        <v>2487</v>
      </c>
      <c r="G47" s="2846"/>
    </row>
    <row r="48" spans="1:7" ht="19.5" customHeight="1">
      <c r="A48" s="3515"/>
      <c r="B48" s="3511"/>
      <c r="C48" s="2847" t="s">
        <v>2488</v>
      </c>
      <c r="D48" s="2848"/>
      <c r="E48" s="2849">
        <v>1</v>
      </c>
      <c r="F48" s="2846" t="s">
        <v>2489</v>
      </c>
      <c r="G48" s="2846"/>
    </row>
    <row r="49" spans="1:7" ht="19.5" customHeight="1">
      <c r="A49" s="3515"/>
      <c r="B49" s="3511"/>
      <c r="C49" s="2847" t="s">
        <v>2490</v>
      </c>
      <c r="D49" s="2848"/>
      <c r="E49" s="2849">
        <v>1</v>
      </c>
      <c r="F49" s="2846" t="s">
        <v>2491</v>
      </c>
      <c r="G49" s="2846"/>
    </row>
    <row r="50" spans="1:7" ht="19.5" customHeight="1">
      <c r="A50" s="3515"/>
      <c r="B50" s="3511"/>
      <c r="C50" s="2847" t="s">
        <v>2492</v>
      </c>
      <c r="D50" s="2848"/>
      <c r="E50" s="2849">
        <v>1</v>
      </c>
      <c r="F50" s="2846" t="s">
        <v>2493</v>
      </c>
      <c r="G50" s="2846"/>
    </row>
    <row r="51" spans="1:7" ht="19.5" customHeight="1">
      <c r="A51" s="3515"/>
      <c r="B51" s="3511"/>
      <c r="C51" s="2847" t="s">
        <v>2494</v>
      </c>
      <c r="D51" s="2848"/>
      <c r="E51" s="2849">
        <v>1</v>
      </c>
      <c r="F51" s="2846" t="s">
        <v>2495</v>
      </c>
      <c r="G51" s="2846"/>
    </row>
    <row r="52" spans="1:7" ht="19.5" customHeight="1">
      <c r="A52" s="3515"/>
      <c r="B52" s="3511"/>
      <c r="C52" s="2847" t="s">
        <v>2496</v>
      </c>
      <c r="D52" s="2848"/>
      <c r="E52" s="2849">
        <v>1</v>
      </c>
      <c r="F52" s="2846" t="s">
        <v>2497</v>
      </c>
      <c r="G52" s="2846"/>
    </row>
    <row r="53" spans="1:7" ht="19.5" customHeight="1" thickBot="1">
      <c r="A53" s="3516"/>
      <c r="B53" s="3513"/>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512" t="s">
        <v>2651</v>
      </c>
      <c r="C75" s="2832" t="s">
        <v>2652</v>
      </c>
      <c r="D75" s="2832" t="s">
        <v>2653</v>
      </c>
      <c r="E75" s="2858">
        <v>0.2</v>
      </c>
      <c r="F75" s="2858">
        <v>25</v>
      </c>
    </row>
    <row r="76" spans="1:7" ht="24">
      <c r="A76" s="2858">
        <v>2</v>
      </c>
      <c r="B76" s="3511"/>
      <c r="C76" s="2832" t="s">
        <v>2654</v>
      </c>
      <c r="D76" s="2832" t="s">
        <v>2655</v>
      </c>
      <c r="E76" s="2858">
        <v>0.2</v>
      </c>
      <c r="F76" s="2858">
        <v>25</v>
      </c>
    </row>
    <row r="77" spans="1:7" ht="24">
      <c r="A77" s="2858">
        <v>3</v>
      </c>
      <c r="B77" s="3511"/>
      <c r="C77" s="2832" t="s">
        <v>2656</v>
      </c>
      <c r="D77" s="2832" t="s">
        <v>2657</v>
      </c>
      <c r="E77" s="2858">
        <v>0.2</v>
      </c>
      <c r="F77" s="2858">
        <v>25</v>
      </c>
    </row>
    <row r="78" spans="1:7" ht="13.5">
      <c r="A78" s="2858">
        <v>4</v>
      </c>
      <c r="B78" s="3511"/>
      <c r="C78" s="2832" t="s">
        <v>2658</v>
      </c>
      <c r="D78" s="2832" t="s">
        <v>2659</v>
      </c>
      <c r="E78" s="2858">
        <v>0.15</v>
      </c>
      <c r="F78" s="2858">
        <v>20</v>
      </c>
    </row>
    <row r="79" spans="1:7" ht="24">
      <c r="A79" s="2858">
        <v>5</v>
      </c>
      <c r="B79" s="3511"/>
      <c r="C79" s="2832" t="s">
        <v>2660</v>
      </c>
      <c r="D79" s="2832" t="s">
        <v>2661</v>
      </c>
      <c r="E79" s="2858">
        <v>0.15</v>
      </c>
      <c r="F79" s="2858">
        <v>20</v>
      </c>
    </row>
    <row r="80" spans="1:7" ht="24">
      <c r="A80" s="2858">
        <v>6</v>
      </c>
      <c r="B80" s="3511"/>
      <c r="C80" s="2832" t="s">
        <v>2662</v>
      </c>
      <c r="D80" s="2832" t="s">
        <v>2663</v>
      </c>
      <c r="E80" s="2858">
        <v>0.15</v>
      </c>
      <c r="F80" s="2858">
        <v>20</v>
      </c>
    </row>
    <row r="81" spans="1:6" ht="24">
      <c r="A81" s="2858">
        <v>7</v>
      </c>
      <c r="B81" s="3511"/>
      <c r="C81" s="2832" t="s">
        <v>2664</v>
      </c>
      <c r="D81" s="2832" t="s">
        <v>2665</v>
      </c>
      <c r="E81" s="2858">
        <v>0.15</v>
      </c>
      <c r="F81" s="2858">
        <v>20</v>
      </c>
    </row>
    <row r="82" spans="1:6" ht="24">
      <c r="A82" s="2858">
        <v>8</v>
      </c>
      <c r="B82" s="3511"/>
      <c r="C82" s="2832" t="s">
        <v>2666</v>
      </c>
      <c r="D82" s="2832" t="s">
        <v>2667</v>
      </c>
      <c r="E82" s="2858">
        <v>0.1</v>
      </c>
      <c r="F82" s="2858">
        <v>15</v>
      </c>
    </row>
    <row r="83" spans="1:6" ht="24">
      <c r="A83" s="2858">
        <v>9</v>
      </c>
      <c r="B83" s="3511"/>
      <c r="C83" s="2832" t="s">
        <v>2668</v>
      </c>
      <c r="D83" s="2832" t="s">
        <v>2669</v>
      </c>
      <c r="E83" s="2858">
        <v>0.1</v>
      </c>
      <c r="F83" s="2858">
        <v>15</v>
      </c>
    </row>
    <row r="84" spans="1:6" ht="24">
      <c r="A84" s="2858">
        <v>10</v>
      </c>
      <c r="B84" s="3511"/>
      <c r="C84" s="2832" t="s">
        <v>2670</v>
      </c>
      <c r="D84" s="2832" t="s">
        <v>2671</v>
      </c>
      <c r="E84" s="2858">
        <v>0.1</v>
      </c>
      <c r="F84" s="2858">
        <v>15</v>
      </c>
    </row>
    <row r="85" spans="1:6" ht="24">
      <c r="A85" s="2858">
        <v>11</v>
      </c>
      <c r="B85" s="3511"/>
      <c r="C85" s="2832" t="s">
        <v>2672</v>
      </c>
      <c r="D85" s="2832" t="s">
        <v>2673</v>
      </c>
      <c r="E85" s="2858">
        <v>0.1</v>
      </c>
      <c r="F85" s="2858">
        <v>15</v>
      </c>
    </row>
    <row r="86" spans="1:6" ht="24">
      <c r="A86" s="2858">
        <v>12</v>
      </c>
      <c r="B86" s="3511"/>
      <c r="C86" s="2832" t="s">
        <v>2674</v>
      </c>
      <c r="D86" s="2832" t="s">
        <v>2675</v>
      </c>
      <c r="E86" s="2858">
        <v>0.1</v>
      </c>
      <c r="F86" s="2858">
        <v>15</v>
      </c>
    </row>
    <row r="87" spans="1:6" ht="13.5">
      <c r="A87" s="2858">
        <v>13</v>
      </c>
      <c r="B87" s="3511"/>
      <c r="C87" s="2832" t="s">
        <v>2676</v>
      </c>
      <c r="D87" s="2832" t="s">
        <v>2677</v>
      </c>
      <c r="E87" s="2858">
        <v>0.1</v>
      </c>
      <c r="F87" s="2858">
        <v>15</v>
      </c>
    </row>
    <row r="88" spans="1:6" ht="13.5">
      <c r="A88" s="2858">
        <v>14</v>
      </c>
      <c r="B88" s="3511"/>
      <c r="C88" s="2832" t="s">
        <v>2678</v>
      </c>
      <c r="D88" s="2832" t="s">
        <v>2679</v>
      </c>
      <c r="E88" s="2858">
        <v>0.1</v>
      </c>
      <c r="F88" s="2858">
        <v>15</v>
      </c>
    </row>
    <row r="89" spans="1:6" ht="13.5">
      <c r="A89" s="2858">
        <v>15</v>
      </c>
      <c r="B89" s="3511"/>
      <c r="C89" s="2832" t="s">
        <v>2680</v>
      </c>
      <c r="D89" s="2832" t="s">
        <v>2681</v>
      </c>
      <c r="E89" s="2858">
        <v>0.1</v>
      </c>
      <c r="F89" s="2858">
        <v>15</v>
      </c>
    </row>
    <row r="90" spans="1:6" ht="24">
      <c r="A90" s="2858">
        <v>16</v>
      </c>
      <c r="B90" s="3511"/>
      <c r="C90" s="2832" t="s">
        <v>2682</v>
      </c>
      <c r="D90" s="2832" t="s">
        <v>2683</v>
      </c>
      <c r="E90" s="2858">
        <v>0.1</v>
      </c>
      <c r="F90" s="2858">
        <v>15</v>
      </c>
    </row>
    <row r="91" spans="1:6" ht="24">
      <c r="A91" s="2858">
        <v>17</v>
      </c>
      <c r="B91" s="3517"/>
      <c r="C91" s="2832" t="s">
        <v>2684</v>
      </c>
      <c r="D91" s="2832" t="s">
        <v>2685</v>
      </c>
      <c r="E91" s="2858">
        <v>0.1</v>
      </c>
      <c r="F91" s="2858">
        <v>15</v>
      </c>
    </row>
    <row r="92" spans="1:6" ht="13.5">
      <c r="A92" s="2858">
        <v>18</v>
      </c>
      <c r="B92" s="3512" t="s">
        <v>2686</v>
      </c>
      <c r="C92" s="2832" t="s">
        <v>2687</v>
      </c>
      <c r="D92" s="2832" t="s">
        <v>2688</v>
      </c>
      <c r="E92" s="2858">
        <v>0.2</v>
      </c>
      <c r="F92" s="2858">
        <v>25</v>
      </c>
    </row>
    <row r="93" spans="1:6" ht="24">
      <c r="A93" s="2858">
        <v>19</v>
      </c>
      <c r="B93" s="3511"/>
      <c r="C93" s="2832" t="s">
        <v>2689</v>
      </c>
      <c r="D93" s="2832" t="s">
        <v>2690</v>
      </c>
      <c r="E93" s="2858">
        <v>0.2</v>
      </c>
      <c r="F93" s="2858">
        <v>25</v>
      </c>
    </row>
    <row r="94" spans="1:6" ht="13.5">
      <c r="A94" s="2858">
        <v>20</v>
      </c>
      <c r="B94" s="3511"/>
      <c r="C94" s="2832" t="s">
        <v>2691</v>
      </c>
      <c r="D94" s="2832" t="s">
        <v>2692</v>
      </c>
      <c r="E94" s="2858">
        <v>0.15</v>
      </c>
      <c r="F94" s="2858">
        <v>20</v>
      </c>
    </row>
    <row r="95" spans="1:6" ht="13.5">
      <c r="A95" s="2858">
        <v>21</v>
      </c>
      <c r="B95" s="3511"/>
      <c r="C95" s="2832" t="s">
        <v>2693</v>
      </c>
      <c r="D95" s="2832" t="s">
        <v>2694</v>
      </c>
      <c r="E95" s="2858">
        <v>0.15</v>
      </c>
      <c r="F95" s="2858">
        <v>20</v>
      </c>
    </row>
    <row r="96" spans="1:6" ht="13.5">
      <c r="A96" s="2858">
        <v>22</v>
      </c>
      <c r="B96" s="3511"/>
      <c r="C96" s="2832" t="s">
        <v>2695</v>
      </c>
      <c r="D96" s="2832" t="s">
        <v>2696</v>
      </c>
      <c r="E96" s="2858">
        <v>0.15</v>
      </c>
      <c r="F96" s="2858">
        <v>20</v>
      </c>
    </row>
    <row r="97" spans="1:6" ht="36">
      <c r="A97" s="2858">
        <v>23</v>
      </c>
      <c r="B97" s="3511"/>
      <c r="C97" s="2832" t="s">
        <v>2697</v>
      </c>
      <c r="D97" s="2832" t="s">
        <v>2698</v>
      </c>
      <c r="E97" s="2858">
        <v>0.15</v>
      </c>
      <c r="F97" s="2858">
        <v>20</v>
      </c>
    </row>
    <row r="98" spans="1:6" ht="13.5">
      <c r="A98" s="2858">
        <v>24</v>
      </c>
      <c r="B98" s="3511"/>
      <c r="C98" s="2832" t="s">
        <v>2699</v>
      </c>
      <c r="D98" s="2832" t="s">
        <v>2700</v>
      </c>
      <c r="E98" s="2858">
        <v>0.1</v>
      </c>
      <c r="F98" s="2858">
        <v>15</v>
      </c>
    </row>
    <row r="99" spans="1:6" ht="13.5">
      <c r="A99" s="2858">
        <v>25</v>
      </c>
      <c r="B99" s="3511"/>
      <c r="C99" s="2832" t="s">
        <v>2701</v>
      </c>
      <c r="D99" s="2832" t="s">
        <v>2702</v>
      </c>
      <c r="E99" s="2858">
        <v>0.1</v>
      </c>
      <c r="F99" s="2858">
        <v>15</v>
      </c>
    </row>
    <row r="100" spans="1:6" ht="24">
      <c r="A100" s="2858">
        <v>26</v>
      </c>
      <c r="B100" s="3511"/>
      <c r="C100" s="2832" t="s">
        <v>2703</v>
      </c>
      <c r="D100" s="2832" t="s">
        <v>2704</v>
      </c>
      <c r="E100" s="2858">
        <v>0.1</v>
      </c>
      <c r="F100" s="2858">
        <v>15</v>
      </c>
    </row>
    <row r="101" spans="1:6" ht="24">
      <c r="A101" s="2858">
        <v>27</v>
      </c>
      <c r="B101" s="3511"/>
      <c r="C101" s="2832" t="s">
        <v>2705</v>
      </c>
      <c r="D101" s="2832" t="s">
        <v>2706</v>
      </c>
      <c r="E101" s="2858">
        <v>0.1</v>
      </c>
      <c r="F101" s="2858">
        <v>15</v>
      </c>
    </row>
    <row r="102" spans="1:6" ht="13.5">
      <c r="A102" s="2858">
        <v>28</v>
      </c>
      <c r="B102" s="3511"/>
      <c r="C102" s="2832" t="s">
        <v>2707</v>
      </c>
      <c r="D102" s="2832" t="s">
        <v>2708</v>
      </c>
      <c r="E102" s="2858">
        <v>0.1</v>
      </c>
      <c r="F102" s="2858">
        <v>15</v>
      </c>
    </row>
    <row r="103" spans="1:6" ht="13.5">
      <c r="A103" s="2858">
        <v>29</v>
      </c>
      <c r="B103" s="3511"/>
      <c r="C103" s="2832" t="s">
        <v>2709</v>
      </c>
      <c r="D103" s="2832" t="s">
        <v>2710</v>
      </c>
      <c r="E103" s="2858">
        <v>0.1</v>
      </c>
      <c r="F103" s="2858">
        <v>15</v>
      </c>
    </row>
    <row r="104" spans="1:6" ht="13.5">
      <c r="A104" s="2858">
        <v>30</v>
      </c>
      <c r="B104" s="3511"/>
      <c r="C104" s="2832" t="s">
        <v>2711</v>
      </c>
      <c r="D104" s="2832" t="s">
        <v>2712</v>
      </c>
      <c r="E104" s="2858">
        <v>0.1</v>
      </c>
      <c r="F104" s="2858">
        <v>15</v>
      </c>
    </row>
    <row r="105" spans="1:6" ht="24">
      <c r="A105" s="2858">
        <v>31</v>
      </c>
      <c r="B105" s="3511"/>
      <c r="C105" s="2832" t="s">
        <v>2713</v>
      </c>
      <c r="D105" s="2832" t="s">
        <v>2714</v>
      </c>
      <c r="E105" s="2858">
        <v>0.1</v>
      </c>
      <c r="F105" s="2858">
        <v>15</v>
      </c>
    </row>
    <row r="106" spans="1:6" ht="24">
      <c r="A106" s="2858">
        <v>32</v>
      </c>
      <c r="B106" s="3511"/>
      <c r="C106" s="2832" t="s">
        <v>2715</v>
      </c>
      <c r="D106" s="2832" t="s">
        <v>2716</v>
      </c>
      <c r="E106" s="2858">
        <v>0.1</v>
      </c>
      <c r="F106" s="2858">
        <v>15</v>
      </c>
    </row>
    <row r="107" spans="1:6" ht="24">
      <c r="A107" s="2858">
        <v>33</v>
      </c>
      <c r="B107" s="3511"/>
      <c r="C107" s="2832" t="s">
        <v>2717</v>
      </c>
      <c r="D107" s="2832" t="s">
        <v>2718</v>
      </c>
      <c r="E107" s="2858">
        <v>0.1</v>
      </c>
      <c r="F107" s="2858">
        <v>15</v>
      </c>
    </row>
    <row r="108" spans="1:6" ht="24">
      <c r="A108" s="2858">
        <v>34</v>
      </c>
      <c r="B108" s="3517"/>
      <c r="C108" s="2832" t="s">
        <v>2719</v>
      </c>
      <c r="D108" s="2832" t="s">
        <v>2720</v>
      </c>
      <c r="E108" s="2858">
        <v>0.1</v>
      </c>
      <c r="F108" s="2858">
        <v>15</v>
      </c>
    </row>
    <row r="109" spans="1:6" ht="24">
      <c r="A109" s="2858">
        <v>35</v>
      </c>
      <c r="B109" s="3512" t="s">
        <v>2721</v>
      </c>
      <c r="C109" s="2858" t="s">
        <v>2722</v>
      </c>
      <c r="D109" s="2832" t="s">
        <v>2723</v>
      </c>
      <c r="E109" s="2858">
        <v>0.15</v>
      </c>
      <c r="F109" s="2858">
        <v>20</v>
      </c>
    </row>
    <row r="110" spans="1:6" ht="13.5">
      <c r="A110" s="2858">
        <v>36</v>
      </c>
      <c r="B110" s="3511"/>
      <c r="C110" s="2858" t="s">
        <v>2724</v>
      </c>
      <c r="D110" s="2832" t="s">
        <v>2725</v>
      </c>
      <c r="E110" s="2858">
        <v>0.15</v>
      </c>
      <c r="F110" s="2858">
        <v>20</v>
      </c>
    </row>
    <row r="111" spans="1:6" ht="13.5">
      <c r="A111" s="2858">
        <v>37</v>
      </c>
      <c r="B111" s="3511"/>
      <c r="C111" s="2858" t="s">
        <v>2726</v>
      </c>
      <c r="D111" s="2832" t="s">
        <v>2727</v>
      </c>
      <c r="E111" s="2858">
        <v>0.15</v>
      </c>
      <c r="F111" s="2858">
        <v>20</v>
      </c>
    </row>
    <row r="112" spans="1:6" ht="13.5">
      <c r="A112" s="2858">
        <v>38</v>
      </c>
      <c r="B112" s="3511"/>
      <c r="C112" s="2858" t="s">
        <v>2728</v>
      </c>
      <c r="D112" s="2832" t="s">
        <v>2729</v>
      </c>
      <c r="E112" s="2858">
        <v>0.1</v>
      </c>
      <c r="F112" s="2858">
        <v>15</v>
      </c>
    </row>
    <row r="113" spans="1:6" ht="24">
      <c r="A113" s="2858">
        <v>39</v>
      </c>
      <c r="B113" s="3511"/>
      <c r="C113" s="2858" t="s">
        <v>2730</v>
      </c>
      <c r="D113" s="2832" t="s">
        <v>2731</v>
      </c>
      <c r="E113" s="2858">
        <v>0.1</v>
      </c>
      <c r="F113" s="2858">
        <v>15</v>
      </c>
    </row>
    <row r="114" spans="1:6" ht="24">
      <c r="A114" s="2858">
        <v>40</v>
      </c>
      <c r="B114" s="3517"/>
      <c r="C114" s="2858" t="s">
        <v>2732</v>
      </c>
      <c r="D114" s="2832" t="s">
        <v>2733</v>
      </c>
      <c r="E114" s="2858">
        <v>0.1</v>
      </c>
      <c r="F114" s="2858">
        <v>15</v>
      </c>
    </row>
    <row r="115" spans="1:6" ht="13.5">
      <c r="A115" s="2858">
        <v>41</v>
      </c>
      <c r="B115" s="3505" t="s">
        <v>2734</v>
      </c>
      <c r="C115" s="2858" t="s">
        <v>2735</v>
      </c>
      <c r="D115" s="2832" t="s">
        <v>2736</v>
      </c>
      <c r="E115" s="2858">
        <v>0.1</v>
      </c>
      <c r="F115" s="2858">
        <v>15</v>
      </c>
    </row>
    <row r="116" spans="1:6" ht="13.5">
      <c r="A116" s="2858">
        <v>42</v>
      </c>
      <c r="B116" s="3505"/>
      <c r="C116" s="2858" t="s">
        <v>2737</v>
      </c>
      <c r="D116" s="2832" t="s">
        <v>2738</v>
      </c>
      <c r="E116" s="2858">
        <v>0.1</v>
      </c>
      <c r="F116" s="2858">
        <v>15</v>
      </c>
    </row>
    <row r="117" spans="1:6" ht="24">
      <c r="A117" s="2858">
        <v>43</v>
      </c>
      <c r="B117" s="3505"/>
      <c r="C117" s="2858" t="s">
        <v>2739</v>
      </c>
      <c r="D117" s="2832" t="s">
        <v>2740</v>
      </c>
      <c r="E117" s="2858">
        <v>0.1</v>
      </c>
      <c r="F117" s="2858">
        <v>15</v>
      </c>
    </row>
    <row r="118" spans="1:6" ht="13.5">
      <c r="A118" s="2858">
        <v>44</v>
      </c>
      <c r="B118" s="3512" t="s">
        <v>2741</v>
      </c>
      <c r="C118" s="2858" t="s">
        <v>2742</v>
      </c>
      <c r="D118" s="2832" t="s">
        <v>2743</v>
      </c>
      <c r="E118" s="2858">
        <v>0.1</v>
      </c>
      <c r="F118" s="2858">
        <v>15</v>
      </c>
    </row>
    <row r="119" spans="1:6" ht="24">
      <c r="A119" s="2858">
        <v>45</v>
      </c>
      <c r="B119" s="3517"/>
      <c r="C119" s="2832" t="s">
        <v>2744</v>
      </c>
      <c r="D119" s="2832" t="s">
        <v>2745</v>
      </c>
      <c r="E119" s="2858">
        <v>0.1</v>
      </c>
      <c r="F119" s="2858">
        <v>15</v>
      </c>
    </row>
    <row r="120" spans="1:6" ht="24">
      <c r="A120" s="2858">
        <v>46</v>
      </c>
      <c r="B120" s="3512" t="s">
        <v>2746</v>
      </c>
      <c r="C120" s="2858" t="s">
        <v>2747</v>
      </c>
      <c r="D120" s="2832" t="s">
        <v>2748</v>
      </c>
      <c r="E120" s="2858">
        <v>0.1</v>
      </c>
      <c r="F120" s="2858">
        <v>15</v>
      </c>
    </row>
    <row r="121" spans="1:6" ht="24">
      <c r="A121" s="2858">
        <v>47</v>
      </c>
      <c r="B121" s="3517"/>
      <c r="C121" s="2858" t="s">
        <v>2749</v>
      </c>
      <c r="D121" s="2832" t="s">
        <v>2750</v>
      </c>
      <c r="E121" s="2858">
        <v>0.1</v>
      </c>
      <c r="F121" s="2858">
        <v>15</v>
      </c>
    </row>
    <row r="122" spans="1:6" ht="13.5">
      <c r="A122" s="2858">
        <v>48</v>
      </c>
      <c r="B122" s="3512" t="s">
        <v>2751</v>
      </c>
      <c r="C122" s="2858" t="s">
        <v>2752</v>
      </c>
      <c r="D122" s="2832" t="s">
        <v>2753</v>
      </c>
      <c r="E122" s="2858">
        <v>0.1</v>
      </c>
      <c r="F122" s="2858">
        <v>15</v>
      </c>
    </row>
    <row r="123" spans="1:6" ht="13.5">
      <c r="A123" s="2858">
        <v>49</v>
      </c>
      <c r="B123" s="3517"/>
      <c r="C123" s="2858" t="s">
        <v>2754</v>
      </c>
      <c r="D123" s="2832" t="s">
        <v>2755</v>
      </c>
      <c r="E123" s="2858">
        <v>0.1</v>
      </c>
      <c r="F123" s="2858">
        <v>15</v>
      </c>
    </row>
    <row r="124" spans="1:6" ht="24">
      <c r="A124" s="2858">
        <v>50</v>
      </c>
      <c r="B124" s="3505" t="s">
        <v>2756</v>
      </c>
      <c r="C124" s="2858" t="s">
        <v>2757</v>
      </c>
      <c r="D124" s="2832" t="s">
        <v>2758</v>
      </c>
      <c r="E124" s="2858">
        <v>0.1</v>
      </c>
      <c r="F124" s="2858">
        <v>15</v>
      </c>
    </row>
    <row r="125" spans="1:6" ht="24">
      <c r="A125" s="2858">
        <v>51</v>
      </c>
      <c r="B125" s="3505"/>
      <c r="C125" s="2858" t="s">
        <v>2759</v>
      </c>
      <c r="D125" s="2832" t="s">
        <v>2760</v>
      </c>
      <c r="E125" s="2858">
        <v>0.1</v>
      </c>
      <c r="F125" s="2858">
        <v>15</v>
      </c>
    </row>
    <row r="126" spans="1:6" ht="24">
      <c r="A126" s="2858">
        <v>52</v>
      </c>
      <c r="B126" s="3505" t="s">
        <v>2761</v>
      </c>
      <c r="C126" s="2858" t="s">
        <v>2762</v>
      </c>
      <c r="D126" s="2832" t="s">
        <v>2763</v>
      </c>
      <c r="E126" s="2858">
        <v>0.1</v>
      </c>
      <c r="F126" s="2858">
        <v>15</v>
      </c>
    </row>
    <row r="127" spans="1:6" ht="24">
      <c r="A127" s="2858">
        <v>53</v>
      </c>
      <c r="B127" s="3505"/>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505" t="s">
        <v>2769</v>
      </c>
      <c r="C129" s="2858" t="s">
        <v>2770</v>
      </c>
      <c r="D129" s="2832" t="s">
        <v>2771</v>
      </c>
      <c r="E129" s="2858">
        <v>0.1</v>
      </c>
      <c r="F129" s="2858">
        <v>15</v>
      </c>
    </row>
    <row r="130" spans="1:6" ht="13.5">
      <c r="A130" s="2858">
        <v>56</v>
      </c>
      <c r="B130" s="3505"/>
      <c r="C130" s="2858" t="s">
        <v>2772</v>
      </c>
      <c r="D130" s="2832" t="s">
        <v>2773</v>
      </c>
      <c r="E130" s="2858">
        <v>0.1</v>
      </c>
      <c r="F130" s="2858">
        <v>15</v>
      </c>
    </row>
    <row r="131" spans="1:6" ht="24">
      <c r="A131" s="2858">
        <v>57</v>
      </c>
      <c r="B131" s="3505"/>
      <c r="C131" s="2858" t="s">
        <v>2774</v>
      </c>
      <c r="D131" s="2832" t="s">
        <v>2775</v>
      </c>
      <c r="E131" s="2858">
        <v>0.1</v>
      </c>
      <c r="F131" s="2858">
        <v>15</v>
      </c>
    </row>
    <row r="132" spans="1:6" ht="24">
      <c r="A132" s="2858">
        <v>58</v>
      </c>
      <c r="B132" s="3505" t="s">
        <v>2776</v>
      </c>
      <c r="C132" s="2858" t="s">
        <v>2777</v>
      </c>
      <c r="D132" s="2832" t="s">
        <v>2778</v>
      </c>
      <c r="E132" s="2858">
        <v>0.1</v>
      </c>
      <c r="F132" s="2858">
        <v>15</v>
      </c>
    </row>
    <row r="133" spans="1:6" ht="13.5">
      <c r="A133" s="2858">
        <v>59</v>
      </c>
      <c r="B133" s="3505"/>
      <c r="C133" s="2858" t="s">
        <v>2779</v>
      </c>
      <c r="D133" s="2832" t="s">
        <v>2780</v>
      </c>
      <c r="E133" s="2858">
        <v>0.1</v>
      </c>
      <c r="F133" s="2858">
        <v>15</v>
      </c>
    </row>
    <row r="134" spans="1:6" ht="13.5">
      <c r="A134" s="2858">
        <v>60</v>
      </c>
      <c r="B134" s="3512" t="s">
        <v>2781</v>
      </c>
      <c r="C134" s="2858" t="s">
        <v>2782</v>
      </c>
      <c r="D134" s="2832" t="s">
        <v>2783</v>
      </c>
      <c r="E134" s="2858">
        <v>0.1</v>
      </c>
      <c r="F134" s="2858">
        <v>15</v>
      </c>
    </row>
    <row r="135" spans="1:6" ht="13.5">
      <c r="A135" s="2858">
        <v>61</v>
      </c>
      <c r="B135" s="3517"/>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505" t="s">
        <v>2789</v>
      </c>
      <c r="C137" s="2858" t="s">
        <v>2790</v>
      </c>
      <c r="D137" s="2832" t="s">
        <v>2791</v>
      </c>
      <c r="E137" s="2858">
        <v>0.1</v>
      </c>
      <c r="F137" s="2858">
        <v>15</v>
      </c>
    </row>
    <row r="138" spans="1:6" ht="13.5">
      <c r="A138" s="2858">
        <v>64</v>
      </c>
      <c r="B138" s="3505"/>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2"/>
      <c r="C2" s="3202"/>
      <c r="D2" s="3202"/>
      <c r="E2" s="3202"/>
    </row>
    <row r="3" spans="1:5" ht="18">
      <c r="A3" s="3203" t="str">
        <f>IF(项目基本情况!B9="房地产市场价值","估价结果一览表（市场价值不需“结果表-1”）","估价结果一览表")</f>
        <v>估价结果一览表（市场价值不需“结果表-1”）</v>
      </c>
      <c r="B3" s="3203"/>
      <c r="C3" s="3203"/>
      <c r="D3" s="3203"/>
      <c r="E3" s="3203"/>
    </row>
    <row r="4" spans="1:5" ht="19.5" thickBot="1">
      <c r="A4" s="1391"/>
      <c r="B4" s="3201" t="s">
        <v>917</v>
      </c>
      <c r="C4" s="3201"/>
      <c r="D4" s="3201"/>
      <c r="E4" s="1391"/>
    </row>
    <row r="5" spans="1:5" ht="16.5" thickTop="1">
      <c r="B5" s="3199" t="s">
        <v>909</v>
      </c>
      <c r="C5" s="1392" t="s">
        <v>910</v>
      </c>
      <c r="D5" s="797" t="e">
        <f ca="1">结果表!H101</f>
        <v>#REF!</v>
      </c>
    </row>
    <row r="6" spans="1:5" ht="15.75">
      <c r="B6" s="3199"/>
      <c r="C6" s="1392" t="s">
        <v>911</v>
      </c>
      <c r="D6" s="797" t="e">
        <f ca="1">NUMBERSTRING(INT(D5*10000),2)&amp;"元整"</f>
        <v>#REF!</v>
      </c>
    </row>
    <row r="7" spans="1:5" ht="15.75">
      <c r="B7" s="3204"/>
      <c r="C7" s="1393" t="s">
        <v>912</v>
      </c>
      <c r="D7" s="798" t="e">
        <f ca="1">结果表!H102</f>
        <v>#REF!</v>
      </c>
    </row>
    <row r="8" spans="1:5" ht="15.75">
      <c r="B8" s="3205" t="str">
        <f>结果表!E103</f>
        <v>2.估价师知悉的法定优先受偿款</v>
      </c>
      <c r="C8" s="1394" t="s">
        <v>913</v>
      </c>
      <c r="D8" s="798">
        <f>结果表!H103</f>
        <v>0</v>
      </c>
    </row>
    <row r="9" spans="1:5" ht="15.75">
      <c r="B9" s="320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98" t="str">
        <f>结果表!E107</f>
        <v>3.房地产抵押价值</v>
      </c>
      <c r="C13" s="1397" t="s">
        <v>910</v>
      </c>
      <c r="D13" s="800" t="e">
        <f ca="1">结果表!H107</f>
        <v>#REF!</v>
      </c>
    </row>
    <row r="14" spans="1:5" ht="15.75">
      <c r="B14" s="3199"/>
      <c r="C14" s="1392" t="s">
        <v>911</v>
      </c>
      <c r="D14" s="797" t="e">
        <f ca="1">NUMBERSTRING(INT(D13*10000),2)&amp;"元整"</f>
        <v>#REF!</v>
      </c>
    </row>
    <row r="15" spans="1:5" ht="15">
      <c r="B15" s="3204"/>
      <c r="C15" s="1393" t="s">
        <v>921</v>
      </c>
      <c r="D15" s="806" t="e">
        <f ca="1">结果表!H108</f>
        <v>#REF!</v>
      </c>
    </row>
    <row r="16" spans="1:5" ht="15">
      <c r="B16" s="3205" t="str">
        <f>结果表!E109</f>
        <v>——</v>
      </c>
      <c r="C16" s="1397" t="s">
        <v>922</v>
      </c>
      <c r="D16" s="1398" t="str">
        <f>结果表!H109</f>
        <v>——</v>
      </c>
    </row>
    <row r="17" spans="1:5" ht="15.75">
      <c r="B17" s="3206"/>
      <c r="C17" s="1392" t="s">
        <v>923</v>
      </c>
      <c r="D17" s="797" t="e">
        <f>NUMBERSTRING(INT(D16*10000),2)&amp;"元整"</f>
        <v>#VALUE!</v>
      </c>
    </row>
    <row r="18" spans="1:5" ht="15">
      <c r="B18" s="3207"/>
      <c r="C18" s="1393" t="s">
        <v>912</v>
      </c>
      <c r="D18" s="806" t="str">
        <f>结果表!H110</f>
        <v>——</v>
      </c>
    </row>
    <row r="19" spans="1:5" ht="15.75">
      <c r="B19" s="3198" t="str">
        <f>结果表!E111</f>
        <v>——</v>
      </c>
      <c r="C19" s="1397" t="s">
        <v>910</v>
      </c>
      <c r="D19" s="798" t="str">
        <f>结果表!H111</f>
        <v>——</v>
      </c>
    </row>
    <row r="20" spans="1:5" ht="15.75">
      <c r="B20" s="3199"/>
      <c r="C20" s="1392" t="s">
        <v>923</v>
      </c>
      <c r="D20" s="797" t="e">
        <f>NUMBERSTRING(INT(D19*10000),2)&amp;"元整"</f>
        <v>#VALUE!</v>
      </c>
    </row>
    <row r="21" spans="1:5" ht="15.75" thickBot="1">
      <c r="B21" s="320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1.1214999999999999</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1.0668</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26611</v>
      </c>
      <c r="C2" s="2" t="s">
        <v>106</v>
      </c>
      <c r="D2" s="191"/>
      <c r="E2" s="191"/>
      <c r="F2" s="191"/>
      <c r="G2" s="191"/>
    </row>
    <row r="3" spans="1:7" s="192" customFormat="1" ht="18" customHeight="1" thickBot="1">
      <c r="A3" s="195" t="s">
        <v>58</v>
      </c>
      <c r="B3" s="196">
        <f ca="1">ROUND(B2*10000/'数据-汇总表'!E3,0)</f>
        <v>4949042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53.77</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53.77</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621</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3123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3123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26599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53.77</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79" t="s">
        <v>94</v>
      </c>
    </row>
    <row r="43" spans="1:7" ht="13.5" customHeight="1">
      <c r="A43" s="734" t="s">
        <v>347</v>
      </c>
      <c r="B43" s="207" t="s">
        <v>426</v>
      </c>
      <c r="C43" s="230">
        <f ca="1">ROUND(IF('数据-取费表'!B22&lt;=1,C39*F22*'数据-取费表'!B21/2,C39*(POWER((1+F22),'数据-取费表'!B21/2)-1)),0)</f>
        <v>0</v>
      </c>
      <c r="D43" s="230"/>
      <c r="E43" s="230"/>
      <c r="F43" s="231"/>
      <c r="G43" s="3380"/>
    </row>
    <row r="44" spans="1:7" ht="13.5" customHeight="1">
      <c r="A44" s="734" t="s">
        <v>348</v>
      </c>
      <c r="B44" s="207" t="s">
        <v>428</v>
      </c>
      <c r="C44" s="230">
        <f ca="1">ROUND(IF('数据-取费表'!B22&lt;=1,C40*F22*'数据-取费表'!B21/2,C40*(POWER((1+F22),'数据-取费表'!B21/2)-1)),4)</f>
        <v>2.9999999999999997E-4</v>
      </c>
      <c r="D44" s="230"/>
      <c r="E44" s="230"/>
      <c r="F44" s="231"/>
      <c r="G44" s="3381"/>
    </row>
    <row r="45" spans="1:7" s="206" customFormat="1" ht="13.5" customHeight="1">
      <c r="A45" s="731" t="s">
        <v>341</v>
      </c>
      <c r="B45" s="236" t="s">
        <v>85</v>
      </c>
      <c r="C45" s="237">
        <f>C46</f>
        <v>2</v>
      </c>
      <c r="D45" s="227">
        <f>C47</f>
        <v>3.0000000000000001E-3</v>
      </c>
      <c r="E45" s="228" t="s">
        <v>102</v>
      </c>
      <c r="F45" s="238"/>
      <c r="G45" s="239" t="s">
        <v>434</v>
      </c>
    </row>
    <row r="46" spans="1:7" s="206" customFormat="1" ht="13.5" customHeight="1">
      <c r="A46" s="734" t="s">
        <v>349</v>
      </c>
      <c r="B46" s="240" t="s">
        <v>427</v>
      </c>
      <c r="C46" s="241">
        <f>ROUND((C33+C39)*F27,0)</f>
        <v>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v>
      </c>
      <c r="D49" s="224"/>
      <c r="E49" s="224"/>
      <c r="F49" s="256"/>
      <c r="G49" s="226" t="s">
        <v>435</v>
      </c>
    </row>
    <row r="50" spans="1:7" s="250" customFormat="1" ht="24">
      <c r="A50" s="731" t="s">
        <v>344</v>
      </c>
      <c r="B50" s="202" t="s">
        <v>97</v>
      </c>
      <c r="C50" s="224"/>
      <c r="D50" s="224"/>
      <c r="E50" s="224"/>
      <c r="F50" s="256">
        <f>IF('数据-取费表'!B24=0,'数据-取费表'!N16,1)</f>
        <v>0.65</v>
      </c>
      <c r="G50" s="239" t="s">
        <v>98</v>
      </c>
    </row>
    <row r="51" spans="1:7" ht="16.5" customHeight="1">
      <c r="A51" s="731" t="s">
        <v>345</v>
      </c>
      <c r="B51" s="202" t="s">
        <v>105</v>
      </c>
      <c r="C51" s="224">
        <f ca="1">ROUND(C49*F50,0)</f>
        <v>12</v>
      </c>
      <c r="D51" s="224"/>
      <c r="E51" s="224"/>
      <c r="F51" s="256"/>
      <c r="G51" s="226" t="s">
        <v>37</v>
      </c>
    </row>
    <row r="52" spans="1:7" s="200" customFormat="1" ht="16.5" thickBot="1">
      <c r="A52" s="257" t="s">
        <v>38</v>
      </c>
      <c r="B52" s="258"/>
      <c r="C52" s="259">
        <f ca="1">C31+C51</f>
        <v>26611</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18" t="s">
        <v>3181</v>
      </c>
      <c r="B1" s="3518"/>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4"/>
  </cols>
  <sheetData>
    <row r="1" spans="1:6">
      <c r="A1" s="3519" t="s">
        <v>3232</v>
      </c>
      <c r="B1" s="3519"/>
      <c r="C1" s="3519"/>
      <c r="D1" s="3519"/>
      <c r="E1" s="3519"/>
      <c r="F1" s="3520"/>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46016</v>
      </c>
      <c r="B1" s="2930" t="s">
        <v>3376</v>
      </c>
      <c r="C1" s="2931"/>
      <c r="D1" s="2931"/>
      <c r="E1" s="2931"/>
      <c r="F1" s="2931"/>
      <c r="G1" s="2931"/>
      <c r="H1" s="2931"/>
      <c r="I1" s="2931"/>
      <c r="J1" s="2897"/>
      <c r="K1" s="2931" t="s">
        <v>454</v>
      </c>
      <c r="L1" s="2931"/>
      <c r="M1" s="2931"/>
      <c r="N1" s="2931"/>
      <c r="O1" s="2931"/>
      <c r="P1" s="2931"/>
      <c r="Q1" s="2897"/>
      <c r="R1" s="3521" t="s">
        <v>456</v>
      </c>
      <c r="S1" s="3522"/>
      <c r="T1" s="3522"/>
      <c r="U1" s="3522"/>
      <c r="V1" s="3522"/>
      <c r="W1" s="3522"/>
      <c r="X1" s="2897"/>
      <c r="Y1" s="3521" t="s">
        <v>457</v>
      </c>
      <c r="Z1" s="3522"/>
      <c r="AA1" s="3522"/>
      <c r="AB1" s="3522"/>
      <c r="AC1" s="3522"/>
      <c r="AD1" s="3522"/>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2.75">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3379</v>
      </c>
    </row>
    <row r="27" spans="1:44">
      <c r="I27" s="1405" t="s">
        <v>2825</v>
      </c>
    </row>
    <row r="29" spans="1:44" s="2009" customFormat="1" ht="12.75">
      <c r="B29" s="2930" t="s">
        <v>3377</v>
      </c>
      <c r="C29" s="2931"/>
      <c r="D29" s="2931"/>
      <c r="E29" s="2931"/>
      <c r="F29" s="2931"/>
      <c r="G29" s="2931"/>
      <c r="H29" s="2931"/>
      <c r="I29" s="2931"/>
      <c r="J29" s="2897"/>
      <c r="K29" s="2931" t="s">
        <v>2826</v>
      </c>
      <c r="L29" s="2931"/>
      <c r="M29" s="2931"/>
      <c r="N29" s="2931"/>
      <c r="O29" s="2931"/>
      <c r="P29" s="2931"/>
      <c r="Q29" s="2897"/>
      <c r="R29" s="3521" t="s">
        <v>2827</v>
      </c>
      <c r="S29" s="3522"/>
      <c r="T29" s="3522"/>
      <c r="U29" s="3522"/>
      <c r="V29" s="3522"/>
      <c r="W29" s="3522"/>
      <c r="X29" s="2897"/>
      <c r="Y29" s="3521" t="s">
        <v>2828</v>
      </c>
      <c r="Z29" s="3522"/>
      <c r="AA29" s="3522"/>
      <c r="AB29" s="3522"/>
      <c r="AC29" s="3522"/>
      <c r="AD29" s="3522"/>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2.75">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26" t="s">
        <v>452</v>
      </c>
      <c r="C1" s="3526"/>
      <c r="D1" s="3526"/>
      <c r="E1" s="3526"/>
      <c r="F1" s="3526"/>
      <c r="G1" s="3522" t="s">
        <v>453</v>
      </c>
      <c r="H1" s="3522"/>
      <c r="I1" s="3522"/>
      <c r="J1" s="3522"/>
      <c r="K1" s="3522"/>
      <c r="L1" s="3522"/>
      <c r="N1" s="3522" t="s">
        <v>454</v>
      </c>
      <c r="O1" s="3522"/>
      <c r="P1" s="3522"/>
      <c r="Q1" s="3522"/>
      <c r="S1" s="3522" t="s">
        <v>455</v>
      </c>
      <c r="T1" s="3522"/>
      <c r="U1" s="3522"/>
      <c r="V1" s="3522"/>
      <c r="X1" s="3521" t="s">
        <v>456</v>
      </c>
      <c r="Y1" s="3522"/>
      <c r="Z1" s="3522"/>
      <c r="AA1" s="3522"/>
      <c r="AB1" s="3522"/>
      <c r="AD1" s="3521" t="s">
        <v>457</v>
      </c>
      <c r="AE1" s="3522"/>
      <c r="AF1" s="3522"/>
      <c r="AG1" s="3522"/>
      <c r="AH1" s="352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3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2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3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2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2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2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3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2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2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2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2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2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2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2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2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2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2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2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2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2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2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34" t="s">
        <v>2839</v>
      </c>
      <c r="B1" s="3534"/>
      <c r="C1" s="3534"/>
      <c r="D1" s="3534"/>
      <c r="E1" s="3534"/>
      <c r="F1" s="3534"/>
      <c r="G1" s="3535"/>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32"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33"/>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46016</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8" t="str">
        <f>IF(项目基本情况!B9="房地产市场价值","估价结果一览表","结果表-2")</f>
        <v>估价结果一览表</v>
      </c>
      <c r="B1" s="3208"/>
      <c r="C1" s="3208"/>
      <c r="D1" s="3208"/>
      <c r="E1" s="3208"/>
      <c r="F1" s="3208"/>
      <c r="G1" s="3208"/>
      <c r="H1" s="3208"/>
      <c r="I1" s="3208"/>
    </row>
    <row r="2" spans="1:9" ht="30" customHeight="1" thickTop="1">
      <c r="A2" s="3209" t="s">
        <v>928</v>
      </c>
      <c r="B2" s="3209" t="s">
        <v>929</v>
      </c>
      <c r="C2" s="3209" t="s">
        <v>930</v>
      </c>
      <c r="D2" s="3209" t="str">
        <f>结果表!D116</f>
        <v>出让国有建设用地使用权价值</v>
      </c>
      <c r="E2" s="3209"/>
      <c r="F2" s="3209" t="str">
        <f>结果表!F116</f>
        <v>在建建筑物价值</v>
      </c>
      <c r="G2" s="3209"/>
      <c r="H2" s="3209" t="str">
        <f>IF(项目基本情况!B9="房地产市场价值","房地产市场价值","房地产价值")</f>
        <v>房地产市场价值</v>
      </c>
      <c r="I2" s="3209"/>
    </row>
    <row r="3" spans="1:9" ht="15">
      <c r="A3" s="3210"/>
      <c r="B3" s="3210"/>
      <c r="C3" s="3210"/>
      <c r="D3" s="801" t="s">
        <v>925</v>
      </c>
      <c r="E3" s="801" t="s">
        <v>931</v>
      </c>
      <c r="F3" s="801" t="s">
        <v>925</v>
      </c>
      <c r="G3" s="801" t="s">
        <v>926</v>
      </c>
      <c r="H3" s="801" t="s">
        <v>925</v>
      </c>
      <c r="I3" s="801" t="s">
        <v>926</v>
      </c>
    </row>
    <row r="4" spans="1:9" ht="15">
      <c r="A4" s="1403" t="str">
        <f>项目基本情况!S2</f>
        <v>北京市房地产</v>
      </c>
      <c r="B4" s="801">
        <f>项目基本情况!C17</f>
        <v>53.77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10" t="s">
        <v>927</v>
      </c>
      <c r="B5" s="3210"/>
      <c r="C5" s="3210"/>
      <c r="D5" s="3210" t="e">
        <f ca="1">结果表!D119</f>
        <v>#REF!</v>
      </c>
      <c r="E5" s="3210"/>
      <c r="F5" s="3210" t="e">
        <f ca="1">结果表!F119</f>
        <v>#REF!</v>
      </c>
      <c r="G5" s="3210"/>
      <c r="H5" s="3210" t="e">
        <f ca="1">结果表!H119</f>
        <v>#REF!</v>
      </c>
      <c r="I5" s="3210"/>
    </row>
    <row r="6" spans="1:9" ht="15.75">
      <c r="A6" s="3211" t="str">
        <f>结果表!A120</f>
        <v/>
      </c>
      <c r="B6" s="3211"/>
      <c r="C6" s="3211"/>
      <c r="D6" s="3211">
        <f>结果表!D120</f>
        <v>0</v>
      </c>
      <c r="E6" s="3211"/>
      <c r="F6" s="3211"/>
      <c r="G6" s="3211"/>
      <c r="H6" s="3211"/>
      <c r="I6" s="3211"/>
    </row>
    <row r="7" spans="1:9" ht="15">
      <c r="A7" s="3210" t="s">
        <v>927</v>
      </c>
      <c r="B7" s="3210"/>
      <c r="C7" s="3210"/>
      <c r="D7" s="3212" t="str">
        <f>结果表!D121</f>
        <v>零元整</v>
      </c>
      <c r="E7" s="3213"/>
      <c r="F7" s="3213"/>
      <c r="G7" s="3213"/>
      <c r="H7" s="3213"/>
      <c r="I7" s="3214"/>
    </row>
    <row r="8" spans="1:9" ht="15.75">
      <c r="A8" s="3211" t="str">
        <f>结果表!A122</f>
        <v/>
      </c>
      <c r="B8" s="3211"/>
      <c r="C8" s="3211"/>
      <c r="D8" s="3211" t="e">
        <f ca="1">结果表!D122</f>
        <v>#REF!</v>
      </c>
      <c r="E8" s="3211"/>
      <c r="F8" s="3211"/>
      <c r="G8" s="3211"/>
      <c r="H8" s="3211"/>
      <c r="I8" s="3211"/>
    </row>
    <row r="9" spans="1:9" ht="15">
      <c r="A9" s="3210" t="s">
        <v>927</v>
      </c>
      <c r="B9" s="3210"/>
      <c r="C9" s="3210"/>
      <c r="D9" s="3210" t="e">
        <f ca="1">结果表!D123</f>
        <v>#REF!</v>
      </c>
      <c r="E9" s="3210"/>
      <c r="F9" s="3210"/>
      <c r="G9" s="3210"/>
      <c r="H9" s="3210"/>
      <c r="I9" s="3210"/>
    </row>
    <row r="10" spans="1:9" ht="15.75">
      <c r="A10" s="3211" t="str">
        <f>结果表!A124</f>
        <v/>
      </c>
      <c r="B10" s="3211"/>
      <c r="C10" s="3211"/>
      <c r="D10" s="3211" t="str">
        <f>结果表!D124</f>
        <v>——</v>
      </c>
      <c r="E10" s="3211"/>
      <c r="F10" s="3211"/>
      <c r="G10" s="3211"/>
      <c r="H10" s="3211"/>
      <c r="I10" s="3211"/>
    </row>
    <row r="11" spans="1:9" ht="15">
      <c r="A11" s="3210" t="s">
        <v>927</v>
      </c>
      <c r="B11" s="3210"/>
      <c r="C11" s="3210"/>
      <c r="D11" s="3210" t="e">
        <f>结果表!D125</f>
        <v>#VALUE!</v>
      </c>
      <c r="E11" s="3210"/>
      <c r="F11" s="3210"/>
      <c r="G11" s="3210"/>
      <c r="H11" s="3210"/>
      <c r="I11" s="3210"/>
    </row>
    <row r="12" spans="1:9" ht="15.75">
      <c r="A12" s="3211" t="str">
        <f>结果表!A126</f>
        <v/>
      </c>
      <c r="B12" s="3211"/>
      <c r="C12" s="3211"/>
      <c r="D12" s="3211" t="str">
        <f>结果表!D126</f>
        <v>——</v>
      </c>
      <c r="E12" s="3211"/>
      <c r="F12" s="3211"/>
      <c r="G12" s="3211"/>
      <c r="H12" s="3211"/>
      <c r="I12" s="3211"/>
    </row>
    <row r="13" spans="1:9" ht="15.75" thickBot="1">
      <c r="A13" s="3215" t="s">
        <v>927</v>
      </c>
      <c r="B13" s="3215"/>
      <c r="C13" s="3215"/>
      <c r="D13" s="3215" t="e">
        <f>结果表!D127</f>
        <v>#VALUE!</v>
      </c>
      <c r="E13" s="3215"/>
      <c r="F13" s="3215"/>
      <c r="G13" s="3215"/>
      <c r="H13" s="3215"/>
      <c r="I13" s="3215"/>
    </row>
    <row r="14" spans="1:9" ht="15" thickTop="1">
      <c r="A14" s="3216" t="s">
        <v>932</v>
      </c>
      <c r="B14" s="3216"/>
      <c r="C14" s="3216"/>
      <c r="D14" s="3216"/>
      <c r="E14" s="3216"/>
      <c r="F14" s="3216"/>
      <c r="G14" s="3216"/>
      <c r="H14" s="3216"/>
      <c r="I14" s="321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7" t="s">
        <v>949</v>
      </c>
      <c r="B1" s="3217"/>
      <c r="C1" s="3217"/>
      <c r="D1" s="3217"/>
    </row>
    <row r="2" spans="1:4" ht="18">
      <c r="A2" s="3218" t="s">
        <v>933</v>
      </c>
      <c r="B2" s="3218"/>
      <c r="C2" s="3218"/>
      <c r="D2" s="3218"/>
    </row>
    <row r="3" spans="1:4" ht="18.75">
      <c r="A3" s="1407" t="s">
        <v>934</v>
      </c>
      <c r="B3" s="1407" t="s">
        <v>935</v>
      </c>
      <c r="C3" s="1407" t="s">
        <v>936</v>
      </c>
      <c r="D3" s="1407" t="s">
        <v>937</v>
      </c>
    </row>
    <row r="4" spans="1:4" ht="56.25" customHeight="1">
      <c r="A4" s="1408" t="str">
        <f>项目基本情况!B4</f>
        <v>陈颖</v>
      </c>
      <c r="B4" s="1409">
        <f ca="1">项目基本情况!C4</f>
        <v>0</v>
      </c>
      <c r="C4" s="1410"/>
      <c r="D4" s="1411" t="s">
        <v>938</v>
      </c>
    </row>
    <row r="5" spans="1:4" ht="56.25" customHeight="1">
      <c r="A5" s="1408">
        <f>项目基本情况!D4</f>
        <v>0</v>
      </c>
      <c r="B5" s="1409">
        <f>项目基本情况!E4</f>
        <v>0</v>
      </c>
      <c r="C5" s="1412"/>
      <c r="D5" s="1411" t="s">
        <v>938</v>
      </c>
    </row>
    <row r="6" spans="1:4" ht="18">
      <c r="A6" s="3218" t="s">
        <v>939</v>
      </c>
      <c r="B6" s="3218"/>
      <c r="C6" s="3218"/>
      <c r="D6" s="321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9" t="s">
        <v>942</v>
      </c>
      <c r="B11" s="3220"/>
      <c r="C11" s="3220"/>
      <c r="D11" s="3220"/>
    </row>
    <row r="12" spans="1:4" ht="15.75">
      <c r="A12" s="32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1"/>
      <c r="C12" s="3221"/>
      <c r="D12" s="3221"/>
    </row>
    <row r="13" spans="1:4" ht="30" customHeight="1">
      <c r="A13" s="3220" t="str">
        <f>IF(项目基本情况!B8="抵押","3.抵押双方在办理抵押登记手续时，应使用本公司出具的正式《房地产评估报告》，特提醒报告使用者注意。","——")</f>
        <v>——</v>
      </c>
      <c r="B13" s="3221"/>
      <c r="C13" s="3221"/>
      <c r="D13" s="3221"/>
    </row>
    <row r="14" spans="1:4" ht="15.75" customHeight="1">
      <c r="A14" s="3220" t="str">
        <f>IF(项目基本情况!B8="抵押","4.本次评估估价师所知悉的法定优先受偿款情况说明如下：","——")</f>
        <v>——</v>
      </c>
      <c r="B14" s="3221"/>
      <c r="C14" s="3221"/>
      <c r="D14" s="3221"/>
    </row>
    <row r="15" spans="1:4" ht="42" customHeight="1">
      <c r="A15" s="3220" t="str">
        <f>IF(项目基本情况!B8="抵押","（1）"&amp;CONCATENATE(项目基本情况!L20,项目基本情况!L21,项目基本情况!L22),"——")</f>
        <v>——</v>
      </c>
      <c r="B15" s="3220"/>
      <c r="C15" s="3220"/>
      <c r="D15" s="3220"/>
    </row>
    <row r="16" spans="1:4" ht="30" customHeight="1">
      <c r="A16" s="3223" t="s">
        <v>943</v>
      </c>
      <c r="B16" s="3223"/>
      <c r="C16" s="3223"/>
      <c r="D16" s="3223"/>
    </row>
    <row r="17" spans="1:4" ht="144" customHeight="1">
      <c r="A17" s="3223" t="s">
        <v>944</v>
      </c>
      <c r="B17" s="3223"/>
      <c r="C17" s="3223"/>
      <c r="D17" s="3223"/>
    </row>
    <row r="18" spans="1:4" ht="15.75" customHeight="1">
      <c r="A18" s="3220" t="str">
        <f>IF(项目基本情况!B8="抵押",结果表!K120,"——")</f>
        <v>——</v>
      </c>
      <c r="B18" s="3220"/>
      <c r="C18" s="3220"/>
      <c r="D18" s="3220"/>
    </row>
    <row r="19" spans="1:4" ht="46.5" customHeight="1">
      <c r="A19" s="32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0"/>
      <c r="C19" s="3220"/>
      <c r="D19" s="3220"/>
    </row>
    <row r="20" spans="1:4" ht="57.75" customHeight="1">
      <c r="A20" s="32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0"/>
      <c r="C20" s="3220"/>
      <c r="D20" s="3220"/>
    </row>
    <row r="21" spans="1:4" ht="57.75" customHeight="1">
      <c r="A21" s="32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4"/>
      <c r="C21" s="3224"/>
      <c r="D21" s="3224"/>
    </row>
    <row r="22" spans="1:4" ht="18.75" customHeight="1">
      <c r="A22" s="3225" t="s">
        <v>945</v>
      </c>
      <c r="B22" s="3225"/>
      <c r="C22" s="3225"/>
      <c r="D22" s="322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22">
        <v>42551</v>
      </c>
      <c r="D31" s="32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31" t="s">
        <v>956</v>
      </c>
      <c r="B15" s="3226" t="s">
        <v>109</v>
      </c>
      <c r="C15" s="3227"/>
    </row>
    <row r="16" spans="1:7" ht="13.5">
      <c r="A16" s="3232"/>
      <c r="B16" s="3226" t="s">
        <v>42</v>
      </c>
      <c r="C16" s="3227"/>
    </row>
    <row r="17" spans="1:3" ht="13.5">
      <c r="A17" s="3232"/>
      <c r="B17" s="3229" t="s">
        <v>957</v>
      </c>
      <c r="C17" s="1429" t="s">
        <v>956</v>
      </c>
    </row>
    <row r="18" spans="1:3" ht="13.5">
      <c r="A18" s="3232"/>
      <c r="B18" s="3229"/>
      <c r="C18" s="1429" t="s">
        <v>958</v>
      </c>
    </row>
    <row r="19" spans="1:3" ht="13.5">
      <c r="A19" s="3232"/>
      <c r="B19" s="3229"/>
      <c r="C19" s="1429" t="s">
        <v>959</v>
      </c>
    </row>
    <row r="20" spans="1:3" ht="13.5">
      <c r="A20" s="3233"/>
      <c r="B20" s="3228" t="s">
        <v>960</v>
      </c>
      <c r="C20" s="3227"/>
    </row>
    <row r="21" spans="1:3" ht="13.5">
      <c r="A21" s="1430" t="s">
        <v>961</v>
      </c>
      <c r="B21" s="1431"/>
      <c r="C21" s="1432"/>
    </row>
    <row r="22" spans="1:3" ht="13.5">
      <c r="A22" s="3230" t="s">
        <v>962</v>
      </c>
      <c r="B22" s="3228" t="s">
        <v>963</v>
      </c>
      <c r="C22" s="3227"/>
    </row>
    <row r="23" spans="1:3" ht="13.5">
      <c r="A23" s="3230"/>
      <c r="B23" s="3228" t="s">
        <v>964</v>
      </c>
      <c r="C23" s="3227"/>
    </row>
    <row r="24" spans="1:3" ht="13.5">
      <c r="A24" s="3230"/>
      <c r="B24" s="3228" t="s">
        <v>965</v>
      </c>
      <c r="C24" s="3227"/>
    </row>
    <row r="25" spans="1:3" ht="13.5">
      <c r="A25" s="3230"/>
      <c r="B25" s="3229" t="s">
        <v>966</v>
      </c>
      <c r="C25" s="1429" t="s">
        <v>967</v>
      </c>
    </row>
    <row r="26" spans="1:3" ht="13.5">
      <c r="A26" s="3230"/>
      <c r="B26" s="3229"/>
      <c r="C26" s="1429" t="s">
        <v>968</v>
      </c>
    </row>
    <row r="27" spans="1:3" ht="13.5">
      <c r="A27" s="3230"/>
      <c r="B27" s="3229"/>
      <c r="C27" s="1429" t="s">
        <v>969</v>
      </c>
    </row>
    <row r="28" spans="1:3" ht="13.5">
      <c r="A28" s="3230"/>
      <c r="B28" s="3229"/>
      <c r="C28" s="1429" t="s">
        <v>970</v>
      </c>
    </row>
    <row r="29" spans="1:3" ht="13.5">
      <c r="A29" s="3230"/>
      <c r="B29" s="3229"/>
      <c r="C29" s="1429" t="s">
        <v>971</v>
      </c>
    </row>
    <row r="30" spans="1:3" ht="13.5">
      <c r="A30" s="3230"/>
      <c r="B30" s="3229"/>
      <c r="C30" s="1429" t="s">
        <v>972</v>
      </c>
    </row>
    <row r="31" spans="1:3" ht="13.5">
      <c r="A31" s="3230"/>
      <c r="B31" s="3229"/>
      <c r="C31" s="1429" t="s">
        <v>973</v>
      </c>
    </row>
    <row r="32" spans="1:3" ht="13.5">
      <c r="A32" s="3230"/>
      <c r="B32" s="3229"/>
      <c r="C32" s="1429" t="s">
        <v>974</v>
      </c>
    </row>
    <row r="33" spans="1:3" ht="13.5">
      <c r="A33" s="3230"/>
      <c r="B33" s="322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46037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4" t="s">
        <v>2160</v>
      </c>
      <c r="B17" s="3234"/>
      <c r="C17" s="3234"/>
      <c r="D17" s="3234"/>
      <c r="E17" s="3234"/>
      <c r="F17" s="3234"/>
      <c r="G17" s="3234"/>
      <c r="H17" s="3234"/>
    </row>
    <row r="18" spans="1:8" ht="24" customHeight="1">
      <c r="A18" s="3235" t="s">
        <v>2161</v>
      </c>
      <c r="B18" s="3235"/>
      <c r="C18" s="3235"/>
      <c r="D18" s="2160"/>
      <c r="E18" s="3236" t="s">
        <v>2162</v>
      </c>
      <c r="F18" s="3235"/>
      <c r="G18" s="323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南太平庄北巷_649-7d6-04b</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cp:lastModifiedBy>
  <cp:lastPrinted>2017-03-01T09:15:43Z</cp:lastPrinted>
  <dcterms:created xsi:type="dcterms:W3CDTF">2015-07-13T07:17:23Z</dcterms:created>
  <dcterms:modified xsi:type="dcterms:W3CDTF">2026-01-15T04:42:30Z</dcterms:modified>
</cp:coreProperties>
</file>