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2025-1-0210-F01-吴琼中行顺义泰达科技园\F01DYGJ2\过程\"/>
    </mc:Choice>
  </mc:AlternateContent>
  <xr:revisionPtr revIDLastSave="0" documentId="13_ncr:1_{4D6D3A04-4E61-447A-9B27-6F597C4A135B}"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30" i="37"/>
  <c r="I7" i="37"/>
  <c r="G7" i="37"/>
  <c r="E7" i="37"/>
  <c r="J52" i="67"/>
  <c r="J49" i="67"/>
  <c r="Y6" i="1"/>
  <c r="N19" i="1"/>
  <c r="F19" i="6"/>
  <c r="D60" i="78"/>
  <c r="C60" i="78"/>
  <c r="D53" i="78"/>
  <c r="D52" i="78"/>
  <c r="B51" i="78"/>
  <c r="B56" i="78" s="1"/>
  <c r="B55" i="78" l="1"/>
  <c r="D55" i="78" s="1"/>
  <c r="D51" i="78"/>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s="1"/>
  <c r="U33" i="33"/>
  <c r="S40" i="33"/>
  <c r="W39" i="33"/>
  <c r="H39" i="37"/>
  <c r="AB39" i="37"/>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AC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c r="AA44" i="33"/>
  <c r="AA14" i="33"/>
  <c r="J36" i="37"/>
  <c r="AC36" i="37" s="1"/>
  <c r="J10" i="36"/>
  <c r="AC10" i="36" s="1"/>
  <c r="AB26" i="33"/>
  <c r="AB30" i="21"/>
  <c r="AA14" i="37"/>
  <c r="S11" i="36"/>
  <c r="AB46" i="34"/>
  <c r="AA14"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BA558" i="3"/>
  <c r="BA556" i="3"/>
  <c r="AZ556" i="3"/>
  <c r="BA554" i="3"/>
  <c r="AZ554" i="3"/>
  <c r="BA552" i="3"/>
  <c r="AZ552" i="3"/>
  <c r="BA548" i="3"/>
  <c r="BA546" i="3"/>
  <c r="BA544" i="3"/>
  <c r="AZ544" i="3"/>
  <c r="BA542" i="3"/>
  <c r="BA540" i="3"/>
  <c r="BA538" i="3"/>
  <c r="AZ538" i="3" s="1"/>
  <c r="BA536" i="3"/>
  <c r="AZ536" i="3"/>
  <c r="BA534" i="3"/>
  <c r="AZ534" i="3" s="1"/>
  <c r="BA532" i="3"/>
  <c r="BA530" i="3"/>
  <c r="BA528" i="3"/>
  <c r="BA526" i="3"/>
  <c r="BA524" i="3"/>
  <c r="BA522" i="3"/>
  <c r="BA520" i="3"/>
  <c r="BA518" i="3"/>
  <c r="AZ518" i="3" s="1"/>
  <c r="BA516" i="3"/>
  <c r="AZ516" i="3" s="1"/>
  <c r="BA514" i="3"/>
  <c r="BA512" i="3"/>
  <c r="BA510" i="3"/>
  <c r="AZ510" i="3"/>
  <c r="BA508" i="3"/>
  <c r="BA506" i="3"/>
  <c r="BA504" i="3"/>
  <c r="AZ504" i="3"/>
  <c r="BA502" i="3"/>
  <c r="BA500" i="3"/>
  <c r="BA498" i="3"/>
  <c r="AZ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s="1"/>
  <c r="F36" i="37"/>
  <c r="AA36" i="37" s="1"/>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H37" i="21"/>
  <c r="U37" i="21" s="1"/>
  <c r="S42" i="21"/>
  <c r="H19" i="34"/>
  <c r="AB19" i="34" s="1"/>
  <c r="F36" i="35"/>
  <c r="S36" i="35"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55"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AZ249" i="3"/>
  <c r="BA379" i="3"/>
  <c r="AZ379" i="3" s="1"/>
  <c r="BL380" i="3"/>
  <c r="G381" i="3"/>
  <c r="BA383" i="3"/>
  <c r="AZ383" i="3" s="1"/>
  <c r="BL384" i="3"/>
  <c r="G385" i="3"/>
  <c r="BA387" i="3"/>
  <c r="BL388" i="3"/>
  <c r="G389" i="3"/>
  <c r="BA391" i="3"/>
  <c r="AZ391" i="3" s="1"/>
  <c r="BL392" i="3"/>
  <c r="G393" i="3"/>
  <c r="BO5" i="3"/>
  <c r="BM5" i="3"/>
  <c r="BJ5" i="3"/>
  <c r="BH5" i="3"/>
  <c r="BF5" i="3"/>
  <c r="BD5" i="3"/>
  <c r="AZ341" i="3"/>
  <c r="AC5" i="3"/>
  <c r="AZ506" i="3"/>
  <c r="AZ496" i="3"/>
  <c r="G548" i="3"/>
  <c r="G538" i="3"/>
  <c r="G520" i="3"/>
  <c r="G502" i="3"/>
  <c r="BS5" i="3"/>
  <c r="BP5" i="3"/>
  <c r="BN5" i="3"/>
  <c r="G29" i="6" s="1"/>
  <c r="BK5" i="3"/>
  <c r="BI5" i="3"/>
  <c r="BG5" i="3"/>
  <c r="BE5" i="3"/>
  <c r="BC5" i="3"/>
  <c r="G17" i="3"/>
  <c r="BA17" i="3"/>
  <c r="BT5" i="3"/>
  <c r="AZ350" i="3"/>
  <c r="AZ356" i="3"/>
  <c r="BA15" i="3"/>
  <c r="AZ15" i="3" s="1"/>
  <c r="BB5" i="3"/>
  <c r="BR5" i="3"/>
  <c r="AZ380" i="3"/>
  <c r="AZ392" i="3"/>
  <c r="AZ499" i="3"/>
  <c r="AZ509" i="3"/>
  <c r="G509" i="3"/>
  <c r="BL493" i="3"/>
  <c r="AZ493" i="3"/>
  <c r="U36" i="40"/>
  <c r="F83" i="43"/>
  <c r="H85" i="43" s="1"/>
  <c r="F50" i="43"/>
  <c r="H54" i="43" s="1"/>
  <c r="F72" i="43"/>
  <c r="H75" i="43" s="1"/>
  <c r="U17" i="39"/>
  <c r="S14" i="35"/>
  <c r="U43" i="21"/>
  <c r="U35" i="21"/>
  <c r="AC35" i="21"/>
  <c r="AC11" i="39"/>
  <c r="AZ501" i="3"/>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3" i="35"/>
  <c r="AB29" i="36"/>
  <c r="U29" i="36"/>
  <c r="H32" i="37"/>
  <c r="AB32"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51" i="3"/>
  <c r="AZ256" i="3"/>
  <c r="AZ271" i="3"/>
  <c r="AZ69" i="3"/>
  <c r="F23" i="39"/>
  <c r="AA23" i="39"/>
  <c r="H27" i="36"/>
  <c r="U27" i="36" s="1"/>
  <c r="F27" i="36"/>
  <c r="AA27" i="36" s="1"/>
  <c r="H33" i="34"/>
  <c r="U33" i="34" s="1"/>
  <c r="F32" i="37"/>
  <c r="F20" i="36"/>
  <c r="J33" i="34"/>
  <c r="AC33" i="34" s="1"/>
  <c r="H23" i="39"/>
  <c r="U23" i="39" s="1"/>
  <c r="D48" i="9"/>
  <c r="M52" i="9" s="1"/>
  <c r="K9" i="1"/>
  <c r="M9" i="1" s="1"/>
  <c r="K6" i="1"/>
  <c r="AP6" i="1" s="1"/>
  <c r="AC26" i="33"/>
  <c r="W26" i="33"/>
  <c r="W27" i="34"/>
  <c r="AC27" i="34"/>
  <c r="AB34" i="36"/>
  <c r="U34" i="36"/>
  <c r="AB33" i="36"/>
  <c r="U33" i="36"/>
  <c r="AC12" i="39"/>
  <c r="W12" i="39"/>
  <c r="AC39" i="40"/>
  <c r="W39" i="40"/>
  <c r="W12" i="33"/>
  <c r="AC12" i="33"/>
  <c r="AA32" i="36"/>
  <c r="S32" i="36"/>
  <c r="AZ473" i="3"/>
  <c r="BL14" i="3"/>
  <c r="U30" i="33"/>
  <c r="AC13" i="34"/>
  <c r="AA47" i="34"/>
  <c r="W28" i="37"/>
  <c r="S19" i="39"/>
  <c r="F12" i="33"/>
  <c r="S12" i="33" s="1"/>
  <c r="H12" i="39"/>
  <c r="AB12" i="39" s="1"/>
  <c r="F39" i="40"/>
  <c r="BA14" i="3"/>
  <c r="AZ14" i="3" s="1"/>
  <c r="AZ254" i="3"/>
  <c r="B12" i="1"/>
  <c r="E12" i="1" s="1"/>
  <c r="B10" i="1"/>
  <c r="E10" i="1" s="1"/>
  <c r="K12" i="1"/>
  <c r="M12" i="1" s="1"/>
  <c r="S13" i="1"/>
  <c r="AR13" i="1" s="1"/>
  <c r="R13" i="1"/>
  <c r="J51" i="67"/>
  <c r="C42" i="1"/>
  <c r="C24" i="12" s="1"/>
  <c r="AC34" i="33"/>
  <c r="B41" i="1"/>
  <c r="F30" i="69" s="1"/>
  <c r="F48" i="6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W30" i="37"/>
  <c r="AA38" i="37"/>
  <c r="W38" i="37"/>
  <c r="AC35" i="37"/>
  <c r="W39"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S27" i="37"/>
  <c r="S28" i="37"/>
  <c r="S40" i="37"/>
  <c r="U38" i="37"/>
  <c r="AC34" i="37"/>
  <c r="AB35" i="37"/>
  <c r="U19"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U25" i="33"/>
  <c r="AB25" i="33"/>
  <c r="S25" i="33"/>
  <c r="AA25" i="33"/>
  <c r="I87" i="33"/>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S13" i="21"/>
  <c r="D6" i="52"/>
  <c r="AP7" i="1"/>
  <c r="U9" i="21"/>
  <c r="AA32" i="21"/>
  <c r="W9" i="21"/>
  <c r="AC9" i="21"/>
  <c r="AB32" i="21"/>
  <c r="U32" i="39"/>
  <c r="AC32" i="39"/>
  <c r="J11" i="37"/>
  <c r="AC11" i="37" s="1"/>
  <c r="H70" i="34"/>
  <c r="I70" i="34" s="1"/>
  <c r="J70" i="34" s="1"/>
  <c r="K70" i="34"/>
  <c r="L70" i="34" s="1"/>
  <c r="M70" i="34" s="1"/>
  <c r="J11" i="34"/>
  <c r="W11" i="34" s="1"/>
  <c r="AC27" i="33"/>
  <c r="W25" i="33"/>
  <c r="U19" i="33"/>
  <c r="AA17" i="33"/>
  <c r="U23" i="21"/>
  <c r="AB23" i="21"/>
  <c r="AC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67"/>
  <c r="F42" i="67"/>
  <c r="B12" i="76"/>
  <c r="E9" i="76"/>
  <c r="E2" i="69"/>
  <c r="F13" i="67"/>
  <c r="B10" i="76"/>
  <c r="F6" i="67"/>
  <c r="F37" i="67"/>
  <c r="F20" i="31"/>
  <c r="M29" i="67"/>
  <c r="F6" i="73"/>
  <c r="F9" i="67"/>
  <c r="E12" i="76"/>
  <c r="AO13" i="1"/>
  <c r="C76" i="15"/>
  <c r="M22" i="67"/>
  <c r="E8" i="76"/>
  <c r="F8" i="15"/>
  <c r="J15" i="67"/>
  <c r="F42" i="15"/>
  <c r="L48" i="15"/>
  <c r="M6" i="15"/>
  <c r="M29" i="15"/>
  <c r="M26" i="67"/>
  <c r="F5" i="73"/>
  <c r="B9" i="76"/>
  <c r="F37" i="15"/>
  <c r="F3" i="73"/>
  <c r="E13" i="76"/>
  <c r="B7" i="76"/>
  <c r="B13" i="76"/>
  <c r="M24" i="67"/>
  <c r="F38" i="67"/>
  <c r="L47" i="67"/>
  <c r="F16" i="15"/>
  <c r="E7" i="76"/>
  <c r="F7" i="67"/>
  <c r="M23" i="15"/>
  <c r="E10" i="76"/>
  <c r="F6" i="15"/>
  <c r="F8" i="67"/>
  <c r="M28" i="67"/>
  <c r="L48" i="67"/>
  <c r="F40" i="67"/>
  <c r="B8" i="76"/>
  <c r="F4" i="73"/>
  <c r="F36" i="15"/>
  <c r="E2" i="68"/>
  <c r="B11" i="76"/>
  <c r="F40" i="15"/>
  <c r="F7" i="73"/>
  <c r="M8" i="15"/>
  <c r="F43" i="15"/>
  <c r="F26" i="67"/>
  <c r="M23" i="67"/>
  <c r="J15" i="15"/>
  <c r="F26" i="15"/>
  <c r="M9" i="67"/>
  <c r="E11" i="76"/>
  <c r="L47" i="15"/>
  <c r="M22" i="15"/>
  <c r="M24" i="15"/>
  <c r="F16" i="67"/>
  <c r="M6" i="67"/>
  <c r="M8" i="67"/>
  <c r="F43" i="67"/>
  <c r="F38" i="15"/>
  <c r="F9" i="15"/>
  <c r="F36" i="67"/>
  <c r="M26" i="15"/>
  <c r="AB37" i="37" l="1"/>
  <c r="U36" i="37"/>
  <c r="S36" i="37"/>
  <c r="S37" i="37"/>
  <c r="W37" i="37"/>
  <c r="W36" i="37"/>
  <c r="U32" i="37"/>
  <c r="W32" i="37"/>
  <c r="U31" i="37"/>
  <c r="U29" i="37"/>
  <c r="AA29" i="37"/>
  <c r="AC29" i="37"/>
  <c r="AA31" i="37"/>
  <c r="W31" i="37"/>
  <c r="S30" i="37"/>
  <c r="H9" i="37"/>
  <c r="U9" i="37" s="1"/>
  <c r="U8" i="37"/>
  <c r="D93" i="9"/>
  <c r="F31" i="12"/>
  <c r="C40" i="69"/>
  <c r="E19" i="68"/>
  <c r="D23" i="15"/>
  <c r="J1" i="73"/>
  <c r="D68" i="9"/>
  <c r="F28" i="15"/>
  <c r="C28" i="15" s="1"/>
  <c r="F28" i="67"/>
  <c r="C28" i="67" s="1"/>
  <c r="S32" i="37"/>
  <c r="AA32" i="37"/>
  <c r="AA20" i="36"/>
  <c r="S20" i="36"/>
  <c r="U45" i="21"/>
  <c r="AB45" i="21"/>
  <c r="U20" i="35"/>
  <c r="AB20" i="35"/>
  <c r="AC23" i="37"/>
  <c r="F48" i="9"/>
  <c r="O52" i="9" s="1"/>
  <c r="F30" i="68"/>
  <c r="F48" i="68" s="1"/>
  <c r="F52" i="9"/>
  <c r="F32" i="15"/>
  <c r="F60" i="15" s="1"/>
  <c r="F54" i="9"/>
  <c r="F30" i="11"/>
  <c r="C48" i="11" s="1"/>
  <c r="M18" i="67"/>
  <c r="M18" i="15"/>
  <c r="C21" i="71"/>
  <c r="D21" i="71" s="1"/>
  <c r="F32" i="67"/>
  <c r="F60" i="67" s="1"/>
  <c r="W39" i="34"/>
  <c r="AC39" i="34"/>
  <c r="S34" i="33"/>
  <c r="AA34" i="33"/>
  <c r="AZ357" i="3"/>
  <c r="AB46" i="33"/>
  <c r="U46" i="33"/>
  <c r="AA45" i="33"/>
  <c r="S45" i="33"/>
  <c r="AZ561" i="3"/>
  <c r="AZ569" i="3"/>
  <c r="AZ579" i="3"/>
  <c r="AZ524" i="3"/>
  <c r="U12" i="39"/>
  <c r="AA27" i="40"/>
  <c r="AZ387" i="3"/>
  <c r="AZ338" i="3"/>
  <c r="AZ390" i="3"/>
  <c r="AZ371" i="3"/>
  <c r="AZ351" i="3"/>
  <c r="AZ305" i="3"/>
  <c r="AZ360" i="3"/>
  <c r="AZ505" i="3"/>
  <c r="AZ525" i="3"/>
  <c r="AZ529" i="3"/>
  <c r="AZ537" i="3"/>
  <c r="AZ526" i="3"/>
  <c r="AZ546" i="3"/>
  <c r="AZ564" i="3"/>
  <c r="AZ580" i="3"/>
  <c r="W17" i="21"/>
  <c r="AB36" i="33"/>
  <c r="F29" i="6"/>
  <c r="AZ318" i="3"/>
  <c r="AZ304" i="3"/>
  <c r="AZ306" i="3"/>
  <c r="AZ535" i="3"/>
  <c r="AZ577" i="3"/>
  <c r="AZ557" i="3"/>
  <c r="AZ513" i="3"/>
  <c r="AZ575" i="3"/>
  <c r="AZ528" i="3"/>
  <c r="AZ566" i="3"/>
  <c r="AZ574" i="3"/>
  <c r="W11" i="35"/>
  <c r="AC11" i="35"/>
  <c r="BA551" i="3"/>
  <c r="AZ551" i="3" s="1"/>
  <c r="BA550" i="3"/>
  <c r="BL548" i="3"/>
  <c r="AZ548" i="3" s="1"/>
  <c r="BL453" i="3"/>
  <c r="BL454" i="3"/>
  <c r="G458" i="3"/>
  <c r="BL459" i="3"/>
  <c r="G462" i="3"/>
  <c r="BA465" i="3"/>
  <c r="AZ465" i="3" s="1"/>
  <c r="BL475" i="3"/>
  <c r="BA491" i="3"/>
  <c r="BL324" i="3"/>
  <c r="AZ324" i="3" s="1"/>
  <c r="W11" i="40"/>
  <c r="U35" i="33"/>
  <c r="BL585" i="3"/>
  <c r="AZ585" i="3" s="1"/>
  <c r="B75" i="43"/>
  <c r="H12" i="33"/>
  <c r="U12" i="33" s="1"/>
  <c r="H36" i="35"/>
  <c r="H24" i="36"/>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69" i="3"/>
  <c r="AZ469" i="3" s="1"/>
  <c r="BL471" i="3"/>
  <c r="G478" i="3"/>
  <c r="BA481" i="3"/>
  <c r="H39" i="40"/>
  <c r="BL550"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AZ461" i="3" s="1"/>
  <c r="G467" i="3"/>
  <c r="BL467" i="3"/>
  <c r="BL468" i="3"/>
  <c r="BA471" i="3"/>
  <c r="AZ471" i="3" s="1"/>
  <c r="G477" i="3"/>
  <c r="BA478" i="3"/>
  <c r="BA487" i="3"/>
  <c r="AZ487" i="3" s="1"/>
  <c r="G492" i="3"/>
  <c r="BA303" i="3"/>
  <c r="AZ303" i="3" s="1"/>
  <c r="BA307" i="3"/>
  <c r="AZ307" i="3" s="1"/>
  <c r="G311" i="3"/>
  <c r="BL314" i="3"/>
  <c r="AZ314" i="3" s="1"/>
  <c r="G315" i="3"/>
  <c r="AZ582" i="3"/>
  <c r="AZ540" i="3"/>
  <c r="AZ502" i="3"/>
  <c r="U9" i="40"/>
  <c r="S27" i="35"/>
  <c r="W33" i="33"/>
  <c r="U9" i="39"/>
  <c r="G585" i="3"/>
  <c r="BL587" i="3"/>
  <c r="AZ587" i="3" s="1"/>
  <c r="BL586" i="3"/>
  <c r="AZ586" i="3" s="1"/>
  <c r="J9" i="34"/>
  <c r="H12" i="34"/>
  <c r="G574" i="3"/>
  <c r="BL16" i="3"/>
  <c r="AZ16" i="3" s="1"/>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AZ217"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BL248" i="3"/>
  <c r="AZ248" i="3" s="1"/>
  <c r="G250" i="3"/>
  <c r="BL250" i="3"/>
  <c r="AZ250" i="3" s="1"/>
  <c r="G252" i="3"/>
  <c r="BA259" i="3"/>
  <c r="AZ259" i="3" s="1"/>
  <c r="BL261" i="3"/>
  <c r="BA263" i="3"/>
  <c r="AZ263" i="3" s="1"/>
  <c r="BA267" i="3"/>
  <c r="AZ267" i="3" s="1"/>
  <c r="BA269" i="3"/>
  <c r="AZ269" i="3" s="1"/>
  <c r="BL464" i="3"/>
  <c r="AZ464" i="3" s="1"/>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9"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53" i="3"/>
  <c r="BL260" i="3"/>
  <c r="G262" i="3"/>
  <c r="BL263" i="3"/>
  <c r="G264" i="3"/>
  <c r="BL270" i="3"/>
  <c r="AZ270" i="3" s="1"/>
  <c r="BA272" i="3"/>
  <c r="AZ272" i="3" s="1"/>
  <c r="G276" i="3"/>
  <c r="BA277" i="3"/>
  <c r="BL277" i="3"/>
  <c r="BA280" i="3"/>
  <c r="AZ280" i="3" s="1"/>
  <c r="BA283" i="3"/>
  <c r="AZ283" i="3" s="1"/>
  <c r="BA244" i="3"/>
  <c r="BL244" i="3"/>
  <c r="BA246" i="3"/>
  <c r="BA252" i="3"/>
  <c r="AZ252" i="3" s="1"/>
  <c r="BL273" i="3"/>
  <c r="G274" i="3"/>
  <c r="BA276" i="3"/>
  <c r="BA278" i="3"/>
  <c r="AZ278" i="3" s="1"/>
  <c r="G281"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BA38" i="3"/>
  <c r="BA41" i="3"/>
  <c r="AZ41" i="3" s="1"/>
  <c r="BA42" i="3"/>
  <c r="P65" i="71"/>
  <c r="P66" i="71"/>
  <c r="V24" i="71"/>
  <c r="E23" i="71"/>
  <c r="E22" i="71" s="1"/>
  <c r="E21" i="71" s="1"/>
  <c r="E20" i="71" s="1"/>
  <c r="BA282" i="3"/>
  <c r="AZ282" i="3" s="1"/>
  <c r="BL282" i="3"/>
  <c r="BA284" i="3"/>
  <c r="AZ284" i="3" s="1"/>
  <c r="BL290" i="3"/>
  <c r="BL291" i="3"/>
  <c r="AZ291" i="3" s="1"/>
  <c r="BL293" i="3"/>
  <c r="BL294" i="3"/>
  <c r="BA297" i="3"/>
  <c r="AZ297" i="3" s="1"/>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93" i="3"/>
  <c r="BL194" i="3"/>
  <c r="AZ194" i="3" s="1"/>
  <c r="BA198" i="3"/>
  <c r="AZ198" i="3" s="1"/>
  <c r="BL206" i="3"/>
  <c r="BA19" i="3"/>
  <c r="AZ19" i="3" s="1"/>
  <c r="BA27" i="3"/>
  <c r="BL30" i="3"/>
  <c r="BL45" i="3"/>
  <c r="BA48" i="3"/>
  <c r="BA49" i="3"/>
  <c r="BA51" i="3"/>
  <c r="G55" i="3"/>
  <c r="BL56" i="3"/>
  <c r="BA58" i="3"/>
  <c r="BL59" i="3"/>
  <c r="AZ59" i="3" s="1"/>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BL203" i="3"/>
  <c r="AZ203" i="3" s="1"/>
  <c r="BA204" i="3"/>
  <c r="AZ204" i="3" s="1"/>
  <c r="BA18" i="3"/>
  <c r="AZ18" i="3" s="1"/>
  <c r="G21" i="3"/>
  <c r="BL21" i="3"/>
  <c r="AZ21" i="3" s="1"/>
  <c r="G23" i="3"/>
  <c r="G29" i="3"/>
  <c r="BL29" i="3"/>
  <c r="AZ29" i="3" s="1"/>
  <c r="G33" i="3"/>
  <c r="G34" i="3"/>
  <c r="BA37" i="3"/>
  <c r="G39" i="3"/>
  <c r="BL39" i="3"/>
  <c r="G43" i="3"/>
  <c r="G44" i="3"/>
  <c r="BA45" i="3"/>
  <c r="AZ45" i="3" s="1"/>
  <c r="BA46" i="3"/>
  <c r="BL49" i="3"/>
  <c r="BL50" i="3"/>
  <c r="AZ50" i="3" s="1"/>
  <c r="BL51" i="3"/>
  <c r="C47" i="71"/>
  <c r="D47" i="71" s="1"/>
  <c r="D46" i="71"/>
  <c r="AZ294" i="3"/>
  <c r="AZ177" i="3"/>
  <c r="BA185" i="3"/>
  <c r="AZ201" i="3"/>
  <c r="AZ25" i="3"/>
  <c r="BA36" i="3"/>
  <c r="BL38" i="3"/>
  <c r="AZ38" i="3" s="1"/>
  <c r="BA39" i="3"/>
  <c r="AZ39" i="3" s="1"/>
  <c r="BL47" i="3"/>
  <c r="AZ47" i="3" s="1"/>
  <c r="G49" i="3"/>
  <c r="D31" i="71"/>
  <c r="C32" i="71"/>
  <c r="C52" i="71"/>
  <c r="D51" i="71"/>
  <c r="C55" i="71"/>
  <c r="D54" i="71"/>
  <c r="N67" i="71"/>
  <c r="B66" i="71"/>
  <c r="F66" i="71"/>
  <c r="Q67" i="71"/>
  <c r="AZ65" i="3"/>
  <c r="BL73" i="3"/>
  <c r="BA74" i="3"/>
  <c r="AZ74" i="3" s="1"/>
  <c r="BA75" i="3"/>
  <c r="AZ75" i="3" s="1"/>
  <c r="G85" i="3"/>
  <c r="BL85" i="3"/>
  <c r="BA86" i="3"/>
  <c r="AZ86" i="3" s="1"/>
  <c r="BA87" i="3"/>
  <c r="AZ87" i="3" s="1"/>
  <c r="BA91" i="3"/>
  <c r="AZ91" i="3" s="1"/>
  <c r="G96" i="3"/>
  <c r="BL97" i="3"/>
  <c r="AZ97" i="3" s="1"/>
  <c r="BL101" i="3"/>
  <c r="BL102" i="3"/>
  <c r="G104" i="3"/>
  <c r="BL106" i="3"/>
  <c r="BA108" i="3"/>
  <c r="AZ108" i="3" s="1"/>
  <c r="BA110" i="3"/>
  <c r="AZ110" i="3" s="1"/>
  <c r="F3" i="35"/>
  <c r="S21" i="33"/>
  <c r="S21" i="37"/>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BL60" i="3"/>
  <c r="BA61" i="3"/>
  <c r="AZ61" i="3" s="1"/>
  <c r="BA68" i="3"/>
  <c r="BA73" i="3"/>
  <c r="AZ103" i="3"/>
  <c r="BA104" i="3"/>
  <c r="AZ104" i="3" s="1"/>
  <c r="BA106"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BA56" i="3"/>
  <c r="BA57" i="3"/>
  <c r="BL58" i="3"/>
  <c r="G60" i="3"/>
  <c r="BA60" i="3"/>
  <c r="BA63" i="3"/>
  <c r="BA66" i="3"/>
  <c r="BA71" i="3"/>
  <c r="BL77" i="3"/>
  <c r="AZ77" i="3" s="1"/>
  <c r="BA79" i="3"/>
  <c r="AZ79" i="3" s="1"/>
  <c r="BA84" i="3"/>
  <c r="AZ84" i="3" s="1"/>
  <c r="BL88" i="3"/>
  <c r="AZ88" i="3" s="1"/>
  <c r="BL90" i="3"/>
  <c r="BL92" i="3"/>
  <c r="G101" i="3"/>
  <c r="BA101" i="3"/>
  <c r="G109" i="3"/>
  <c r="BL112" i="3"/>
  <c r="AB21" i="33"/>
  <c r="B88" i="43"/>
  <c r="G52" i="3"/>
  <c r="BA52" i="3"/>
  <c r="AZ52" i="3" s="1"/>
  <c r="BA53" i="3"/>
  <c r="AZ53" i="3" s="1"/>
  <c r="BA54" i="3"/>
  <c r="BL57" i="3"/>
  <c r="G62" i="3"/>
  <c r="BL62" i="3"/>
  <c r="AZ62" i="3" s="1"/>
  <c r="BL63" i="3"/>
  <c r="G65" i="3"/>
  <c r="BL65" i="3"/>
  <c r="BL66" i="3"/>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F13" i="15"/>
  <c r="D4" i="73"/>
  <c r="C16" i="15"/>
  <c r="D7" i="73"/>
  <c r="M9" i="15"/>
  <c r="M28" i="15"/>
  <c r="F7" i="15"/>
  <c r="D3" i="73"/>
  <c r="D5" i="73"/>
  <c r="C16" i="67"/>
  <c r="C30" i="68" l="1"/>
  <c r="C48" i="68"/>
  <c r="C30" i="11"/>
  <c r="E26" i="43"/>
  <c r="K16" i="1"/>
  <c r="H16" i="1"/>
  <c r="Q16" i="1"/>
  <c r="F27" i="69" s="1"/>
  <c r="C47" i="69" s="1"/>
  <c r="D45" i="69" s="1"/>
  <c r="E59" i="40"/>
  <c r="F31" i="15"/>
  <c r="M7" i="15"/>
  <c r="J6" i="15" s="1"/>
  <c r="J18" i="15" s="1"/>
  <c r="C6" i="15"/>
  <c r="C32" i="15" s="1"/>
  <c r="F50" i="15"/>
  <c r="F59" i="15" s="1"/>
  <c r="AZ101" i="3"/>
  <c r="AZ71" i="3"/>
  <c r="C40" i="71"/>
  <c r="D39" i="71"/>
  <c r="C36" i="71"/>
  <c r="D35" i="71"/>
  <c r="N65" i="71"/>
  <c r="N66" i="71"/>
  <c r="AZ121" i="3"/>
  <c r="AZ58" i="3"/>
  <c r="AZ49" i="3"/>
  <c r="AZ27" i="3"/>
  <c r="AZ118" i="3"/>
  <c r="AZ243" i="3"/>
  <c r="U12" i="34"/>
  <c r="AB12" i="34"/>
  <c r="AB24" i="36"/>
  <c r="U24" i="36"/>
  <c r="AZ491" i="3"/>
  <c r="G5" i="3"/>
  <c r="B3" i="3" s="1"/>
  <c r="E510" i="3" s="1"/>
  <c r="AZ66" i="3"/>
  <c r="C70" i="71"/>
  <c r="D70" i="71" s="1"/>
  <c r="D71" i="71"/>
  <c r="T52" i="71"/>
  <c r="D52" i="71"/>
  <c r="AC9" i="34"/>
  <c r="W9" i="34"/>
  <c r="AB36" i="35"/>
  <c r="U36" i="35"/>
  <c r="AZ550" i="3"/>
  <c r="AZ37" i="3"/>
  <c r="G16" i="1"/>
  <c r="F10" i="39" s="1"/>
  <c r="S10" i="39" s="1"/>
  <c r="AZ63" i="3"/>
  <c r="AZ57" i="3"/>
  <c r="T28" i="71"/>
  <c r="D28" i="71"/>
  <c r="U28" i="71" s="1"/>
  <c r="C27" i="71"/>
  <c r="D79" i="71"/>
  <c r="C78" i="71"/>
  <c r="D78" i="71" s="1"/>
  <c r="T32" i="71"/>
  <c r="D32" i="71"/>
  <c r="AZ244" i="3"/>
  <c r="AZ277" i="3"/>
  <c r="AZ483" i="3"/>
  <c r="U39" i="40"/>
  <c r="AB39" i="40"/>
  <c r="D83" i="71"/>
  <c r="C82" i="71"/>
  <c r="D82" i="71" s="1"/>
  <c r="O65" i="71"/>
  <c r="D66" i="71"/>
  <c r="O66" i="71"/>
  <c r="C44" i="71"/>
  <c r="D43" i="71"/>
  <c r="C56" i="71"/>
  <c r="D55" i="71"/>
  <c r="AZ51" i="3"/>
  <c r="AZ273" i="3"/>
  <c r="AZ223" i="3"/>
  <c r="J7" i="37"/>
  <c r="W7" i="37" s="1"/>
  <c r="K1" i="73"/>
  <c r="E81" i="3"/>
  <c r="E324" i="3"/>
  <c r="E123" i="3"/>
  <c r="E66" i="3"/>
  <c r="E471" i="3"/>
  <c r="E403" i="3"/>
  <c r="E501" i="3"/>
  <c r="S6" i="3"/>
  <c r="E565" i="3"/>
  <c r="AA6" i="3"/>
  <c r="E330" i="3"/>
  <c r="E496" i="3"/>
  <c r="E32" i="3"/>
  <c r="P6" i="3"/>
  <c r="E166" i="3"/>
  <c r="E553" i="3"/>
  <c r="E151" i="3"/>
  <c r="E320" i="3"/>
  <c r="E415" i="3"/>
  <c r="E290" i="3"/>
  <c r="E293" i="3"/>
  <c r="E253" i="3"/>
  <c r="E453" i="3"/>
  <c r="E314" i="3"/>
  <c r="E511" i="3"/>
  <c r="E99" i="3"/>
  <c r="E193" i="3"/>
  <c r="E519" i="3"/>
  <c r="E573" i="3"/>
  <c r="E527" i="3"/>
  <c r="E457" i="3"/>
  <c r="E562" i="3"/>
  <c r="E450" i="3"/>
  <c r="E433" i="3"/>
  <c r="E72"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F41" i="67"/>
  <c r="G1" i="73"/>
  <c r="J5" i="15" l="1"/>
  <c r="J24" i="15" s="1"/>
  <c r="AC7" i="37"/>
  <c r="F27" i="11"/>
  <c r="C29" i="11" s="1"/>
  <c r="D27" i="11" s="1"/>
  <c r="F45" i="69"/>
  <c r="E578" i="3"/>
  <c r="E117" i="3"/>
  <c r="E114" i="3"/>
  <c r="V6" i="3"/>
  <c r="E396" i="3"/>
  <c r="E125" i="3"/>
  <c r="E88" i="3"/>
  <c r="AG6" i="3"/>
  <c r="E394" i="3"/>
  <c r="AE6" i="3"/>
  <c r="E120" i="3"/>
  <c r="E402" i="3"/>
  <c r="E237" i="3"/>
  <c r="E97" i="3"/>
  <c r="AM6" i="3"/>
  <c r="E367" i="3"/>
  <c r="E438" i="3"/>
  <c r="E464" i="3"/>
  <c r="E15" i="3"/>
  <c r="E13" i="3"/>
  <c r="E249" i="3"/>
  <c r="E583" i="3"/>
  <c r="E382" i="3"/>
  <c r="E550" i="3"/>
  <c r="E230" i="3"/>
  <c r="E551" i="3"/>
  <c r="E516" i="3"/>
  <c r="E30" i="3"/>
  <c r="E444" i="3"/>
  <c r="E164" i="3"/>
  <c r="E256" i="3"/>
  <c r="E424" i="3"/>
  <c r="E128" i="3"/>
  <c r="E159" i="3"/>
  <c r="E298" i="3"/>
  <c r="O6" i="3"/>
  <c r="E291" i="3"/>
  <c r="E145" i="3"/>
  <c r="E82" i="3"/>
  <c r="E312" i="3"/>
  <c r="E463" i="3"/>
  <c r="E205" i="3"/>
  <c r="E292" i="3"/>
  <c r="E111" i="3"/>
  <c r="E571" i="3"/>
  <c r="E458" i="3"/>
  <c r="E45" i="3"/>
  <c r="E85" i="3"/>
  <c r="E336" i="3"/>
  <c r="E245" i="3"/>
  <c r="E395" i="3"/>
  <c r="E294" i="3"/>
  <c r="E559" i="3"/>
  <c r="N6" i="3"/>
  <c r="E316" i="3"/>
  <c r="E558" i="3"/>
  <c r="E236" i="3"/>
  <c r="E73" i="3"/>
  <c r="E437" i="3"/>
  <c r="E238" i="3"/>
  <c r="E221" i="3"/>
  <c r="E506" i="3"/>
  <c r="E426" i="3"/>
  <c r="E126" i="3"/>
  <c r="E196" i="3"/>
  <c r="E504" i="3"/>
  <c r="E552" i="3"/>
  <c r="E393" i="3"/>
  <c r="E96" i="3"/>
  <c r="E255" i="3"/>
  <c r="E39" i="3"/>
  <c r="E284" i="3"/>
  <c r="E250" i="3"/>
  <c r="E524" i="3"/>
  <c r="AQ6" i="3"/>
  <c r="E60" i="3"/>
  <c r="J6" i="3"/>
  <c r="E188" i="3"/>
  <c r="E412" i="3"/>
  <c r="E451" i="3"/>
  <c r="E113" i="3"/>
  <c r="E42" i="3"/>
  <c r="E355" i="3"/>
  <c r="E46" i="3"/>
  <c r="E152" i="3"/>
  <c r="E466" i="3"/>
  <c r="E548" i="3"/>
  <c r="E93" i="3"/>
  <c r="E313" i="3"/>
  <c r="E154" i="3"/>
  <c r="E341" i="3"/>
  <c r="E138" i="3"/>
  <c r="E521" i="3"/>
  <c r="E176" i="3"/>
  <c r="E299" i="3"/>
  <c r="E346" i="3"/>
  <c r="E440" i="3"/>
  <c r="E326" i="3"/>
  <c r="E225" i="3"/>
  <c r="E456" i="3"/>
  <c r="E206" i="3"/>
  <c r="E281" i="3"/>
  <c r="E33" i="3"/>
  <c r="E484" i="3"/>
  <c r="E479" i="3"/>
  <c r="E499" i="3"/>
  <c r="E353" i="3"/>
  <c r="E17" i="3"/>
  <c r="E338" i="3"/>
  <c r="E359" i="3"/>
  <c r="E53" i="3"/>
  <c r="E71" i="3"/>
  <c r="U6" i="3"/>
  <c r="E208" i="3"/>
  <c r="E352" i="3"/>
  <c r="E459" i="3"/>
  <c r="E375" i="3"/>
  <c r="E520" i="3"/>
  <c r="E90" i="3"/>
  <c r="E364" i="3"/>
  <c r="E170" i="3"/>
  <c r="E178" i="3"/>
  <c r="E427" i="3"/>
  <c r="E232" i="3"/>
  <c r="E26" i="3"/>
  <c r="E525" i="3"/>
  <c r="E383" i="3"/>
  <c r="E513" i="3"/>
  <c r="E492" i="3"/>
  <c r="E544" i="3"/>
  <c r="E517" i="3"/>
  <c r="E212" i="3"/>
  <c r="C29" i="69"/>
  <c r="D27" i="69" s="1"/>
  <c r="F28" i="12"/>
  <c r="C29" i="12" s="1"/>
  <c r="D28" i="12" s="1"/>
  <c r="AA10" i="39"/>
  <c r="F10" i="40"/>
  <c r="S10" i="40" s="1"/>
  <c r="C49" i="15"/>
  <c r="H10" i="39"/>
  <c r="U10" i="39" s="1"/>
  <c r="H10" i="40"/>
  <c r="AB10" i="40" s="1"/>
  <c r="J10" i="40"/>
  <c r="AC10" i="40" s="1"/>
  <c r="J10" i="39"/>
  <c r="W10" i="39" s="1"/>
  <c r="D44" i="71"/>
  <c r="T44" i="71"/>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40" i="71"/>
  <c r="D40" i="71"/>
  <c r="E3" i="6"/>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56" i="71"/>
  <c r="T56" i="71"/>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10" i="15"/>
  <c r="C5" i="15" s="1"/>
  <c r="C38" i="15" s="1"/>
  <c r="M27" i="15"/>
  <c r="F41" i="15"/>
  <c r="M27" i="67"/>
  <c r="C48" i="15" l="1"/>
  <c r="C66" i="15" s="1"/>
  <c r="H6" i="3"/>
  <c r="AC6" i="3"/>
  <c r="W10" i="40"/>
  <c r="D116" i="43"/>
  <c r="AB10" i="39"/>
  <c r="F22" i="11"/>
  <c r="C23" i="11" s="1"/>
  <c r="F24" i="67"/>
  <c r="C24" i="67" s="1"/>
  <c r="F24" i="15"/>
  <c r="C24" i="15" s="1"/>
  <c r="F22" i="69"/>
  <c r="F41" i="69" s="1"/>
  <c r="F22" i="68"/>
  <c r="F41" i="68" s="1"/>
  <c r="F25" i="12"/>
  <c r="C26" i="12" s="1"/>
  <c r="D25" i="12" s="1"/>
  <c r="AC10" i="39"/>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67"/>
  <c r="C17" i="67"/>
  <c r="C17" i="15"/>
  <c r="C60" i="15" l="1"/>
  <c r="C44" i="69"/>
  <c r="D41" i="69" s="1"/>
  <c r="C26" i="68"/>
  <c r="D22" i="68" s="1"/>
  <c r="C25" i="11"/>
  <c r="C26" i="69"/>
  <c r="D22" i="69" s="1"/>
  <c r="E6" i="3"/>
  <c r="C24" i="11"/>
  <c r="C44" i="11"/>
  <c r="D41" i="11" s="1"/>
  <c r="C26" i="11"/>
  <c r="D22" i="11" s="1"/>
  <c r="C23" i="68"/>
  <c r="C44" i="68"/>
  <c r="D41" i="68"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5"/>
  <c r="D2" i="37"/>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D34" i="9"/>
  <c r="D35" i="9"/>
  <c r="D20" i="9"/>
  <c r="AO12" i="1"/>
  <c r="AO8" i="1"/>
  <c r="AO11" i="1"/>
  <c r="AO6" i="1"/>
  <c r="AO7" i="1"/>
  <c r="AO9" i="1"/>
  <c r="AO10" i="1"/>
  <c r="C102" i="9" l="1"/>
  <c r="C21" i="9"/>
  <c r="G19" i="9"/>
  <c r="G21" i="9" s="1"/>
  <c r="D22" i="9"/>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14" i="74" s="1"/>
  <c r="G14" i="74" s="1"/>
  <c r="C34"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C104" i="9" s="1"/>
  <c r="E118" i="9"/>
  <c r="F118" i="9"/>
  <c r="F4" i="52" s="1"/>
  <c r="B51" i="72" s="1"/>
  <c r="D7" i="53"/>
  <c r="B21" i="72" s="1"/>
  <c r="C5" i="74"/>
  <c r="H4" i="52"/>
  <c r="C105" i="9"/>
  <c r="I4" i="52"/>
  <c r="H101" i="9" l="1"/>
  <c r="H119" i="9"/>
  <c r="H5" i="52" s="1"/>
  <c r="F119" i="9"/>
  <c r="F5" i="52" s="1"/>
  <c r="B53" i="72" s="1"/>
  <c r="E4" i="52"/>
  <c r="B48" i="72" s="1"/>
  <c r="D118" i="9"/>
  <c r="H107" i="9"/>
  <c r="D45" i="9"/>
  <c r="M48" i="9"/>
  <c r="D5" i="53"/>
  <c r="D4" i="52" l="1"/>
  <c r="B47" i="72" s="1"/>
  <c r="D119" i="9"/>
  <c r="D5" i="52" s="1"/>
  <c r="B49" i="72" s="1"/>
  <c r="B20" i="72"/>
  <c r="D6" i="53"/>
  <c r="B22" i="72" s="1"/>
  <c r="C72" i="9"/>
  <c r="C93" i="9"/>
  <c r="C86" i="9" s="1"/>
  <c r="D55" i="9"/>
  <c r="M53" i="9" s="1"/>
  <c r="C78" i="9"/>
  <c r="C73" i="9" s="1"/>
  <c r="D53" i="9"/>
  <c r="D52" i="9"/>
  <c r="C64" i="9"/>
  <c r="C63" i="9" s="1"/>
  <c r="C67" i="9" s="1"/>
  <c r="C85" i="9"/>
  <c r="C95" i="9" s="1"/>
  <c r="H108" i="9"/>
  <c r="M49" i="9"/>
  <c r="D122" i="9"/>
  <c r="D13" i="53"/>
  <c r="L65" i="9" l="1"/>
  <c r="M65" i="9" s="1"/>
  <c r="L66" i="9"/>
  <c r="M66" i="9" s="1"/>
  <c r="L63" i="9"/>
  <c r="M63" i="9" s="1"/>
  <c r="L67" i="9"/>
  <c r="M67" i="9" s="1"/>
  <c r="L64" i="9"/>
  <c r="M64" i="9" s="1"/>
  <c r="L68" i="9"/>
  <c r="M68" i="9" s="1"/>
  <c r="B30" i="72"/>
  <c r="D14" i="53"/>
  <c r="B32" i="72" s="1"/>
  <c r="D123" i="9"/>
  <c r="D9" i="52" s="1"/>
  <c r="D8" i="52"/>
  <c r="D15" i="53"/>
  <c r="B31" i="72" s="1"/>
  <c r="C6" i="74"/>
  <c r="C79" i="9"/>
  <c r="C96" i="9"/>
  <c r="E96" i="9" s="1"/>
  <c r="E97" i="9" s="1"/>
  <c r="C68" i="9"/>
  <c r="D54" i="9" s="1"/>
  <c r="D59" i="9"/>
  <c r="M55" i="9" s="1"/>
  <c r="M69" i="9" l="1"/>
  <c r="N69" i="9" s="1"/>
  <c r="C80" i="9"/>
  <c r="E80" i="9" s="1"/>
  <c r="E81" i="9" s="1"/>
  <c r="C97" i="9"/>
  <c r="D58" i="9" s="1"/>
  <c r="D56" i="9" s="1"/>
  <c r="M54" i="9" s="1"/>
  <c r="N57" i="9" s="1"/>
  <c r="C81" i="9" l="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<sst xmlns="http://schemas.openxmlformats.org/spreadsheetml/2006/main" count="7849" uniqueCount="3440">
  <si>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</si>
  <si>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</si>
  <si>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</si>
  <si>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</si>
  <si>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</si>
  <si>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</si>
  <si>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</si>
  <si>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</si>
  <si>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</si>
  <si>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</si>
  <si>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</si>
  <si>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</si>
  <si>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</si>
  <si>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</si>
  <si>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</si>
  <si>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</si>
  <si>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</si>
  <si>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</si>
  <si>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</si>
  <si>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</si>
  <si>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</si>
  <si>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</si>
  <si>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</si>
  <si>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</si>
  <si>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</si>
  <si>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</si>
  <si>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</si>
  <si>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</si>
  <si>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</si>
  <si>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</si>
  <si>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</si>
  <si>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</si>
  <si>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</si>
  <si>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</si>
  <si>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</si>
  <si>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</si>
  <si>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</si>
  <si>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</si>
  <si>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</si>
  <si>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</si>
  <si>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</si>
  <si>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</si>
  <si>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</si>
  <si>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</si>
  <si>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</si>
  <si>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</si>
  <si>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</si>
  <si>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</si>
  <si>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</si>
  <si>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</si>
  <si>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</si>
  <si>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</si>
  <si>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</si>
  <si>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</si>
  <si>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</si>
  <si>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</si>
  <si>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</si>
  <si>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</si>
  <si>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</si>
  <si>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</si>
  <si>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</si>
  <si>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</si>
  <si>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</si>
  <si>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</si>
  <si>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</si>
  <si>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</si>
  <si>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</si>
  <si>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</si>
  <si>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</si>
  <si>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</si>
  <si>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</si>
  <si>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</si>
  <si>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</si>
  <si>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</si>
  <si>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</si>
  <si>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</si>
  <si>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</si>
  <si>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</si>
  <si>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</si>
  <si>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</si>
  <si>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</si>
  <si>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</si>
  <si>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</si>
  <si>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</si>
  <si>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</si>
  <si>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</si>
  <si>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</si>
  <si>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</si>
  <si>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</si>
  <si>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</si>
  <si>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</si>
  <si>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</si>
  <si>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</si>
  <si>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</si>
  <si>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</si>
  <si>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</si>
  <si>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</si>
  <si>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</si>
  <si>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</si>
  <si>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</si>
  <si>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</si>
  <si>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</si>
  <si>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</si>
  <si>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</si>
  <si>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</si>
  <si>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</si>
  <si>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</si>
  <si>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</si>
  <si>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</si>
  <si>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</si>
  <si>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</si>
  <si>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</si>
  <si>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</si>
  <si>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</si>
  <si>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</si>
  <si>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</si>
  <si>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</si>
  <si>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</si>
  <si>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</si>
  <si>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</si>
  <si>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</si>
  <si>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</si>
  <si>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</si>
  <si>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</si>
  <si>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</si>
  <si>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</si>
  <si>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</si>
  <si>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</si>
  <si>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</si>
  <si>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</si>
  <si>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</si>
  <si>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</si>
  <si>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</si>
  <si>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</si>
  <si>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</si>
  <si>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</si>
  <si>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</si>
  <si>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</si>
  <si>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</si>
  <si>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</si>
  <si>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</si>
  <si>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</si>
  <si>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</si>
  <si>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</si>
  <si>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</si>
  <si>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</si>
  <si>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</si>
  <si>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</si>
  <si>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</si>
  <si>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</si>
  <si>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</si>
  <si>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</si>
  <si>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</si>
  <si>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</si>
  <si>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</si>
  <si>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</si>
  <si>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</si>
  <si>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</si>
  <si>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</si>
  <si>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</si>
  <si>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</si>
  <si>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</si>
  <si>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</si>
  <si>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</si>
  <si>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</si>
  <si>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</si>
  <si>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</si>
  <si>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</si>
  <si>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</si>
  <si>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</si>
  <si>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</si>
  <si>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</si>
  <si>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</si>
  <si>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</si>
  <si>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</si>
  <si>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</si>
  <si>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</si>
  <si>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</si>
  <si>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</si>
  <si>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</si>
  <si>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</si>
  <si>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</si>
  <si>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</si>
  <si>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</si>
  <si>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</si>
  <si>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</si>
  <si>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</si>
  <si>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</si>
  <si>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</si>
  <si>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</si>
  <si>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</si>
  <si>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</si>
  <si>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</si>
  <si>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</si>
  <si>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</si>
  <si>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</si>
  <si>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</si>
  <si>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</si>
  <si>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</si>
  <si>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</si>
  <si>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</si>
  <si>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</si>
  <si>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</si>
  <si>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</si>
  <si>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</si>
  <si>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</si>
  <si>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</si>
  <si>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</si>
  <si>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</si>
  <si>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</si>
  <si>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</si>
  <si>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</si>
  <si>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</si>
  <si>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</si>
  <si>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</si>
  <si>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</si>
  <si>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</si>
  <si>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</si>
  <si>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</si>
  <si>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</si>
  <si>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</si>
  <si>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</si>
  <si>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</si>
  <si>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</si>
  <si>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</si>
  <si>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</si>
  <si>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</si>
  <si>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</si>
  <si>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</si>
  <si>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</si>
  <si>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</si>
  <si>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</si>
  <si>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</si>
  <si>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</si>
  <si>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</si>
  <si>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</si>
  <si>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</si>
  <si>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</si>
  <si>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</si>
  <si>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</si>
  <si>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</si>
  <si>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</si>
  <si>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</si>
  <si>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</si>
  <si>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</si>
  <si>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</si>
  <si>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</si>
  <si>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</si>
  <si>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</si>
  <si>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</si>
  <si>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</si>
  <si>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</si>
  <si>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</si>
  <si>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</si>
  <si>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</si>
  <si>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</si>
  <si>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</si>
  <si>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</si>
  <si>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</si>
  <si>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</si>
  <si>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</si>
  <si>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</si>
  <si>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</si>
  <si>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</si>
  <si>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</si>
  <si>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</si>
  <si>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</si>
  <si>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</si>
  <si>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</si>
  <si>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</si>
  <si>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</si>
  <si>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</si>
  <si>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</si>
  <si>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</si>
  <si>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</si>
  <si>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</si>
  <si>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</si>
  <si>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</si>
  <si>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</si>
  <si>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</si>
  <si>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</si>
  <si>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</si>
  <si>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</si>
  <si>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</si>
  <si>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</si>
  <si>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</si>
  <si>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</si>
  <si>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</si>
  <si>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</si>
  <si>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</si>
  <si>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</si>
  <si>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</si>
  <si>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</si>
  <si>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</si>
  <si>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</si>
  <si>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</si>
  <si>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</si>
  <si>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</si>
  <si>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</si>
  <si>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</si>
  <si>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</si>
  <si>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</si>
  <si>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</si>
  <si>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</si>
  <si>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</si>
  <si>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</si>
  <si>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</si>
  <si>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</si>
  <si>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</si>
  <si>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</si>
  <si>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</si>
  <si>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</si>
  <si>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</si>
  <si>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</si>
  <si>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</si>
  <si>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</si>
  <si>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</si>
  <si>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</si>
  <si>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</si>
  <si>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</si>
  <si>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</si>
  <si>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</si>
  <si>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</si>
  <si>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</si>
  <si>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</si>
  <si>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</si>
  <si>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</si>
  <si>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</si>
  <si>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</si>
  <si>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</si>
  <si>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</si>
  <si>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</si>
  <si>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</si>
  <si>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</si>
  <si>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</si>
  <si>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</si>
  <si>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</si>
  <si>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</si>
  <si>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</si>
  <si>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</si>
  <si>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</si>
  <si>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</si>
  <si>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</si>
  <si>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</si>
  <si>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</si>
  <si>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</si>
  <si>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</si>
  <si>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</si>
  <si>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</si>
  <si>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</si>
  <si>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</si>
  <si>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</si>
  <si>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</si>
  <si>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</si>
  <si>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</si>
  <si>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</si>
  <si>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</si>
  <si>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</si>
  <si>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</si>
  <si>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</si>
  <si>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</si>
  <si>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</si>
  <si>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</si>
  <si>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</si>
  <si>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</si>
  <si>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</si>
  <si>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</si>
  <si>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</si>
  <si>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</si>
  <si>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</si>
  <si>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</si>
  <si>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</si>
  <si>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</si>
  <si>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</si>
  <si>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</si>
  <si>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</si>
  <si>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</si>
  <si>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</si>
  <si>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</si>
  <si>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</si>
  <si>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</si>
  <si>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</si>
  <si>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</si>
  <si>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</si>
  <si>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</si>
  <si>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</si>
  <si>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</si>
  <si>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</si>
  <si>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</si>
  <si>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</si>
  <si>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</si>
  <si>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</si>
  <si>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</si>
  <si>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</si>
  <si>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</si>
  <si>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</si>
  <si>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</si>
  <si>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</si>
  <si>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</si>
  <si>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</si>
  <si>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</si>
  <si>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</si>
  <si>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</si>
  <si>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</si>
  <si>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</si>
  <si>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</si>
  <si>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</si>
  <si>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</si>
  <si>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</si>
  <si>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</si>
  <si>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</si>
  <si>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</si>
  <si>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</si>
  <si>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</si>
  <si>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</si>
  <si>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</si>
  <si>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</si>
  <si>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</si>
  <si>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</si>
  <si>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</si>
  <si>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</si>
  <si>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</si>
  <si>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</si>
  <si>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</si>
  <si>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</si>
  <si>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</si>
  <si>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</si>
  <si>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</si>
  <si>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</si>
  <si>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</si>
  <si>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</si>
  <si>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</si>
  <si>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</si>
  <si>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</si>
  <si>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</si>
  <si>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</si>
  <si>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</si>
  <si>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</si>
  <si>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</si>
  <si>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</si>
  <si>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</si>
  <si>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</si>
  <si>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</si>
  <si>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</si>
  <si>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</si>
  <si>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</si>
  <si>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</si>
  <si>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</si>
  <si>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</si>
  <si>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</si>
  <si>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</si>
  <si>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</si>
  <si>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</si>
  <si>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</si>
  <si>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</si>
  <si>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</si>
  <si>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</si>
  <si>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</si>
  <si>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</si>
  <si>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</si>
  <si>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</si>
  <si>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</si>
  <si>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</si>
  <si>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</si>
  <si>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</si>
  <si>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</si>
  <si>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</si>
  <si>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</si>
  <si>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</si>
  <si>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</si>
  <si>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</si>
  <si>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</si>
  <si>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</si>
  <si>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</si>
  <si>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</si>
  <si>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</si>
  <si>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</si>
  <si>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</si>
  <si>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</si>
  <si>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</si>
  <si>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</si>
  <si>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</si>
  <si>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</si>
  <si>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</si>
  <si>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</si>
  <si>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</si>
  <si>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</si>
  <si>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</si>
  <si>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</si>
  <si>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</si>
  <si>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</si>
  <si>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</si>
  <si>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</si>
  <si>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</si>
  <si>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</si>
  <si>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</si>
  <si>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</si>
  <si>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</si>
  <si>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</si>
  <si>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</si>
  <si>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</si>
  <si>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</si>
  <si>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</si>
  <si>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</si>
  <si>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</si>
  <si>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</si>
  <si>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</si>
  <si>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</si>
  <si>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</si>
  <si>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</si>
  <si>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</si>
  <si>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</si>
  <si>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</si>
  <si>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</si>
  <si>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</si>
  <si>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</si>
  <si>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</si>
  <si>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</si>
  <si>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</si>
  <si>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</si>
  <si>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</si>
  <si>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</si>
  <si>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</si>
  <si>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</si>
  <si>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</si>
  <si>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</si>
  <si>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</si>
  <si>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</si>
  <si>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</si>
  <si>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</si>
  <si>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</si>
  <si>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</si>
  <si>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</si>
  <si>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</si>
  <si>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</si>
  <si>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</si>
  <si>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</si>
  <si>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</si>
  <si>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</si>
  <si>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</si>
  <si>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</si>
  <si>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</si>
  <si>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</si>
  <si>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</si>
  <si>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</si>
  <si>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</si>
  <si>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</si>
  <si>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</si>
  <si>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</si>
  <si>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</si>
  <si>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</si>
  <si>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</si>
  <si>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</si>
  <si>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</si>
  <si>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</si>
  <si>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</si>
  <si>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</si>
  <si>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</si>
  <si>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</si>
  <si>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</si>
  <si>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</si>
  <si>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</si>
  <si>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</si>
  <si>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</si>
  <si>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</si>
  <si>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</si>
  <si>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</si>
  <si>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</si>
  <si>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</si>
  <si>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</si>
  <si>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</si>
  <si>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</si>
  <si>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</si>
  <si>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</si>
  <si>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</si>
  <si>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</si>
  <si>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</si>
  <si>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</si>
  <si>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</si>
  <si>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</si>
  <si>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</si>
  <si>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</si>
  <si>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</si>
  <si>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</si>
  <si>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</si>
  <si>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</si>
  <si>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</si>
  <si>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</si>
  <si>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</si>
  <si>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</si>
  <si>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</si>
  <si>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</si>
  <si>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</si>
  <si>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</si>
  <si>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</si>
  <si>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</si>
  <si>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</si>
  <si>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</si>
  <si>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</si>
  <si>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</si>
  <si>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</si>
  <si>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</si>
  <si>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</si>
  <si>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</si>
  <si>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</si>
  <si>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</si>
  <si>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</si>
  <si>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</si>
  <si>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</si>
  <si>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</si>
  <si>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</si>
  <si>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</si>
  <si>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</si>
  <si>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</si>
  <si>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</si>
  <si>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</si>
  <si>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</si>
  <si>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</si>
  <si>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</si>
  <si>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</si>
  <si>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</si>
  <si>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</si>
  <si>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</si>
  <si>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</si>
  <si>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</si>
  <si>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</si>
  <si>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</si>
  <si>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</si>
  <si>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</si>
  <si>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</si>
  <si>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</si>
  <si>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</si>
  <si>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</si>
  <si>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</si>
  <si>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</si>
  <si>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</si>
  <si>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</si>
  <si>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</si>
  <si>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</si>
  <si>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</si>
  <si>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</si>
  <si>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</si>
  <si>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</si>
  <si>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</si>
  <si>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</si>
  <si>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</si>
  <si>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</si>
  <si>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</si>
  <si>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</si>
  <si>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</si>
  <si>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</si>
  <si>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</si>
  <si>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</si>
  <si>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</si>
  <si>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</si>
  <si>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</si>
  <si>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</si>
  <si>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</si>
  <si>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</si>
  <si>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</si>
  <si>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</si>
  <si>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</si>
  <si>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</si>
  <si>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</si>
  <si>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</si>
  <si>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</si>
  <si>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</si>
  <si>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</si>
  <si>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</si>
  <si>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</si>
  <si>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</si>
  <si>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</si>
  <si>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</si>
  <si>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</si>
  <si>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</si>
  <si>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</si>
  <si>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</si>
  <si>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</si>
  <si>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</si>
  <si>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</si>
  <si>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</si>
  <si>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</si>
  <si>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</si>
  <si>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</si>
  <si>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</si>
  <si>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</si>
  <si>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</si>
  <si>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</si>
  <si>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</si>
  <si>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</si>
  <si>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</si>
  <si>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</si>
  <si>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</si>
  <si>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</si>
  <si>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</si>
  <si>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</si>
  <si>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</si>
  <si>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</si>
  <si>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</si>
  <si>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</si>
  <si>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</si>
  <si>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</si>
  <si>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</si>
  <si>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</si>
  <si>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</si>
  <si>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</si>
  <si>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</si>
  <si>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</si>
  <si>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</si>
  <si>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</si>
  <si>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</si>
  <si>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</si>
  <si>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</si>
  <si>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</si>
  <si>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</si>
  <si>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</si>
  <si>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</si>
  <si>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</si>
  <si>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</si>
  <si>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</si>
  <si>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</si>
  <si>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</si>
  <si>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</si>
  <si>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</si>
  <si>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</si>
  <si>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</si>
  <si>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</si>
  <si>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</si>
  <si>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</si>
  <si>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</si>
  <si>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</si>
  <si>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</si>
  <si>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</si>
  <si>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</si>
  <si>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</si>
  <si>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</si>
  <si>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</si>
  <si>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</si>
  <si>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</si>
  <si>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</si>
  <si>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</si>
  <si>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</si>
  <si>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</si>
  <si>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</si>
  <si>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</si>
  <si>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</si>
  <si>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</si>
  <si>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</si>
  <si>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</si>
  <si>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</si>
  <si>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</si>
  <si>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</si>
  <si>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</si>
  <si>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</si>
  <si>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</si>
  <si>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</si>
  <si>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</si>
  <si>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</si>
  <si>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</si>
  <si>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</si>
  <si>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</si>
  <si>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</si>
  <si>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</si>
  <si>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</si>
  <si>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</si>
  <si>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</si>
  <si>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</si>
  <si>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</si>
  <si>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</si>
  <si>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</si>
  <si>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</si>
  <si>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</si>
  <si>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</si>
  <si>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</si>
  <si>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</si>
  <si>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</si>
  <si>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</si>
  <si>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</si>
  <si>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</si>
  <si>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</si>
  <si>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</si>
  <si>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</si>
  <si>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</si>
  <si>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</si>
  <si>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</si>
  <si>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</si>
  <si>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</si>
  <si>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</si>
  <si>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</si>
  <si>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</si>
  <si>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</si>
  <si>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</si>
  <si>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</si>
  <si>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</si>
  <si>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</si>
  <si>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</si>
  <si>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</si>
  <si>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</si>
  <si>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</si>
  <si>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</si>
  <si>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</si>
  <si>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</si>
  <si>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</si>
  <si>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</si>
  <si>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</si>
  <si>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</si>
  <si>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</si>
  <si>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</si>
  <si>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</si>
  <si>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</si>
  <si>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</si>
  <si>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</si>
  <si>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</si>
  <si>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</si>
  <si>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</si>
  <si>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</si>
  <si>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</si>
  <si>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</si>
  <si>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</si>
  <si>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</si>
  <si>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</si>
  <si>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</si>
  <si>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</si>
  <si>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</si>
  <si>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</si>
  <si>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</si>
  <si>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</si>
  <si>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</si>
  <si>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</si>
  <si>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</si>
  <si>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</si>
  <si>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</si>
  <si>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</si>
  <si>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</si>
  <si>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</si>
  <si>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</si>
  <si>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</si>
  <si>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</si>
  <si>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</si>
  <si>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</si>
  <si>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</si>
  <si>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</si>
  <si>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</si>
  <si>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</si>
  <si>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</si>
  <si>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</si>
  <si>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</si>
  <si>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</si>
  <si>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</si>
  <si>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</si>
  <si>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</si>
  <si>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</si>
  <si>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</si>
  <si>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</si>
  <si>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</si>
  <si>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</si>
  <si>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</si>
  <si>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</si>
  <si>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</si>
  <si>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</si>
  <si>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</si>
  <si>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</si>
  <si>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</si>
  <si>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</si>
  <si>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</si>
  <si>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</si>
  <si>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</si>
  <si>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</si>
  <si>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</si>
  <si>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</si>
  <si>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</si>
  <si>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</si>
  <si>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</si>
  <si>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</si>
  <si>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</si>
  <si>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</si>
  <si>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</si>
  <si>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</si>
  <si>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</si>
  <si>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</si>
  <si>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</si>
  <si>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</si>
  <si>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</si>
  <si>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</si>
  <si>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</si>
  <si>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</si>
  <si>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</si>
  <si>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</si>
  <si>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</si>
  <si>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</si>
  <si>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</si>
  <si>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</si>
  <si>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</si>
  <si>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</si>
  <si>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</si>
  <si>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</si>
  <si>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</si>
  <si>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</si>
  <si>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</si>
  <si>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</si>
  <si>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</si>
  <si>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</si>
  <si>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</si>
  <si>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</si>
  <si>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</si>
  <si>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</si>
  <si>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</si>
  <si>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</si>
  <si>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</si>
  <si>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</si>
  <si>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</si>
  <si>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</si>
  <si>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</si>
  <si>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</si>
  <si>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</si>
  <si>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</si>
  <si>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</si>
  <si>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</si>
  <si>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</si>
  <si>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</si>
  <si>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</si>
  <si>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</si>
  <si>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</si>
  <si>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</si>
  <si>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</si>
  <si>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</si>
  <si>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</si>
  <si>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</si>
  <si>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</si>
  <si>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</si>
  <si>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</si>
  <si>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</si>
  <si>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</si>
  <si>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</si>
  <si>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</si>
  <si>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</si>
  <si>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</si>
  <si>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</si>
  <si>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</si>
  <si>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</si>
  <si>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</si>
  <si>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</si>
  <si>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</si>
  <si>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</si>
  <si>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</si>
  <si>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</si>
  <si>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</si>
  <si>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</si>
  <si>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</si>
  <si>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</si>
  <si>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</si>
  <si>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</si>
  <si>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</si>
  <si>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</si>
  <si>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</si>
  <si>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</si>
  <si>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</si>
  <si>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</si>
  <si>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</si>
  <si>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</si>
  <si>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</si>
  <si>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</si>
  <si>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</si>
  <si>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</si>
  <si>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</si>
  <si>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</si>
  <si>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</si>
  <si>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</si>
  <si>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</si>
  <si>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</si>
  <si>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</si>
  <si>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</si>
  <si>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</si>
  <si>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</si>
  <si>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</si>
  <si>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</si>
  <si>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</si>
  <si>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</si>
  <si>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</si>
  <si>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</si>
  <si>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</si>
  <si>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</si>
  <si>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</si>
  <si>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</si>
  <si>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</si>
  <si>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</si>
  <si>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</si>
  <si>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</si>
  <si>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</si>
  <si>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</si>
  <si>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</si>
  <si>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</si>
  <si>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</si>
  <si>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</si>
  <si>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</si>
  <si>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</si>
  <si>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</si>
  <si>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</si>
  <si>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</si>
  <si>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</si>
  <si>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</si>
  <si>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</si>
  <si>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</si>
  <si>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</si>
  <si>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</si>
  <si>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</si>
  <si>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</si>
  <si>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</si>
  <si>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</si>
  <si>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</si>
  <si>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</si>
  <si>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</si>
  <si>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</si>
  <si>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</si>
  <si>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</si>
  <si>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</si>
  <si>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</si>
  <si>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</si>
  <si>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</si>
  <si>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</si>
  <si>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</si>
  <si>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</si>
  <si>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</si>
  <si>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</si>
  <si>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</si>
  <si>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</si>
  <si>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</si>
  <si>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</si>
  <si>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</si>
  <si>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</si>
  <si>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</si>
  <si>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</si>
  <si>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</si>
  <si>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</si>
  <si>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</si>
  <si>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</si>
  <si>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</si>
  <si>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</si>
  <si>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</si>
  <si>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</si>
  <si>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</si>
  <si>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</si>
  <si>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</si>
  <si>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</si>
  <si>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</si>
  <si>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</si>
  <si>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</si>
  <si>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</si>
  <si>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</si>
  <si>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</si>
  <si>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</si>
  <si>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</si>
  <si>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</si>
  <si>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</si>
  <si>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</si>
  <si>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</si>
  <si>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</si>
  <si>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</si>
  <si>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</si>
  <si>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</si>
  <si>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</si>
  <si>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</si>
  <si>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</si>
  <si>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</si>
  <si>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</si>
  <si>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</si>
  <si>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</si>
  <si>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</si>
  <si>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</si>
  <si>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</si>
  <si>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</si>
  <si>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</si>
  <si>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</si>
  <si>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</si>
  <si>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</si>
  <si>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</si>
  <si>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</si>
  <si>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</si>
  <si>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</si>
  <si>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</si>
  <si>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</si>
  <si>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</si>
  <si>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</si>
  <si>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</si>
  <si>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</si>
  <si>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</si>
  <si>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</si>
  <si>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</si>
  <si>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</si>
  <si>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</si>
  <si>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</si>
  <si>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</si>
  <si>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</si>
  <si>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</si>
  <si>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</si>
  <si>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</si>
  <si>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</si>
  <si>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</si>
  <si>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</si>
  <si>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</si>
  <si>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</si>
  <si>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</si>
  <si>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</si>
  <si>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</si>
  <si>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</si>
  <si>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</si>
  <si>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</si>
  <si>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</si>
  <si>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</si>
  <si>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</si>
  <si>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</si>
  <si>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</si>
  <si>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</si>
  <si>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</si>
  <si>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</si>
  <si>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</si>
  <si>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</si>
  <si>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</si>
  <si>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</si>
  <si>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</si>
  <si>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</si>
  <si>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</si>
  <si>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</si>
  <si>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</si>
  <si>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</si>
  <si>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</si>
  <si>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</si>
  <si>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</si>
  <si>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</si>
  <si>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</si>
  <si>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</si>
  <si>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</si>
  <si>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</si>
  <si>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</si>
  <si>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</si>
  <si>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</si>
  <si>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</si>
  <si>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</si>
  <si>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</si>
  <si>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</si>
  <si>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</si>
  <si>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</si>
  <si>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</si>
  <si>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</si>
  <si>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</si>
  <si>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</si>
  <si>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</si>
  <si>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</si>
  <si>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</si>
  <si>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</si>
  <si>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</si>
  <si>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</si>
  <si>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</si>
  <si>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</si>
  <si>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</si>
  <si>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</si>
  <si>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</si>
  <si>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</si>
  <si>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</si>
  <si>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</si>
  <si>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</si>
  <si>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</si>
  <si>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</si>
  <si>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</si>
  <si>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</si>
  <si>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</si>
  <si>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</si>
  <si>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</si>
  <si>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</si>
  <si>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</si>
  <si>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</si>
  <si>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</si>
  <si>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</si>
  <si>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</si>
  <si>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</si>
  <si>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</si>
  <si>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</si>
  <si>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</si>
  <si>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</si>
  <si>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</si>
  <si>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</si>
  <si>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</si>
  <si>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</si>
  <si>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</si>
  <si>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</si>
  <si>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</si>
  <si>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</si>
  <si>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</si>
  <si>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</si>
  <si>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</si>
  <si>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</si>
  <si>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</si>
  <si>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</si>
  <si>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</si>
  <si>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</si>
  <si>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</si>
  <si>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</si>
  <si>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</si>
  <si>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</si>
  <si>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</si>
  <si>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</si>
  <si>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</si>
  <si>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</si>
  <si>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</si>
  <si>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</si>
  <si>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</si>
  <si>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</si>
  <si>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</si>
  <si>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</si>
  <si>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</si>
  <si>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</si>
  <si>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</si>
  <si>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</si>
  <si>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</si>
  <si>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</si>
  <si>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</si>
  <si>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</si>
  <si>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</si>
  <si>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</si>
  <si>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</si>
  <si>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</si>
  <si>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</si>
  <si>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</si>
  <si>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</si>
  <si>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</si>
  <si>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</si>
  <si>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</si>
  <si>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</si>
  <si>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</si>
  <si>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</si>
  <si>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</si>
  <si>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</si>
  <si>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</si>
  <si>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</si>
  <si>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</si>
  <si>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</si>
  <si>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</si>
  <si>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</si>
  <si>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</si>
  <si>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</si>
  <si>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</si>
  <si>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</si>
  <si>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</si>
  <si>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</si>
  <si>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</si>
  <si>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</si>
  <si>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</si>
  <si>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</si>
  <si>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</si>
  <si>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</si>
  <si>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</si>
  <si>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</si>
  <si>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</si>
  <si>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</si>
  <si>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</si>
  <si>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</si>
  <si>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</si>
  <si>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</si>
  <si>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</si>
  <si>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</si>
  <si>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</si>
  <si>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</si>
  <si>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</si>
  <si>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</si>
  <si>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</si>
  <si>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</si>
  <si>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</si>
  <si>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</si>
  <si>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</si>
  <si>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</si>
  <si>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</si>
  <si>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</si>
  <si>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</si>
  <si>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</si>
  <si>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</si>
  <si>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</si>
  <si>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</si>
  <si>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</si>
  <si>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</si>
  <si>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</si>
  <si>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</si>
  <si>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</si>
  <si>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</si>
  <si>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</si>
  <si>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</si>
  <si>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</si>
  <si>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</si>
  <si>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</si>
  <si>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</si>
  <si>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</si>
  <si>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</si>
  <si>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</si>
  <si>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</si>
  <si>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</si>
  <si>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</si>
  <si>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</si>
  <si>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</si>
  <si>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</si>
  <si>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</si>
  <si>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</si>
  <si>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</si>
  <si>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</si>
  <si>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</si>
  <si>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</si>
  <si>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</si>
  <si>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</si>
  <si>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</si>
  <si>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</si>
  <si>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</si>
  <si>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</si>
  <si>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</si>
  <si>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</si>
  <si>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</si>
  <si>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</si>
  <si>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</si>
  <si>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</si>
  <si>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</si>
  <si>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</si>
  <si>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</si>
  <si>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</si>
  <si>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</si>
  <si>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</si>
  <si>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</si>
  <si>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</si>
  <si>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</si>
  <si>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</si>
  <si>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</si>
  <si>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</si>
  <si>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</si>
  <si>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</si>
  <si>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</si>
  <si>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</si>
  <si>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</si>
  <si>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</si>
  <si>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</si>
  <si>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</si>
  <si>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</si>
  <si>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</si>
  <si>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</si>
  <si>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</si>
  <si>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</si>
  <si>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</si>
  <si>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</si>
  <si>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</si>
  <si>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</si>
  <si>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</si>
  <si>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</si>
  <si>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</si>
  <si>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</si>
  <si>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</si>
  <si>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</si>
  <si>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</si>
  <si>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</si>
  <si>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</si>
  <si>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</si>
  <si>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</si>
  <si>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</si>
  <si>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</si>
  <si>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</si>
  <si>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</si>
  <si>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</si>
  <si>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</si>
  <si>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</si>
  <si>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</si>
  <si>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</si>
  <si>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</si>
  <si>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</si>
  <si>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</si>
  <si>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</si>
  <si>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</si>
  <si>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</si>
  <si>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</si>
  <si>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</si>
  <si>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</si>
  <si>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</si>
  <si>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</si>
  <si>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</si>
  <si>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</si>
  <si>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</si>
  <si>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</si>
  <si>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</si>
  <si>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</si>
  <si>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</si>
  <si>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</si>
  <si>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</si>
  <si>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</si>
  <si>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</si>
  <si>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</si>
  <si>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</si>
  <si>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</si>
  <si>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</si>
  <si>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</si>
  <si>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</si>
  <si>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</si>
  <si>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</si>
  <si>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</si>
  <si>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</si>
  <si>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</si>
  <si>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</si>
  <si>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</si>
  <si>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</si>
  <si>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</si>
  <si>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</si>
  <si>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</si>
  <si>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</si>
  <si>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</si>
  <si>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</si>
  <si>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</si>
  <si>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</si>
  <si>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</si>
  <si>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</si>
  <si>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</si>
  <si>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</si>
  <si>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</si>
  <si>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</si>
  <si>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</si>
  <si>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</si>
  <si>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</si>
  <si>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</si>
  <si>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</si>
  <si>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</si>
  <si>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</si>
  <si>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</si>
  <si>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</si>
  <si>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</si>
  <si>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</si>
  <si>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</si>
  <si>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</si>
  <si>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</si>
  <si>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</si>
  <si>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</si>
  <si>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</si>
  <si>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</si>
  <si>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</si>
  <si>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</si>
  <si>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</si>
  <si>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</si>
  <si>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</si>
  <si>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</si>
  <si>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</si>
  <si>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</si>
  <si>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</si>
  <si>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</si>
  <si>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</si>
  <si>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</si>
  <si>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</si>
  <si>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</si>
  <si>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</si>
  <si>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</si>
  <si>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</si>
  <si>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</si>
  <si>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</si>
  <si>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</si>
  <si>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</si>
  <si>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</si>
  <si>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</si>
  <si>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</si>
  <si>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</si>
  <si>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</si>
  <si>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</si>
  <si>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</si>
  <si>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</si>
  <si>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</si>
  <si>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</si>
  <si>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</si>
  <si>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</si>
  <si>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</si>
  <si>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</si>
  <si>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</si>
  <si>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</si>
  <si>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</si>
  <si>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</si>
  <si>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</si>
  <si>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</si>
  <si>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</si>
  <si>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</si>
  <si>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</si>
  <si>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</si>
  <si>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</si>
  <si>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</si>
  <si>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</si>
  <si>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</si>
  <si>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</si>
  <si>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</si>
  <si>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</si>
  <si>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</si>
  <si>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</si>
  <si>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</si>
  <si>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</si>
  <si>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</si>
  <si>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</si>
  <si>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</si>
  <si>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</si>
  <si>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</si>
  <si>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</si>
  <si>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</si>
  <si>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</si>
  <si>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</si>
  <si>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</si>
  <si>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</si>
  <si>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</si>
  <si>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</si>
  <si>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</si>
  <si>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</si>
  <si>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</si>
  <si>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</si>
  <si>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</si>
  <si>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</si>
  <si>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</si>
  <si>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</si>
  <si>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</si>
  <si>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</si>
  <si>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</si>
  <si>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</si>
  <si>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</si>
  <si>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</si>
  <si>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</si>
  <si>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</si>
  <si>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</si>
  <si>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</si>
  <si>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</si>
  <si>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</si>
  <si>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</si>
  <si>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</si>
  <si>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</si>
  <si>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</si>
  <si>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</si>
  <si>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</si>
  <si>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</si>
  <si>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</si>
  <si>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</si>
  <si>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</si>
  <si>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</si>
  <si>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</si>
  <si>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</si>
  <si>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</si>
  <si>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</si>
  <si>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</si>
  <si>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</si>
  <si>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</si>
  <si>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</si>
  <si>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</si>
  <si>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</si>
  <si>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</si>
  <si>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</si>
  <si>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</si>
  <si>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</si>
  <si>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</si>
  <si>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</si>
  <si>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</si>
  <si>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</si>
  <si>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</si>
  <si>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</si>
  <si>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</si>
  <si>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</si>
  <si>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</si>
  <si>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</si>
  <si>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</si>
  <si>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</si>
  <si>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</si>
  <si>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</si>
  <si>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</si>
  <si>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</si>
  <si>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</si>
  <si>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</si>
  <si>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</si>
  <si>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</si>
  <si>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</si>
  <si>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</si>
  <si>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</si>
  <si>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</si>
  <si>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</si>
  <si>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</si>
  <si>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</si>
  <si>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</si>
  <si>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</si>
  <si>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</si>
  <si>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</si>
  <si>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</si>
  <si>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</si>
  <si>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</si>
  <si>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</si>
  <si>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</si>
  <si>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</si>
  <si>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</si>
  <si>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</si>
  <si>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</si>
  <si>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</si>
  <si>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</si>
  <si>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</si>
  <si>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</si>
  <si>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</si>
  <si>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</si>
  <si>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</si>
  <si>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</si>
  <si>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</si>
  <si>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</si>
  <si>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</si>
  <si>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</si>
  <si>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</si>
  <si>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</si>
  <si>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</si>
  <si>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</si>
  <si>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</si>
  <si>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</si>
  <si>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</si>
  <si>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</si>
  <si>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</si>
  <si>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</si>
  <si>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</si>
  <si>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</si>
  <si>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</si>
  <si>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</si>
  <si>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</si>
  <si>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</si>
  <si>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</si>
  <si>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</si>
  <si>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</si>
  <si>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</si>
  <si>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</si>
  <si>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</si>
  <si>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</si>
  <si>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</si>
  <si>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</si>
  <si>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</si>
  <si>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</si>
  <si>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</si>
  <si>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</si>
  <si>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</si>
  <si>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</si>
  <si>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</si>
  <si>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</si>
  <si>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</si>
  <si>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</si>
  <si>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</si>
  <si>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</si>
  <si>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</si>
  <si>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</si>
  <si>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</si>
  <si>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</si>
  <si>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</si>
  <si>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</si>
  <si>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</si>
  <si>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</si>
  <si>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</si>
  <si>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</si>
  <si>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</si>
  <si>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</si>
  <si>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</si>
  <si>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</si>
  <si>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</si>
  <si>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</si>
  <si>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</si>
  <si>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</si>
  <si>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</si>
  <si>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</si>
  <si>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</si>
  <si>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</si>
  <si>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</si>
  <si>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</si>
  <si>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</si>
  <si>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</si>
  <si>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</si>
  <si>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</si>
  <si>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</si>
  <si>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</si>
  <si>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</si>
  <si>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</si>
  <si>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</si>
  <si>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</si>
  <si>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</si>
  <si>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</si>
  <si>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</si>
  <si>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</si>
  <si>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</si>
  <si>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</si>
  <si>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</si>
  <si>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</si>
  <si>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</si>
  <si>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</si>
  <si>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</si>
  <si>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</si>
  <si>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</si>
  <si>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</si>
  <si>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</si>
  <si>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</si>
  <si>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</si>
  <si>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</si>
  <si>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</si>
  <si>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</si>
  <si>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</si>
  <si>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</si>
  <si>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</si>
  <si>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</si>
  <si>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</si>
  <si>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</si>
  <si>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</si>
  <si>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</si>
  <si>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</si>
  <si>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</si>
  <si>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</si>
  <si>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</si>
  <si>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</si>
  <si>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</si>
  <si>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</si>
  <si>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</si>
  <si>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</si>
  <si>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</si>
  <si>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</si>
  <si>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</si>
  <si>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</si>
  <si>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</si>
  <si>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</si>
  <si>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</si>
  <si>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</si>
  <si>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</si>
  <si>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</si>
  <si>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</si>
  <si>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</si>
  <si>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</si>
  <si>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</si>
  <si>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</si>
  <si>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</si>
  <si>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</si>
  <si>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</si>
  <si>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</si>
  <si>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</si>
  <si>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</si>
  <si>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</si>
  <si>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</si>
  <si>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</si>
  <si>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</si>
  <si>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</si>
  <si>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</si>
  <si>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</si>
  <si>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</si>
  <si>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</si>
  <si>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</si>
  <si>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</si>
  <si>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</si>
  <si>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</si>
  <si>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</si>
  <si>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</si>
  <si>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</si>
  <si>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</si>
  <si>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</si>
  <si>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</si>
  <si>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</si>
  <si>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</si>
  <si>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</si>
  <si>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</si>
  <si>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</si>
  <si>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</si>
  <si>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</si>
  <si>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</si>
  <si>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</si>
  <si>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</si>
  <si>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</si>
  <si>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</si>
  <si>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</si>
  <si>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</si>
  <si>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</si>
  <si>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</si>
  <si>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</si>
  <si>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</si>
  <si>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</si>
  <si>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</si>
  <si>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</si>
  <si>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</si>
  <si>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</si>
  <si>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</si>
  <si>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</si>
  <si>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</si>
  <si>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</si>
  <si>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</si>
  <si>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</si>
  <si>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</si>
  <si>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</si>
  <si>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</si>
  <si>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</si>
  <si>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</si>
  <si>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</si>
  <si>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</si>
  <si>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</si>
  <si>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</si>
  <si>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</si>
  <si>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</si>
  <si>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</si>
  <si>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</si>
  <si>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</si>
  <si>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</si>
  <si>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</si>
  <si>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</si>
  <si>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</si>
  <si>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</si>
  <si>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</si>
  <si>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</si>
  <si>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</si>
  <si>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</si>
  <si>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</si>
  <si>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</si>
  <si>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</si>
  <si>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</si>
  <si>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</si>
  <si>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</si>
  <si>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</si>
  <si>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</si>
  <si>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</si>
  <si>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</si>
  <si>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</si>
  <si>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</si>
  <si>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</si>
  <si>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</si>
  <si>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</si>
  <si>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</si>
  <si>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</si>
  <si>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</si>
  <si>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</si>
  <si>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</si>
  <si>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</si>
  <si>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</si>
  <si>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</si>
  <si>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</si>
  <si>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</si>
  <si>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</si>
  <si>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</si>
  <si>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</si>
  <si>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</si>
  <si>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</si>
  <si>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</si>
  <si>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</si>
  <si>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</si>
  <si>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</si>
  <si>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</si>
  <si>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</si>
  <si>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</si>
  <si>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</si>
  <si>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</si>
  <si>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</si>
  <si>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</si>
  <si>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</si>
  <si>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</si>
  <si>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</si>
  <si>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</si>
  <si>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</si>
  <si>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</si>
  <si>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</si>
  <si>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</si>
  <si>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</si>
  <si>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</si>
  <si>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</si>
  <si>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</si>
  <si>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</si>
  <si>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</si>
  <si>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</si>
  <si>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</si>
  <si>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</si>
  <si>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</si>
  <si>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</si>
  <si>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</si>
  <si>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</si>
  <si>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</si>
  <si>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</si>
  <si>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</si>
  <si>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</si>
  <si>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</si>
  <si>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</si>
  <si>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</si>
  <si>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</si>
  <si>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</si>
  <si>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</si>
  <si>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</si>
  <si>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</si>
  <si>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</si>
  <si>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</si>
  <si>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</si>
  <si>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</si>
  <si>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</si>
  <si>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</si>
  <si>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</si>
  <si>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</si>
  <si>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</si>
  <si>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</si>
  <si>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</si>
  <si>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</si>
  <si>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</si>
  <si>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</si>
  <si>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</si>
  <si>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</si>
  <si>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</si>
  <si>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</si>
  <si>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</si>
  <si>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</si>
  <si>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</si>
  <si>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</si>
  <si>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</si>
  <si>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</si>
  <si>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</si>
  <si>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</si>
  <si>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</si>
  <si>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</si>
  <si>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</si>
  <si>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</si>
  <si>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</si>
  <si>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</si>
  <si>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</si>
  <si>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</si>
  <si>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</si>
  <si>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</si>
  <si>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</si>
  <si>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</si>
  <si>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</si>
  <si>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</si>
  <si>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</si>
  <si>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</si>
  <si>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</si>
  <si>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</si>
  <si>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</si>
  <si>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</si>
  <si>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</si>
  <si>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</si>
  <si>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</si>
  <si>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</si>
  <si>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</si>
  <si>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</si>
  <si>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</si>
  <si>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</si>
  <si>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</si>
  <si>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</si>
  <si>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</si>
  <si>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</si>
  <si>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</si>
  <si>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</si>
  <si>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</si>
  <si>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</si>
  <si>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</si>
  <si>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</si>
  <si>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</si>
  <si>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</si>
  <si>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</si>
  <si>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</si>
  <si>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</si>
  <si>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</si>
  <si>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</si>
  <si>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</si>
  <si>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</si>
  <si>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</si>
  <si>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</si>
  <si>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</si>
  <si>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</si>
  <si>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</si>
  <si>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</si>
  <si>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</si>
  <si>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</si>
  <si>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</si>
  <si>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</si>
  <si>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</si>
  <si>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</si>
  <si>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</si>
  <si>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</si>
  <si>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</si>
  <si>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</si>
  <si>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</si>
  <si>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</si>
  <si>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</si>
  <si>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</si>
  <si>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</si>
  <si>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</si>
  <si>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</si>
  <si>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</si>
  <si>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</si>
  <si>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</si>
  <si>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</si>
  <si>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</si>
  <si>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</si>
  <si>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</si>
  <si>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</si>
  <si>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</si>
  <si>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</si>
  <si>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</si>
  <si>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</si>
  <si>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</si>
  <si>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</si>
  <si>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</si>
  <si>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</si>
  <si>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</si>
  <si>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</si>
  <si>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</si>
  <si>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</si>
  <si>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</si>
  <si>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</si>
  <si>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</si>
  <si>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</si>
  <si>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</si>
  <si>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</si>
  <si>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</si>
  <si>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</si>
  <si>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</si>
  <si>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</si>
  <si>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</si>
  <si>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</si>
  <si>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</si>
  <si>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</si>
  <si>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</si>
  <si>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</si>
  <si>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</si>
  <si>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</si>
  <si>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</si>
  <si>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</si>
  <si>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</si>
  <si>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</si>
  <si>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</si>
  <si>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</si>
  <si>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</si>
  <si>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</si>
  <si>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</si>
  <si>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</si>
  <si>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</si>
  <si>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</si>
  <si>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</si>
  <si>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</si>
  <si>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</si>
  <si>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</si>
  <si>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</si>
  <si>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</si>
  <si>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</si>
  <si>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</si>
  <si>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</si>
  <si>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</si>
  <si>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</si>
  <si>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</si>
  <si>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</si>
  <si>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</si>
  <si>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</si>
  <si>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</si>
  <si>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</si>
  <si>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</si>
  <si>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</si>
  <si>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</si>
  <si>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</si>
  <si>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</si>
  <si>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</si>
  <si>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</si>
  <si>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</si>
  <si>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</si>
  <si>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</si>
  <si>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</si>
  <si>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</si>
  <si>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</si>
  <si>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</si>
  <si>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</si>
  <si>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</si>
  <si>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</si>
  <si>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</si>
  <si>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</si>
  <si>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</si>
  <si>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</si>
  <si>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</si>
  <si>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</si>
  <si>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</si>
  <si>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</si>
  <si>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</si>
  <si>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</si>
  <si>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</si>
  <si>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</si>
  <si>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</si>
  <si>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</si>
  <si>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</si>
  <si>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</si>
  <si>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</si>
  <si>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</si>
  <si>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</si>
  <si>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</si>
  <si>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</si>
  <si>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</si>
  <si>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</si>
  <si>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</si>
  <si>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</si>
  <si>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</si>
  <si>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</si>
  <si>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</si>
  <si>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</si>
  <si>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</si>
  <si>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</si>
  <si>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</si>
  <si>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</si>
  <si>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</si>
  <si>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</si>
  <si>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</si>
  <si>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</si>
  <si>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</si>
  <si>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</si>
  <si>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</si>
  <si>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</si>
  <si>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</si>
  <si>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</si>
  <si>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</si>
  <si>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</si>
  <si>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</si>
  <si>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</si>
  <si>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</si>
  <si>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</si>
  <si>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</si>
  <si>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</si>
  <si>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</si>
  <si>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</si>
  <si>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</si>
  <si>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</si>
  <si>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</si>
  <si>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</si>
  <si>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</si>
  <si>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</si>
  <si>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</si>
  <si>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</si>
  <si>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</si>
  <si>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</si>
  <si>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</si>
  <si>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</si>
  <si>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</si>
  <si>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</si>
  <si>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</si>
  <si>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</si>
  <si>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</si>
  <si>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</si>
  <si>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</si>
  <si>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</si>
  <si>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</si>
  <si>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</si>
  <si>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</si>
  <si>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</si>
  <si>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</si>
  <si>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</si>
  <si>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</si>
  <si>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</si>
  <si>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</si>
  <si>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</si>
  <si>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</si>
  <si>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</si>
  <si>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</si>
  <si>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</si>
  <si>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</si>
  <si>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</si>
  <si>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</si>
  <si>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</si>
  <si>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</si>
  <si>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</si>
  <si>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</si>
  <si>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</si>
  <si>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</si>
  <si>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</si>
  <si>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</si>
  <si>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</si>
  <si>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</si>
  <si>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</si>
  <si>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</si>
  <si>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</si>
  <si>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</si>
  <si>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</si>
  <si>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</si>
  <si>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</si>
  <si>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</si>
  <si>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</si>
  <si>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</si>
  <si>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</si>
  <si>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</si>
  <si>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</si>
  <si>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</si>
  <si>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</si>
  <si>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</si>
  <si>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</si>
  <si>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</si>
  <si>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</si>
  <si>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</si>
  <si>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</si>
  <si>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</si>
  <si>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</si>
  <si>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</si>
  <si>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</si>
  <si>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</si>
  <si>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</si>
  <si>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</si>
  <si>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</si>
  <si>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</si>
  <si>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</si>
  <si>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</si>
  <si>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</si>
  <si>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</si>
  <si>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</si>
  <si>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</si>
  <si>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</si>
  <si>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</si>
  <si>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</si>
  <si>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</si>
  <si>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</si>
  <si>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</si>
  <si>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</si>
  <si>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</si>
  <si>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</si>
  <si>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</si>
  <si>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</si>
  <si>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</si>
  <si>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</si>
  <si>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</si>
  <si>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</si>
  <si>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</si>
  <si>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</si>
  <si>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</si>
  <si>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</si>
  <si>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</si>
  <si>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</si>
  <si>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</si>
  <si>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</si>
  <si>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</si>
  <si>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</si>
  <si>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</si>
  <si>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</si>
  <si>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</si>
  <si>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</si>
  <si>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</si>
  <si>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</si>
  <si>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</si>
  <si>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</si>
  <si>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</si>
  <si>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</si>
  <si>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</si>
  <si>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</si>
  <si>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</si>
  <si>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</si>
  <si>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</si>
  <si>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</si>
  <si>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</si>
  <si>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</si>
  <si>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</si>
  <si>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</si>
  <si>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</si>
  <si>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</si>
  <si>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</si>
  <si>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</si>
  <si>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</si>
  <si>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</si>
  <si>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</si>
  <si>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</si>
  <si>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</si>
  <si>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</si>
  <si>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</si>
  <si>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</si>
  <si>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</si>
  <si>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</si>
  <si>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</si>
  <si>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</si>
  <si>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</si>
  <si>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</si>
  <si>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</si>
  <si>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</si>
  <si>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</si>
  <si>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</si>
  <si>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</si>
  <si>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</si>
  <si>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</si>
  <si>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</si>
  <si>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</si>
  <si>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</si>
  <si>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</si>
  <si>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</si>
  <si>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</si>
  <si>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</si>
  <si>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</si>
  <si>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</si>
  <si>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</si>
  <si>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</si>
  <si>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</si>
  <si>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</si>
  <si>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</si>
  <si>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</si>
  <si>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</si>
  <si>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</si>
  <si>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</si>
  <si>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</si>
  <si>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</si>
  <si>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</si>
  <si>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</si>
  <si>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</si>
  <si>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</si>
  <si>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</si>
  <si>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</si>
  <si>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</si>
  <si>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</si>
  <si>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</si>
  <si>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</si>
  <si>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</si>
  <si>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</si>
  <si>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</si>
  <si>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</si>
  <si>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</si>
  <si>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</si>
  <si>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</si>
  <si>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</si>
  <si>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</si>
  <si>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</si>
  <si>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</si>
  <si>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</si>
  <si>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</si>
  <si>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</si>
  <si>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</si>
  <si>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</si>
  <si>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</si>
  <si>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</si>
  <si>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</si>
  <si>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</si>
  <si>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</si>
  <si>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</si>
  <si>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</si>
  <si>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</si>
  <si>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</si>
  <si>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</si>
  <si>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</si>
  <si>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</si>
  <si>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</si>
  <si>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</si>
  <si>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</si>
  <si>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</si>
  <si>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</si>
  <si>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</si>
  <si>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</si>
  <si>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</si>
  <si>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</si>
  <si>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</si>
  <si>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</si>
  <si>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</si>
  <si>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</si>
  <si>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</si>
  <si>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</si>
  <si>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</si>
  <si>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</si>
  <si>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</si>
  <si>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</si>
  <si>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</si>
  <si>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</si>
  <si>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</si>
  <si>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</si>
  <si>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</si>
  <si>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</si>
  <si>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</si>
  <si>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</si>
  <si>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</si>
  <si>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</si>
  <si>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</si>
  <si>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</si>
  <si>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</si>
  <si>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</si>
  <si>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</si>
  <si>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</si>
  <si>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</si>
  <si>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</si>
  <si>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</si>
  <si>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</si>
  <si>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</si>
  <si>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</si>
  <si>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</si>
  <si>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</si>
  <si>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</si>
  <si>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</si>
  <si>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</si>
  <si>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</si>
  <si>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</si>
  <si>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</si>
  <si>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</si>
  <si>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</si>
  <si>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</si>
  <si>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</si>
  <si>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</si>
  <si>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</si>
  <si>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</si>
  <si>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</si>
  <si>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</si>
  <si>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</si>
  <si>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</si>
  <si>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</si>
  <si>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</si>
  <si>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</si>
  <si>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</si>
  <si>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</si>
  <si>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</si>
  <si>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</si>
  <si>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</si>
  <si>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</si>
  <si>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</si>
  <si>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</si>
  <si>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</si>
  <si>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</si>
  <si>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</si>
  <si>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</si>
  <si>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</si>
  <si>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</si>
  <si>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</si>
  <si>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</si>
  <si>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</si>
  <si>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</si>
  <si>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</si>
  <si>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</si>
  <si>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</si>
  <si>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</si>
  <si>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</si>
  <si>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</si>
  <si>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</si>
  <si>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</si>
  <si>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</si>
  <si>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</si>
  <si>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</si>
  <si>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</si>
  <si>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</si>
  <si>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</si>
  <si>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</si>
  <si>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</si>
  <si>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</si>
  <si>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</si>
  <si>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</si>
  <si>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</si>
  <si>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</si>
  <si>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</si>
  <si>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</si>
  <si>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</si>
  <si>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</si>
  <si>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</si>
  <si>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</si>
  <si>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</si>
  <si>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</si>
  <si>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</si>
  <si>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</si>
  <si>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</si>
  <si>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</si>
  <si>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</si>
  <si>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</si>
  <si>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</si>
  <si>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</si>
  <si>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</si>
  <si>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</si>
  <si>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</si>
  <si>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</si>
  <si>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</si>
  <si>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</si>
  <si>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</si>
  <si>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</si>
  <si>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</si>
  <si>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</si>
  <si>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</si>
  <si>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</si>
  <si>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</si>
  <si>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</si>
  <si>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</si>
  <si>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</si>
  <si>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</si>
  <si>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</si>
  <si>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</si>
  <si>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</si>
  <si>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</si>
  <si>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</si>
  <si>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</si>
  <si>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</si>
  <si>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</si>
  <si>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</si>
  <si>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</si>
  <si>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</si>
  <si>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</si>
  <si>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</si>
  <si>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</si>
  <si>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</si>
  <si>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</si>
  <si>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</si>
  <si>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</si>
  <si>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</si>
  <si>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</si>
  <si>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</si>
  <si>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</si>
  <si>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</si>
  <si>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</si>
  <si>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</si>
  <si>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</si>
  <si>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</si>
  <si>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</si>
  <si>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</si>
  <si>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</si>
  <si>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</si>
  <si>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</si>
  <si>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</si>
  <si>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</si>
  <si>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</si>
  <si>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</si>
  <si>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</si>
  <si>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</si>
  <si>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</si>
  <si>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</si>
  <si>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</si>
  <si>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</si>
  <si>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</si>
  <si>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</si>
  <si>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</si>
  <si>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</si>
  <si>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</si>
  <si>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</si>
  <si>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</si>
  <si>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</si>
  <si>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</si>
  <si>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</si>
  <si>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</si>
  <si>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</si>
  <si>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</si>
  <si>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</si>
  <si>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</si>
  <si>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</si>
  <si>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</si>
  <si>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</si>
  <si>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</si>
  <si>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</si>
  <si>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</si>
  <si>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</si>
  <si>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</si>
  <si>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</si>
  <si>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</si>
  <si>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</si>
  <si>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</si>
  <si>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</si>
  <si>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</si>
  <si>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</si>
  <si>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</si>
  <si>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</si>
  <si>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</si>
  <si>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</si>
  <si>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</si>
  <si>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</si>
  <si>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</si>
  <si>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</si>
  <si>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</si>
  <si>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</si>
  <si>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</si>
  <si>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</si>
  <si>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</si>
  <si>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</si>
  <si>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</si>
  <si>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</si>
  <si>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</si>
  <si>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</si>
  <si>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</si>
  <si>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</si>
  <si>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</si>
  <si>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</si>
  <si>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</si>
  <si>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</si>
  <si>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</si>
  <si>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</si>
  <si>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</si>
  <si>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</si>
  <si>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</si>
  <si>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</si>
  <si>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</si>
  <si>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</si>
  <si>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</si>
  <si>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</si>
  <si>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</si>
  <si>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</si>
  <si>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</si>
  <si>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</si>
  <si>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</si>
  <si>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</si>
  <si>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</si>
  <si>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</si>
  <si>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</si>
  <si>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</si>
  <si>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</si>
  <si>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</si>
  <si>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</si>
  <si>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</si>
  <si>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</si>
  <si>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</si>
  <si>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</si>
  <si>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</si>
  <si>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</si>
  <si>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</si>
  <si>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</si>
  <si>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</si>
  <si>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</si>
  <si>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</si>
  <si>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</si>
  <si>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</si>
  <si>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</si>
  <si>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</si>
  <si>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</si>
  <si>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</si>
  <si>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</si>
  <si>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</si>
  <si>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</si>
  <si>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</si>
  <si>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</si>
  <si>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</si>
  <si>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</si>
  <si>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</si>
  <si>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</si>
  <si>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</si>
  <si>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</si>
  <si>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</si>
  <si>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</si>
  <si>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</si>
  <si>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</si>
  <si>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</si>
  <si>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</si>
  <si>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</si>
  <si>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</si>
  <si>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</si>
  <si>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</si>
  <si>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</si>
  <si>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</si>
  <si>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</si>
  <si>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</si>
  <si>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</si>
  <si>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</si>
  <si>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</si>
  <si>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</si>
  <si>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</si>
  <si>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</si>
  <si>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</si>
  <si>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</si>
  <si>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</si>
  <si>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</si>
  <si>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</si>
  <si>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</si>
  <si>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</si>
  <si>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</si>
  <si>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</si>
  <si>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</si>
  <si>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</si>
  <si>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</si>
  <si>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</si>
  <si>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</si>
  <si>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</si>
  <si>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</si>
  <si>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</si>
  <si>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</si>
  <si>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</si>
  <si>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</si>
  <si>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</si>
  <si>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</si>
  <si>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</si>
  <si>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</si>
  <si>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</si>
  <si>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</si>
  <si>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</si>
  <si>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</si>
  <si>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</si>
  <si>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</si>
  <si>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</si>
  <si>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</si>
  <si>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</si>
  <si>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</si>
  <si>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</si>
  <si>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</si>
  <si>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</si>
  <si>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</si>
  <si>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</si>
  <si>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</si>
  <si>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</si>
  <si>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</si>
  <si>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</si>
  <si>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</si>
  <si>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</si>
  <si>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</si>
  <si>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</si>
  <si>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</si>
  <si>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</si>
  <si>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</si>
  <si>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</si>
  <si>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</si>
  <si>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</si>
  <si>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</si>
  <si>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</si>
  <si>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</si>
  <si>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</si>
  <si>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</si>
  <si>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</si>
  <si>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</si>
  <si>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</si>
  <si>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</si>
  <si>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</si>
  <si>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</si>
  <si>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</si>
  <si>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</si>
  <si>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</si>
  <si>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</si>
  <si>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</si>
  <si>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</si>
  <si>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</si>
  <si>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</si>
  <si>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</si>
  <si>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</si>
  <si>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</si>
  <si>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</si>
  <si>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</si>
  <si>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</si>
  <si>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</si>
  <si>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</si>
  <si>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</si>
  <si>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</si>
  <si>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</si>
  <si>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</si>
  <si>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</si>
  <si>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</si>
  <si>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</si>
  <si>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</si>
  <si>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</si>
  <si>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</si>
  <si>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</si>
  <si>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</si>
  <si>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</si>
  <si>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</si>
  <si>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</si>
  <si>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</si>
  <si>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</si>
  <si>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</si>
  <si>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</si>
  <si>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</si>
  <si>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</si>
  <si>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</si>
  <si>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</si>
  <si>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</si>
  <si>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</si>
  <si>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</si>
  <si>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</si>
  <si>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</si>
  <si>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</si>
  <si>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</si>
  <si>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</si>
  <si>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</si>
  <si>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</si>
  <si>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</si>
  <si>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</si>
  <si>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</si>
  <si>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</si>
  <si>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</si>
  <si>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</si>
  <si>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</si>
  <si>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</si>
  <si>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</si>
  <si>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</si>
  <si>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</si>
  <si>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</si>
  <si>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</si>
  <si>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</si>
  <si>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</si>
  <si>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</si>
  <si>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</si>
  <si>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</si>
  <si>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</si>
  <si>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</si>
  <si>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</si>
  <si>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</si>
  <si>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</si>
  <si>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</si>
  <si>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</si>
  <si>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</si>
  <si>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</si>
  <si>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</si>
  <si>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</si>
  <si>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</si>
  <si>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</si>
  <si>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</si>
  <si>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</si>
  <si>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</si>
  <si>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</si>
  <si>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</si>
  <si>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</si>
  <si>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</si>
  <si>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</si>
  <si>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</si>
  <si>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</si>
  <si>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</si>
  <si>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</si>
  <si>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</si>
  <si>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</si>
  <si>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</si>
  <si>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</si>
  <si>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</si>
  <si>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</si>
  <si>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</si>
  <si>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</si>
  <si>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</si>
  <si>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</si>
  <si>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</si>
  <si>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</si>
  <si>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</si>
  <si>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</si>
  <si>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</si>
  <si>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</si>
  <si>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</si>
  <si>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</si>
  <si>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</si>
  <si>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</si>
  <si>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</si>
  <si>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</si>
  <si>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</si>
  <si>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</si>
  <si>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</si>
  <si>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</si>
  <si>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</si>
  <si>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</si>
  <si>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</si>
  <si>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</si>
  <si>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</si>
  <si>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</si>
  <si>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</si>
  <si>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</si>
  <si>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</si>
  <si>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</si>
  <si>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</si>
  <si>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</si>
  <si>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</si>
  <si>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</si>
  <si>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</si>
  <si>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</si>
  <si>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</si>
  <si>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</si>
  <si>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</si>
  <si>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</si>
  <si>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</si>
  <si>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</si>
  <si>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</si>
  <si>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</si>
  <si>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</si>
  <si>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</si>
  <si>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</si>
  <si>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</si>
  <si>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</si>
  <si>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</si>
  <si>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</si>
  <si>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</si>
  <si>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</si>
  <si>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</si>
  <si>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</si>
  <si>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</si>
  <si>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</si>
  <si>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</si>
  <si>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</si>
  <si>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</si>
  <si>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</si>
  <si>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</si>
  <si>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</si>
  <si>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</si>
  <si>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</si>
  <si>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</si>
  <si>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</si>
  <si>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</si>
  <si>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</si>
  <si>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</si>
  <si>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</si>
  <si>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</si>
  <si>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</si>
  <si>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</si>
  <si>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</si>
  <si>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</si>
  <si>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</si>
  <si>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</si>
  <si>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</si>
  <si>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</si>
  <si>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</si>
  <si>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</si>
  <si>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</si>
  <si>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</si>
  <si>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</si>
  <si>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</si>
  <si>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</si>
  <si>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</si>
  <si>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</si>
  <si>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</si>
  <si>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</si>
  <si>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</si>
  <si>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</si>
  <si>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</si>
  <si>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</si>
  <si>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</si>
  <si>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</si>
  <si>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</si>
  <si>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</si>
  <si>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</si>
  <si>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</si>
  <si>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</si>
  <si>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</si>
  <si>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</si>
  <si>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</si>
  <si>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</si>
  <si>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</si>
  <si>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</si>
  <si>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</si>
  <si>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</si>
  <si>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</si>
  <si>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</si>
  <si>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</si>
  <si>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</si>
  <si>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</si>
  <si>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</si>
  <si>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</si>
  <si>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</si>
  <si>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</si>
  <si>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</si>
  <si>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</si>
  <si>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</si>
  <si>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</si>
  <si>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</si>
  <si>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</si>
  <si>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</si>
  <si>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</si>
  <si>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</si>
  <si>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</si>
  <si>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</si>
  <si>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</si>
  <si>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</si>
  <si>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</si>
  <si>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</si>
  <si>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</si>
  <si>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</si>
  <si>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</si>
  <si>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</si>
  <si>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</si>
  <si>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</si>
  <si>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</si>
  <si>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</si>
  <si>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</si>
  <si>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</si>
  <si>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</si>
  <si>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</si>
  <si>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</si>
  <si>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</si>
  <si>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</si>
  <si>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</si>
  <si>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</si>
  <si>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</si>
  <si>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</si>
  <si>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</si>
  <si>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</si>
  <si>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</si>
  <si>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</si>
  <si>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</si>
  <si>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</si>
  <si>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</si>
  <si>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</si>
  <si>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</si>
  <si>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</si>
  <si>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</si>
  <si>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</si>
  <si>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</si>
  <si>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</si>
  <si>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</si>
  <si>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</si>
  <si>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</si>
  <si>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</si>
  <si>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</si>
  <si>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</si>
  <si>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</si>
  <si>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</si>
  <si>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</si>
  <si>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</si>
  <si>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</si>
  <si>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</si>
  <si>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</si>
  <si>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</si>
  <si>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</si>
  <si>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</si>
  <si>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</si>
  <si>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</si>
  <si>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</si>
  <si>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</si>
  <si>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</si>
  <si>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</si>
  <si>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</si>
  <si>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</si>
  <si>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</si>
  <si>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</si>
  <si>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</si>
  <si>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</si>
  <si>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</si>
  <si>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</si>
  <si>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</si>
  <si>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</si>
  <si>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</si>
  <si>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</si>
  <si>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</si>
  <si>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</si>
  <si>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</si>
  <si>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</si>
  <si>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</si>
  <si>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</si>
  <si>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</si>
  <si>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</si>
  <si>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</si>
  <si>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</si>
  <si>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</si>
  <si>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</si>
  <si>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</si>
  <si>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</si>
  <si>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</si>
  <si>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</si>
  <si>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</si>
  <si>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</si>
  <si>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</si>
  <si>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</si>
  <si>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</si>
  <si>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</si>
  <si>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</si>
  <si>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</si>
  <si>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</si>
  <si>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</si>
  <si>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</si>
  <si>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</si>
  <si>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</si>
  <si>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</si>
  <si>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</si>
  <si>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</si>
  <si>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</si>
  <si>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</si>
  <si>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</si>
  <si>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</si>
  <si>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</si>
  <si>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</si>
  <si>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</si>
  <si>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</si>
  <si>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</si>
  <si>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</si>
  <si>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</si>
  <si>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</si>
  <si>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</si>
  <si>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</si>
  <si>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</si>
  <si>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</si>
  <si>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</si>
  <si>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</si>
  <si>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</si>
  <si>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</si>
  <si>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</si>
  <si>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</si>
  <si>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</si>
  <si>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</si>
  <si>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</si>
  <si>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</si>
  <si>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</si>
  <si>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</si>
  <si>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</si>
  <si>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</si>
  <si>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</si>
  <si>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</si>
  <si>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</si>
  <si>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</si>
  <si>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</si>
  <si>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</si>
  <si>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</si>
  <si>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</si>
  <si>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</si>
  <si>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</si>
  <si>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</si>
  <si>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</si>
  <si>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</si>
  <si>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</si>
  <si>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</si>
  <si>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</si>
  <si>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</si>
  <si>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</si>
  <si>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</si>
  <si>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</si>
  <si>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</si>
  <si>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</si>
  <si>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</si>
  <si>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</si>
  <si>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</si>
  <si>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</si>
  <si>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</si>
  <si>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</si>
  <si>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</si>
  <si>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</si>
  <si>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</si>
  <si>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</si>
  <si>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</si>
  <si>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</si>
  <si>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</si>
  <si>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</si>
  <si>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</si>
  <si>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</si>
  <si>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</si>
  <si>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</si>
  <si>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</si>
  <si>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</si>
  <si>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</si>
  <si>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</si>
  <si>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</si>
  <si>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</si>
  <si>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</si>
  <si>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</si>
  <si>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</si>
  <si>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</si>
  <si>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</si>
  <si>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</si>
  <si>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</si>
  <si>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</si>
  <si>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</si>
  <si>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</si>
  <si>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</si>
  <si>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</si>
  <si>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</si>
  <si>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</si>
  <si>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</si>
  <si>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</si>
  <si>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</si>
  <si>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</si>
  <si>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</si>
  <si>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</si>
  <si>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</si>
  <si>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</si>
  <si>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</si>
  <si>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</si>
  <si>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</si>
  <si>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</si>
  <si>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</si>
  <si>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</si>
  <si>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</si>
  <si>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</si>
  <si>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</si>
  <si>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</si>
  <si>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</si>
  <si>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</si>
  <si>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</si>
  <si>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</si>
  <si>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</si>
  <si>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</si>
  <si>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</si>
  <si>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</si>
  <si>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</si>
  <si>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</si>
  <si>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</si>
  <si>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</si>
  <si>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</si>
  <si>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</si>
  <si>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</si>
  <si>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</si>
  <si>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</si>
  <si>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</si>
  <si>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</si>
  <si>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</si>
  <si>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</si>
  <si>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</si>
  <si>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</si>
  <si>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</si>
  <si>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</si>
  <si>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</si>
  <si>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</si>
  <si>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</si>
  <si>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</si>
  <si>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</si>
  <si>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</si>
  <si>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</si>
  <si>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</si>
  <si>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</si>
  <si>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</si>
  <si>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</si>
  <si>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</si>
  <si>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</si>
  <si>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</si>
  <si>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</si>
  <si>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</si>
  <si>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</si>
  <si>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</si>
  <si>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</si>
  <si>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</si>
  <si>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</si>
  <si>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</si>
  <si>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</si>
  <si>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</si>
  <si>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</si>
  <si>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</si>
  <si>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</si>
  <si>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</si>
  <si>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</si>
  <si>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</si>
  <si>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</si>
  <si>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</si>
  <si>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</si>
  <si>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</si>
  <si>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</si>
  <si>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</si>
  <si>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</si>
  <si>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</si>
  <si>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</si>
  <si>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</si>
  <si>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</si>
  <si>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</si>
  <si>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</si>
  <si>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</si>
  <si>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</si>
  <si>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</si>
  <si>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</si>
  <si>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</si>
  <si>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</si>
  <si>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</si>
  <si>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</si>
  <si>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</si>
  <si>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</si>
  <si>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</si>
  <si>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</si>
  <si>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</si>
  <si>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</si>
  <si>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</si>
  <si>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</si>
  <si>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</si>
  <si>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</si>
  <si>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</si>
  <si>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</si>
  <si>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</si>
  <si>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</si>
  <si>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</si>
  <si>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</si>
  <si>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</si>
  <si>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</si>
  <si>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</si>
  <si>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</si>
  <si>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</si>
  <si>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</si>
  <si>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</si>
  <si>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</si>
  <si>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</si>
  <si>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</si>
  <si>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</si>
  <si>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</si>
  <si>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</si>
  <si>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</si>
  <si>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</si>
  <si>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</si>
  <si>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</si>
  <si>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</si>
  <si>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</si>
  <si>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</si>
  <si>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</si>
  <si>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</si>
  <si>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</si>
  <si>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</si>
  <si>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</si>
  <si>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</si>
  <si>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</si>
  <si>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</si>
  <si>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</si>
  <si>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</si>
  <si>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</si>
  <si>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</si>
  <si>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</si>
  <si>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</si>
  <si>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</si>
  <si>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</si>
  <si>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</si>
  <si>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</si>
  <si>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</si>
  <si>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</si>
  <si>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</si>
  <si>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</si>
  <si>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</si>
  <si>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</si>
  <si>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</si>
  <si>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</si>
  <si>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</si>
  <si>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</si>
  <si>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</si>
  <si>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</si>
  <si>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</si>
  <si>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</si>
  <si>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</si>
  <si>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</si>
  <si>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</si>
  <si>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</si>
  <si>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</si>
  <si>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</si>
  <si>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</si>
  <si>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</si>
  <si>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</si>
  <si>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</si>
  <si>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</si>
  <si>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</si>
  <si>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</si>
  <si>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</si>
  <si>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</si>
  <si>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</si>
  <si>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</si>
  <si>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</si>
  <si>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</si>
  <si>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</si>
  <si>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</si>
  <si>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</si>
  <si>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</si>
  <si>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</si>
  <si>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</si>
  <si>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</si>
  <si>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</si>
  <si>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</si>
  <si>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</si>
  <si>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</si>
  <si>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</si>
  <si>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</si>
  <si>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</si>
  <si>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</si>
  <si>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</si>
  <si>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</si>
  <si>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</si>
  <si>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</si>
  <si>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</si>
  <si>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</si>
  <si>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</si>
  <si>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</si>
  <si>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</si>
  <si>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</si>
  <si>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</si>
  <si>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</si>
  <si>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</si>
  <si>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</si>
  <si>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</si>
  <si>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</si>
  <si>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</si>
  <si>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</si>
  <si>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</si>
  <si>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</si>
  <si>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</si>
  <si>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</si>
  <si>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</si>
  <si>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</si>
  <si>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</si>
  <si>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</si>
  <si>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</si>
  <si>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</si>
  <si>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</si>
  <si>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</si>
  <si>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</si>
  <si>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</si>
  <si>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</si>
  <si>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</si>
  <si>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</si>
  <si>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</si>
  <si>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</si>
  <si>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</si>
  <si>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</si>
  <si>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</si>
  <si>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</si>
  <si>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</si>
  <si>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</si>
  <si>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</si>
  <si>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</si>
  <si>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</si>
  <si>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</si>
  <si>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</si>
  <si>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</si>
  <si>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</si>
  <si>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</si>
  <si>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</si>
  <si>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</si>
  <si>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</si>
  <si>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</si>
  <si>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</si>
  <si>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</si>
  <si>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</si>
  <si>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</si>
  <si>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</si>
  <si>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</si>
  <si>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</si>
  <si>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</si>
  <si>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</si>
  <si>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</si>
  <si>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</si>
  <si>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</si>
  <si>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</si>
  <si>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</si>
  <si>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</si>
  <si>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</si>
  <si>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</si>
  <si>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</si>
  <si>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</si>
  <si>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</si>
  <si>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</si>
  <si>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</si>
  <si>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</si>
  <si>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</si>
  <si>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</si>
  <si>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</si>
  <si>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</si>
  <si>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</si>
  <si>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</si>
  <si>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</si>
  <si>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</si>
  <si>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</si>
  <si>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</si>
  <si>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</si>
  <si>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</si>
  <si>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</si>
  <si>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</si>
  <si>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</si>
  <si>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</si>
  <si>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</si>
  <si>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</si>
  <si>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</si>
  <si>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</si>
  <si>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</si>
  <si>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</si>
  <si>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</si>
  <si>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</si>
  <si>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</si>
  <si>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</si>
  <si>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</si>
  <si>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</si>
  <si>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</si>
  <si>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</si>
  <si>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</si>
  <si>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地上</t>
  </si>
  <si>
    <t>是</t>
  </si>
  <si>
    <t>49-101</t>
  </si>
  <si>
    <t>49-101</t>
    <phoneticPr fontId="7" type="noConversion"/>
  </si>
  <si>
    <t>成新度</t>
  </si>
  <si>
    <t>空港街道</t>
    <phoneticPr fontId="3" type="noConversion"/>
  </si>
  <si>
    <t>收益法 (元)</t>
  </si>
  <si>
    <t>押一</t>
  </si>
  <si>
    <t>钢混</t>
  </si>
  <si>
    <t>非生产用房</t>
  </si>
  <si>
    <t>否</t>
  </si>
  <si>
    <t>单套模式</t>
  </si>
  <si>
    <t>售价</t>
  </si>
  <si>
    <t>挂牌</t>
  </si>
  <si>
    <t>挂牌</t>
    <phoneticPr fontId="31" type="noConversion"/>
  </si>
  <si>
    <t>工业</t>
    <phoneticPr fontId="31" type="noConversion"/>
  </si>
  <si>
    <t>正常</t>
  </si>
  <si>
    <t>泰达科技园</t>
    <phoneticPr fontId="3" type="noConversion"/>
  </si>
  <si>
    <t>钢混</t>
    <phoneticPr fontId="31" type="noConversion"/>
  </si>
  <si>
    <t>比较法-工业</t>
  </si>
  <si>
    <t>楼面单价</t>
  </si>
  <si>
    <t>收益比率</t>
  </si>
  <si>
    <t>独栋</t>
  </si>
  <si>
    <t>独栋</t>
    <phoneticPr fontId="31" type="noConversion"/>
  </si>
  <si>
    <t>精装修</t>
  </si>
  <si>
    <t>精装修</t>
    <phoneticPr fontId="31" type="noConversion"/>
  </si>
  <si>
    <t>普装</t>
    <phoneticPr fontId="31" type="noConversion"/>
  </si>
  <si>
    <t>简装</t>
  </si>
  <si>
    <t>简装</t>
    <phoneticPr fontId="31" type="noConversion"/>
  </si>
  <si>
    <t>毛坯</t>
    <phoneticPr fontId="31" type="noConversion"/>
  </si>
  <si>
    <t>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</si>
</sst>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198628</xdr:colOff>
      <xdr:row>23</xdr:row>
      <xdr:rowOff>18576</xdr:rowOff>
    </xdr:to>
    <xdr:pic>
      <xdr:nvPicPr>
        <xdr:cNvPr id="2" name="图片 1">
          <a:extLst>
            <a:ext uri="{FF2B5EF4-FFF2-40B4-BE49-F238E27FC236}">
              <a16:creationId xmlns:a16="http://schemas.microsoft.com/office/drawing/2014/main" id="{0DB4DBCC-B471-1B14-DC2F-2E0D297A4E5F}"/>
            </a:ext>
          </a:extLst>
        </xdr:cNvPr>
        <xdr:cNvPicPr>
          <a:picLocks noChangeAspect="1"/>
        </xdr:cNvPicPr>
      </xdr:nvPicPr>
      <xdr:blipFill>
        <a:blip xmlns:r="http://schemas.openxmlformats.org/officeDocument/2006/relationships" r:embed="rId1"/>
        <a:stretch>
          <a:fillRect/>
        </a:stretch>
      </xdr:blipFill>
      <xdr:spPr>
        <a:xfrm>
          <a:off x="0" y="171450"/>
          <a:ext cx="11171428" cy="3790476"/>
        </a:xfrm>
        <a:prstGeom prst="rect">
          <a:avLst/>
        </a:prstGeom>
      </xdr:spPr>
    </xdr:pic>
    <xdr:clientData/>
  </xdr:twoCellAnchor>
  <xdr:twoCellAnchor editAs="oneCell">
    <xdr:from>
      <xdr:col>0</xdr:col>
      <xdr:colOff>381000</xdr:colOff>
      <xdr:row>24</xdr:row>
      <xdr:rowOff>114300</xdr:rowOff>
    </xdr:from>
    <xdr:to>
      <xdr:col>16</xdr:col>
      <xdr:colOff>27248</xdr:colOff>
      <xdr:row>55</xdr:row>
      <xdr:rowOff>94588</xdr:rowOff>
    </xdr:to>
    <xdr:pic>
      <xdr:nvPicPr>
        <xdr:cNvPr id="3" name="图片 2">
          <a:extLst>
            <a:ext uri="{FF2B5EF4-FFF2-40B4-BE49-F238E27FC236}">
              <a16:creationId xmlns:a16="http://schemas.microsoft.com/office/drawing/2014/main" id="{E352B0BE-E065-AEB9-5D28-07E0AA33C735}"/>
            </a:ext>
          </a:extLst>
        </xdr:cNvPr>
        <xdr:cNvPicPr>
          <a:picLocks noChangeAspect="1"/>
        </xdr:cNvPicPr>
      </xdr:nvPicPr>
      <xdr:blipFill>
        <a:blip xmlns:r="http://schemas.openxmlformats.org/officeDocument/2006/relationships" r:embed="rId2"/>
        <a:stretch>
          <a:fillRect/>
        </a:stretch>
      </xdr:blipFill>
      <xdr:spPr>
        <a:xfrm>
          <a:off x="381000" y="4229100"/>
          <a:ext cx="10619048" cy="5295238"/>
        </a:xfrm>
        <a:prstGeom prst="rect">
          <a:avLst/>
        </a:prstGeom>
      </xdr:spPr>
    </xdr:pic>
    <xdr:clientData/>
  </xdr:twoCellAnchor>
  <xdr:twoCellAnchor editAs="oneCell">
    <xdr:from>
      <xdr:col>0</xdr:col>
      <xdr:colOff>285750</xdr:colOff>
      <xdr:row>56</xdr:row>
      <xdr:rowOff>123825</xdr:rowOff>
    </xdr:from>
    <xdr:to>
      <xdr:col>15</xdr:col>
      <xdr:colOff>541607</xdr:colOff>
      <xdr:row>90</xdr:row>
      <xdr:rowOff>104049</xdr:rowOff>
    </xdr:to>
    <xdr:pic>
      <xdr:nvPicPr>
        <xdr:cNvPr id="4" name="图片 3">
          <a:extLst>
            <a:ext uri="{FF2B5EF4-FFF2-40B4-BE49-F238E27FC236}">
              <a16:creationId xmlns:a16="http://schemas.microsoft.com/office/drawing/2014/main" id="{80006723-FBCE-85C8-C7BB-6155D0A294F7}"/>
            </a:ext>
          </a:extLst>
        </xdr:cNvPr>
        <xdr:cNvPicPr>
          <a:picLocks noChangeAspect="1"/>
        </xdr:cNvPicPr>
      </xdr:nvPicPr>
      <xdr:blipFill>
        <a:blip xmlns:r="http://schemas.openxmlformats.org/officeDocument/2006/relationships" r:embed="rId3"/>
        <a:stretch>
          <a:fillRect/>
        </a:stretch>
      </xdr:blipFill>
      <xdr:spPr>
        <a:xfrm>
          <a:off x="285750" y="9725025"/>
          <a:ext cx="10542857" cy="5809524"/>
        </a:xfrm>
        <a:prstGeom prst="rect">
          <a:avLst/>
        </a:prstGeom>
      </xdr:spPr>
    </xdr:pic>
    <xdr:clientData/>
  </xdr:twoCellAnchor>
  <xdr:twoCellAnchor editAs="oneCell">
    <xdr:from>
      <xdr:col>16</xdr:col>
      <xdr:colOff>277285</xdr:colOff>
      <xdr:row>0</xdr:row>
      <xdr:rowOff>20108</xdr:rowOff>
    </xdr:from>
    <xdr:to>
      <xdr:col>31</xdr:col>
      <xdr:colOff>571501</xdr:colOff>
      <xdr:row>30</xdr:row>
      <xdr:rowOff>137127</xdr:rowOff>
    </xdr:to>
    <xdr:pic>
      <xdr:nvPicPr>
        <xdr:cNvPr id="5" name="图片 4">
          <a:extLst>
            <a:ext uri="{FF2B5EF4-FFF2-40B4-BE49-F238E27FC236}">
              <a16:creationId xmlns:a16="http://schemas.microsoft.com/office/drawing/2014/main" id="{F9EBF230-BC02-7971-B407-FB7D9704D751}"/>
            </a:ext>
          </a:extLst>
        </xdr:cNvPr>
        <xdr:cNvPicPr>
          <a:picLocks noChangeAspect="1"/>
        </xdr:cNvPicPr>
      </xdr:nvPicPr>
      <xdr:blipFill>
        <a:blip xmlns:r="http://schemas.openxmlformats.org/officeDocument/2006/relationships" r:embed="rId4"/>
        <a:stretch>
          <a:fillRect/>
        </a:stretch>
      </xdr:blipFill>
      <xdr:spPr>
        <a:xfrm>
          <a:off x="11283952" y="20108"/>
          <a:ext cx="10612966" cy="5197019"/>
        </a:xfrm>
        <a:prstGeom prst="rect">
          <a:avLst/>
        </a:prstGeom>
      </xdr:spPr>
    </xdr:pic>
    <xdr:clientData/>
  </xdr:twoCellAnchor>
  <xdr:twoCellAnchor editAs="oneCell">
    <xdr:from>
      <xdr:col>16</xdr:col>
      <xdr:colOff>160867</xdr:colOff>
      <xdr:row>31</xdr:row>
      <xdr:rowOff>131234</xdr:rowOff>
    </xdr:from>
    <xdr:to>
      <xdr:col>32</xdr:col>
      <xdr:colOff>317500</xdr:colOff>
      <xdr:row>62</xdr:row>
      <xdr:rowOff>121617</xdr:rowOff>
    </xdr:to>
    <xdr:pic>
      <xdr:nvPicPr>
        <xdr:cNvPr id="6" name="图片 5">
          <a:extLst>
            <a:ext uri="{FF2B5EF4-FFF2-40B4-BE49-F238E27FC236}">
              <a16:creationId xmlns:a16="http://schemas.microsoft.com/office/drawing/2014/main" id="{D91CB0FD-0795-763C-A7DE-76EF5FB8794E}"/>
            </a:ext>
          </a:extLst>
        </xdr:cNvPr>
        <xdr:cNvPicPr>
          <a:picLocks noChangeAspect="1"/>
        </xdr:cNvPicPr>
      </xdr:nvPicPr>
      <xdr:blipFill>
        <a:blip xmlns:r="http://schemas.openxmlformats.org/officeDocument/2006/relationships" r:embed="rId5"/>
        <a:stretch>
          <a:fillRect/>
        </a:stretch>
      </xdr:blipFill>
      <xdr:spPr>
        <a:xfrm>
          <a:off x="11167534" y="5380567"/>
          <a:ext cx="11163299" cy="5239717"/>
        </a:xfrm>
        <a:prstGeom prst="rect">
          <a:avLst/>
        </a:prstGeom>
      </xdr:spPr>
    </xdr:pic>
    <xdr:clientData/>
  </xdr:twoCellAnchor>
  <xdr:twoCellAnchor editAs="oneCell">
    <xdr:from>
      <xdr:col>16</xdr:col>
      <xdr:colOff>21166</xdr:colOff>
      <xdr:row>63</xdr:row>
      <xdr:rowOff>95250</xdr:rowOff>
    </xdr:from>
    <xdr:to>
      <xdr:col>31</xdr:col>
      <xdr:colOff>423333</xdr:colOff>
      <xdr:row>95</xdr:row>
      <xdr:rowOff>14516</xdr:rowOff>
    </xdr:to>
    <xdr:pic>
      <xdr:nvPicPr>
        <xdr:cNvPr id="7" name="图片 6">
          <a:extLst>
            <a:ext uri="{FF2B5EF4-FFF2-40B4-BE49-F238E27FC236}">
              <a16:creationId xmlns:a16="http://schemas.microsoft.com/office/drawing/2014/main" id="{097AC878-D1A3-815E-F406-E3932A0DD066}"/>
            </a:ext>
          </a:extLst>
        </xdr:cNvPr>
        <xdr:cNvPicPr>
          <a:picLocks noChangeAspect="1"/>
        </xdr:cNvPicPr>
      </xdr:nvPicPr>
      <xdr:blipFill>
        <a:blip xmlns:r="http://schemas.openxmlformats.org/officeDocument/2006/relationships" r:embed="rId6"/>
        <a:stretch>
          <a:fillRect/>
        </a:stretch>
      </xdr:blipFill>
      <xdr:spPr>
        <a:xfrm>
          <a:off x="11027833" y="10763250"/>
          <a:ext cx="10720917" cy="5337933"/>
        </a:xfrm>
        <a:prstGeom prst="rect">
          <a:avLst/>
        </a:prstGeom>
      </xdr:spPr>
    </xdr:pic>
    <xdr:clientData/>
  </xdr:twoCellAnchor>
  <xdr:twoCellAnchor editAs="oneCell">
    <xdr:from>
      <xdr:col>0</xdr:col>
      <xdr:colOff>127000</xdr:colOff>
      <xdr:row>90</xdr:row>
      <xdr:rowOff>63500</xdr:rowOff>
    </xdr:from>
    <xdr:to>
      <xdr:col>19</xdr:col>
      <xdr:colOff>313478</xdr:colOff>
      <xdr:row>132</xdr:row>
      <xdr:rowOff>113030</xdr:rowOff>
    </xdr:to>
    <xdr:pic>
      <xdr:nvPicPr>
        <xdr:cNvPr id="8" name="图片 7">
          <a:extLst>
            <a:ext uri="{FF2B5EF4-FFF2-40B4-BE49-F238E27FC236}">
              <a16:creationId xmlns:a16="http://schemas.microsoft.com/office/drawing/2014/main" id="{15963038-F2CA-A473-DB47-F7D119E53E1D}"/>
            </a:ext>
          </a:extLst>
        </xdr:cNvPr>
        <xdr:cNvPicPr>
          <a:picLocks noChangeAspect="1"/>
        </xdr:cNvPicPr>
      </xdr:nvPicPr>
      <xdr:blipFill>
        <a:blip xmlns:r="http://schemas.openxmlformats.org/officeDocument/2006/relationships" r:embed="rId7"/>
        <a:stretch>
          <a:fillRect/>
        </a:stretch>
      </xdr:blipFill>
      <xdr:spPr>
        <a:xfrm>
          <a:off x="127000" y="15303500"/>
          <a:ext cx="13256895" cy="7161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估价对象为北京市房地产，为所有。根据《国有土地使用证》[]，估价对象（分摊）出让国有建设用地使用权面积为0平方米，建筑面积为1144.96平方米。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估价对象为北京市房地产,属开发建设的，该项目尚在开发建设中。根据《国有土地使用证》[]，估价对象（分摊）出让国有建设用地使用权面积为0平方米，规划建筑面积为1144.96平方米。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2205</v>
      </c>
    </row>
    <row r="21" spans="1:2">
      <c r="A21" s="1119" t="s">
        <v>537</v>
      </c>
      <c r="B21" s="1120">
        <f ca="1">'预评函-2'!D7</f>
        <v>19258</v>
      </c>
    </row>
    <row r="22" spans="1:2">
      <c r="A22" s="1119" t="s">
        <v>538</v>
      </c>
      <c r="B22" s="1120" t="str">
        <f ca="1">'预评函-2'!D6</f>
        <v>贰仟贰佰零伍万元整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2205</v>
      </c>
    </row>
    <row r="31" spans="1:2">
      <c r="A31" s="1119" t="s">
        <v>576</v>
      </c>
      <c r="B31" s="1120">
        <f ca="1">'预评函-2'!D15</f>
        <v>19258</v>
      </c>
    </row>
    <row r="32" spans="1:2">
      <c r="A32" s="1119" t="s">
        <v>543</v>
      </c>
      <c r="B32" s="1120" t="str">
        <f ca="1">'预评函-2'!D14</f>
        <v>贰仟贰佰零伍万元整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1144.96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1413</v>
      </c>
    </row>
    <row r="48" spans="1:2">
      <c r="A48" s="1119" t="s">
        <v>549</v>
      </c>
      <c r="B48" s="1120">
        <f ca="1">'预评函-3'!E4</f>
        <v>12344</v>
      </c>
    </row>
    <row r="49" spans="1:2">
      <c r="A49" s="1119" t="s">
        <v>550</v>
      </c>
      <c r="B49" s="1120" t="str">
        <f ca="1">'预评函-3'!D5</f>
        <v>壹仟肆佰壹拾叁万元整</v>
      </c>
    </row>
    <row r="50" spans="1:2">
      <c r="A50" s="1119" t="s">
        <v>574</v>
      </c>
      <c r="B50" s="1120" t="str">
        <f>'预评函-3'!F2</f>
        <v>在建建筑物价值</v>
      </c>
    </row>
    <row r="51" spans="1:2">
      <c r="A51" s="1119" t="s">
        <v>551</v>
      </c>
      <c r="B51" s="1120">
        <f ca="1">'预评函-3'!F4</f>
        <v>792</v>
      </c>
    </row>
    <row r="52" spans="1:2">
      <c r="A52" s="1119" t="s">
        <v>552</v>
      </c>
      <c r="B52" s="1120">
        <f ca="1">'预评函-3'!G4</f>
        <v>6914</v>
      </c>
    </row>
    <row r="53" spans="1:2">
      <c r="A53" s="1119" t="s">
        <v>580</v>
      </c>
      <c r="B53" s="1120" t="str">
        <f ca="1">'预评函-3'!F5</f>
        <v>柒佰玖拾贰万元整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45734</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1.75</v>
      </c>
      <c r="D5" s="2768">
        <f>IF(ISERROR(ROUND(POWER(1+E5,A5-C5)*(POWER(1+E5,C5)-1)/(POWER(1+E5,A5)-1),3)),0,ROUND(POWER(1+E5,A5-C5)*(POWER(1+E5,C5)-1)/(POWER(1+E5,A5)-1),4))</f>
        <v>8.3799999999999999E-2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11.76</v>
      </c>
      <c r="D6" s="2768">
        <f>IF(ISERROR(ROUND(POWER(1+E6,A6-C6)*(POWER(1+E6,C6)-1)/(POWER(1+E6,A6)-1),3)),0,ROUND(POWER(1+E6,A6-C6)*(POWER(1+E6,C6)-1)/(POWER(1+E6,A6)-1),4))</f>
        <v>0.43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31.77</v>
      </c>
      <c r="D7" s="2768">
        <f>IF(ISERROR(ROUND(POWER(1+E7,A7-C7)*(POWER(1+E7,C7)-1)/(POWER(1+E7,A7)-1),3)),0,ROUND(POWER(1+E7,A7-C7)*(POWER(1+E7,C7)-1)/(POWER(1+E7,A7)-1),4))</f>
        <v>0.76119999999999999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3390</v>
      </c>
    </row>
    <row r="50" spans="1:4">
      <c r="A50" s="3145" t="s">
        <v>3391</v>
      </c>
      <c r="B50" s="3145" t="s">
        <v>3392</v>
      </c>
      <c r="C50" s="3145" t="s">
        <v>3393</v>
      </c>
      <c r="D50" s="3145" t="s">
        <v>3394</v>
      </c>
    </row>
    <row r="51" spans="1:4">
      <c r="A51" s="3145" t="s">
        <v>3395</v>
      </c>
      <c r="B51" s="2765">
        <f>B52+B53</f>
        <v>15000</v>
      </c>
      <c r="C51" s="3146">
        <f>D51/B51</f>
        <v>2666.6666666666665</v>
      </c>
      <c r="D51" s="2765">
        <f>D52+D53</f>
        <v>40000000</v>
      </c>
    </row>
    <row r="52" spans="1:4">
      <c r="A52" s="3147" t="s">
        <v>3396</v>
      </c>
      <c r="B52" s="3148">
        <v>10000</v>
      </c>
      <c r="C52" s="3148">
        <v>1500</v>
      </c>
      <c r="D52" s="3149">
        <f>C52*B52</f>
        <v>15000000</v>
      </c>
    </row>
    <row r="53" spans="1:4">
      <c r="A53" s="3147" t="s">
        <v>3397</v>
      </c>
      <c r="B53" s="3148">
        <v>5000</v>
      </c>
      <c r="C53" s="3148">
        <v>5000</v>
      </c>
      <c r="D53" s="3149">
        <f>C53*B53</f>
        <v>25000000</v>
      </c>
    </row>
    <row r="54" spans="1:4">
      <c r="A54" s="3145" t="s">
        <v>3398</v>
      </c>
      <c r="B54" s="2765">
        <f>B51</f>
        <v>15000</v>
      </c>
      <c r="C54" s="2771">
        <v>700</v>
      </c>
      <c r="D54" s="2765">
        <f t="shared" ref="D54:D55" si="5">C54*B54</f>
        <v>10500000</v>
      </c>
    </row>
    <row r="55" spans="1:4">
      <c r="A55" s="3145" t="s">
        <v>3399</v>
      </c>
      <c r="B55" s="2765">
        <f>B51</f>
        <v>15000</v>
      </c>
      <c r="C55" s="2771">
        <v>1500</v>
      </c>
      <c r="D55" s="2765">
        <f t="shared" si="5"/>
        <v>22500000</v>
      </c>
    </row>
    <row r="56" spans="1:4">
      <c r="A56" s="3145" t="s">
        <v>3400</v>
      </c>
      <c r="B56" s="2765">
        <f>B51</f>
        <v>15000</v>
      </c>
      <c r="C56" s="3150">
        <f>C51+C54+C55</f>
        <v>4866.6666666666661</v>
      </c>
      <c r="D56" s="2765">
        <f>D51+D54+D55</f>
        <v>73000000</v>
      </c>
    </row>
    <row r="58" spans="1:4">
      <c r="A58" s="3145" t="s">
        <v>3401</v>
      </c>
      <c r="B58" s="3151">
        <v>0.05</v>
      </c>
      <c r="C58" s="2765">
        <f>C56*(1+B58)</f>
        <v>5110</v>
      </c>
      <c r="D58" s="2765">
        <f>D56*B58</f>
        <v>3650000</v>
      </c>
    </row>
    <row r="60" spans="1:4">
      <c r="A60" s="3145" t="s">
        <v>3402</v>
      </c>
      <c r="B60" s="2771">
        <v>3500</v>
      </c>
      <c r="C60" s="2771">
        <f>C53</f>
        <v>5000</v>
      </c>
      <c r="D60" s="2765">
        <f>C60*B60</f>
        <v>17500000</v>
      </c>
    </row>
    <row r="62" spans="1:4">
      <c r="A62" s="3145" t="s">
        <v>3403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3405</v>
      </c>
      <c r="C8" s="2201"/>
      <c r="D8" s="3206" t="s">
        <v>2177</v>
      </c>
      <c r="E8" s="2202" t="s">
        <v>3406</v>
      </c>
      <c r="F8" s="2203"/>
      <c r="G8" s="2442"/>
      <c r="H8" s="2442"/>
      <c r="I8" s="2442"/>
      <c r="J8" s="2245"/>
      <c r="K8" s="2400"/>
      <c r="L8" s="2399"/>
      <c r="M8" s="2399"/>
      <c r="N8" s="2245"/>
      <c r="O8" s="1670"/>
      <c r="P8" s="2245"/>
      <c r="Q8" s="2245"/>
      <c r="R8" s="2245"/>
    </row>
    <row r="9" spans="1:30" ht="13.5" thickBot="1">
      <c r="A9" s="2204" t="s">
        <v>2178</v>
      </c>
      <c r="B9" s="2205" t="s">
        <v>3406</v>
      </c>
      <c r="C9" s="2206"/>
      <c r="D9" s="3207"/>
      <c r="E9" s="2205"/>
      <c r="F9" s="2207"/>
      <c r="G9" s="2443"/>
      <c r="H9" s="2443"/>
      <c r="I9" s="2443"/>
      <c r="J9" s="2245"/>
      <c r="K9" s="2402"/>
      <c r="L9" s="2399"/>
      <c r="M9" s="2399"/>
      <c r="N9" s="2245"/>
      <c r="O9" s="1670"/>
      <c r="P9" s="2245"/>
      <c r="Q9" s="2245"/>
      <c r="R9" s="2245"/>
    </row>
    <row r="10" spans="1:30" ht="13.5" thickTop="1">
      <c r="A10" s="2208" t="s">
        <v>2179</v>
      </c>
      <c r="B10" s="2209" t="s">
        <v>3407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v>58457</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34.85</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1144.96</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1144.96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1144.96</v>
      </c>
      <c r="H5" s="13">
        <f t="shared" ref="H5:AT5" si="0">SUM(H13:H656)</f>
        <v>1144.96</v>
      </c>
      <c r="I5" s="13">
        <f t="shared" si="0"/>
        <v>1144.96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1144.96</v>
      </c>
      <c r="BA5" s="15">
        <f t="shared" si="1"/>
        <v>1144.96</v>
      </c>
      <c r="BB5" s="15">
        <f t="shared" si="1"/>
        <v>1144.96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3410</v>
      </c>
      <c r="E13" s="13">
        <f>IF($C$3="是",ROUND($A$3*G13/$B$3,2),ROUND($A$3*(G13-AT13)/$B$3,2))</f>
        <v>0</v>
      </c>
      <c r="F13" s="29"/>
      <c r="G13" s="30">
        <f>H13+AC13+AT13</f>
        <v>1144.96</v>
      </c>
      <c r="H13" s="17">
        <f>SUMIF(I$12:AB$12,"总值",I13:AB13)</f>
        <v>1144.96</v>
      </c>
      <c r="I13" s="1514">
        <v>1144.96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1144.96</v>
      </c>
      <c r="BA13" s="13">
        <f>SUM(BB13:BK13)</f>
        <v>1144.96</v>
      </c>
      <c r="BB13" s="13">
        <f>IF($D13="是",I13-J13,0)</f>
        <v>1144.96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1144.96</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1144.96</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1144.96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1144.96</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3412</v>
      </c>
      <c r="D19" s="43">
        <f>ROUND($D$3*E19/$E$3,2)</f>
        <v>0</v>
      </c>
      <c r="E19" s="51">
        <f t="shared" ref="E19:E26" si="1">SUM(F19:G19)</f>
        <v>1144.96</v>
      </c>
      <c r="F19" s="2558">
        <f>'数据-基础表'!I13</f>
        <v>1144.96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1144.96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1144.96</v>
      </c>
      <c r="F27" s="1072">
        <f>IF(SUM(F19:F26)=E8,SUM(F19:F26),"地上面积有误")</f>
        <v>1144.96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1144.96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1144.96</v>
      </c>
      <c r="F31" s="644">
        <f>F27+F30</f>
        <v>1144.96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49-101</v>
      </c>
      <c r="B6" s="1587" t="str">
        <f>IF(A6=0,"","经营性")</f>
        <v>经营性</v>
      </c>
      <c r="C6" s="1588" t="s">
        <v>3</v>
      </c>
      <c r="D6" s="805">
        <f>SUMIF(项目基本情况!C$12:I$12,C6,项目基本情况!C$14:I$14)</f>
        <v>50</v>
      </c>
      <c r="E6" s="804">
        <f>IF(B6="","",SUMIF(项目基本情况!C$12:I$12,C6,项目基本情况!C$13:I$13))</f>
        <v>58457</v>
      </c>
      <c r="F6" s="61">
        <f>SUMIF(项目基本情况!C$12:I$12,C6,项目基本情况!C$15:I$15)</f>
        <v>34.85</v>
      </c>
      <c r="G6" s="62">
        <f>IF(ISERROR(ROUND(POWER(1+H6,D6-F6)*(POWER(1+H6,F6)-1)/(POWER(1+H6,D6)-1),3)),0,ROUND(POWER(1+H6,D6-F6)*(POWER(1+H6,F6)-1)/(POWER(1+H6,D6)-1),3))</f>
        <v>0.89500000000000002</v>
      </c>
      <c r="H6" s="691">
        <v>0.05</v>
      </c>
      <c r="I6" s="691">
        <v>5.5E-2</v>
      </c>
      <c r="J6" s="63">
        <v>7.0000000000000007E-2</v>
      </c>
      <c r="K6" s="970">
        <f>SUMIF('数据-汇总表'!C$19:C$33,A6,'数据-汇总表'!E$19:E$33)</f>
        <v>1144.96</v>
      </c>
      <c r="L6" s="692">
        <v>3500</v>
      </c>
      <c r="M6" s="64">
        <f t="shared" ref="M6:M14" si="0">ROUND(K6*L6/10000,0)</f>
        <v>401</v>
      </c>
      <c r="N6" s="690">
        <v>0.83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3</v>
      </c>
      <c r="V6" s="67">
        <v>0.02</v>
      </c>
      <c r="W6" s="67">
        <v>0.1</v>
      </c>
      <c r="X6" s="979"/>
      <c r="Y6" s="68">
        <f>N6</f>
        <v>0.83</v>
      </c>
      <c r="Z6" s="69"/>
      <c r="AA6" s="63"/>
      <c r="AB6" s="63"/>
      <c r="AC6" s="979"/>
      <c r="AD6" s="70"/>
      <c r="AE6" s="980">
        <f ca="1">IF(AN6="",0,SUMIF(INDIRECT("'"&amp;AN6&amp;"'"&amp;"!E:E"),$AE$5,INDIRECT("'"&amp;AN6&amp;"'"&amp;"!F:F")))</f>
        <v>34.85</v>
      </c>
      <c r="AF6" s="74"/>
      <c r="AG6" s="130">
        <f>IF(AF6="",0,AE6-AF6)</f>
        <v>0</v>
      </c>
      <c r="AH6" s="71"/>
      <c r="AI6" s="73">
        <v>365</v>
      </c>
      <c r="AJ6" s="74"/>
      <c r="AK6" s="75">
        <v>3.0000000000000001E-3</v>
      </c>
      <c r="AL6" s="76">
        <v>1E-3</v>
      </c>
      <c r="AM6" s="77">
        <v>5.0000000000000001E-3</v>
      </c>
      <c r="AN6" s="1589" t="s">
        <v>3415</v>
      </c>
      <c r="AO6" s="50">
        <f ca="1">SUMIF(INDIRECT("'"&amp;AN6&amp;"'"&amp;"!A:A"),"总价",INDIRECT("'"&amp;AN6&amp;"'"&amp;"!B:B"))</f>
        <v>1822.5277000000001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0.89500000000000002</v>
      </c>
      <c r="H16" s="84">
        <f>ROUND(SUMPRODUCT(H6:H13,K6:K13)/SUMPRODUCT((H6:H13&gt;0)*(K6:K13)),3)</f>
        <v>0.05</v>
      </c>
      <c r="I16" s="85"/>
      <c r="J16" s="85"/>
      <c r="K16" s="86">
        <f>SUM(K6:K15)</f>
        <v>1144.96</v>
      </c>
      <c r="L16" s="87">
        <f>ROUND(M16*10000/SUM(K6:K14),0)</f>
        <v>3502</v>
      </c>
      <c r="M16" s="87">
        <f>SUM(M6:M14)</f>
        <v>401</v>
      </c>
      <c r="N16" s="88">
        <f>ROUND(SUMPRODUCT(M6:M14,N6:N14)/M16,3)</f>
        <v>0.83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2015</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1-(2025-N18)/60</f>
        <v>0.83333333333333337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3389</v>
      </c>
      <c r="D44" s="2452"/>
      <c r="E44" s="2439"/>
      <c r="F44" s="3489" t="s">
        <v>3414</v>
      </c>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24" sqref="G2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1144.96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45734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2204.9639999999999</v>
      </c>
      <c r="C5" s="2300">
        <f ca="1">IF(B5=D14,结果表!H102,ROUND(B5*10000/$B$1,0))</f>
        <v>19258</v>
      </c>
      <c r="D5" s="2300" t="e">
        <f ca="1">ROUND(B5*10000/$B$2,0)</f>
        <v>#DIV/0!</v>
      </c>
      <c r="E5" s="2462"/>
      <c r="F5" s="2463"/>
      <c r="G5" s="2463"/>
      <c r="H5" s="2463"/>
      <c r="I5" s="2463"/>
      <c r="J5" s="2463"/>
      <c r="K5" s="2463"/>
    </row>
    <row r="6" spans="1:11" ht="16.5">
      <c r="A6" s="2300" t="s">
        <v>656</v>
      </c>
      <c r="B6" s="2300">
        <f ca="1">SUM(G14:G23)</f>
        <v>2204.9639999999999</v>
      </c>
      <c r="C6" s="2300">
        <f ca="1">IF(B6=G14,结果表!H108,ROUND(B6*10000/$B$1,0))</f>
        <v>19258</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1144.96</v>
      </c>
      <c r="C14" s="2306"/>
      <c r="D14" s="2306">
        <f ca="1">ROUND(B14*E14/10000,4)</f>
        <v>2204.9639999999999</v>
      </c>
      <c r="E14" s="2306">
        <f ca="1">结果表!G20</f>
        <v>19258</v>
      </c>
      <c r="F14" s="2306" t="e">
        <f ca="1">ROUND(D14*10000/C14,0)</f>
        <v>#DIV/0!</v>
      </c>
      <c r="G14" s="2306">
        <f ca="1">D14</f>
        <v>2204.9639999999999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3428</v>
      </c>
      <c r="D4" s="1626" t="s">
        <v>3415</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6</v>
      </c>
      <c r="D14" s="3279">
        <v>4</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66" t="s">
        <v>2131</v>
      </c>
      <c r="F18" s="3267"/>
      <c r="G18" s="3267"/>
      <c r="H18" s="3267"/>
      <c r="I18" s="3267"/>
      <c r="K18" s="294" t="s">
        <v>1289</v>
      </c>
      <c r="L18" s="294">
        <f>IF(C1="",'数据-汇总表'!E3,SUMIF(项目类型,C1,'数据-汇总表'!E17:E26)+SUMIF(项目类型,C1,'数据-汇总表'!I17:I26))</f>
        <v>1144.96</v>
      </c>
      <c r="M18" s="294">
        <f>IF(C1="",'数据-汇总表'!E3,SUMIF(项目类型,C1,'数据-汇总表'!E17:E26))</f>
        <v>1144.96</v>
      </c>
    </row>
    <row r="19" spans="1:36" ht="15">
      <c r="A19" s="1630" t="s">
        <v>1290</v>
      </c>
      <c r="B19" s="1631" t="s">
        <v>1291</v>
      </c>
      <c r="C19" s="126">
        <f ca="1">SUMIF(INDIRECT("'"&amp;C4&amp;"'"&amp;"!A:A"),结果表!B19,INDIRECT("'"&amp;C4&amp;"'"&amp;"!B:B"))</f>
        <v>2459.8321000000001</v>
      </c>
      <c r="D19" s="127">
        <f ca="1">SUMIF(INDIRECT("'"&amp;D4&amp;"'"&amp;"!A:A"),结果表!B19,INDIRECT("'"&amp;D4&amp;"'"&amp;"!B:B"))</f>
        <v>1822.5277000000001</v>
      </c>
      <c r="E19" s="1630" t="s">
        <v>1292</v>
      </c>
      <c r="F19" s="1631" t="s">
        <v>1291</v>
      </c>
      <c r="G19" s="128">
        <f ca="1">ROUND(C19*$C$18+D19*$D$18,0)</f>
        <v>2205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21484</v>
      </c>
      <c r="D20" s="130">
        <f ca="1">SUMIF(INDIRECT("'"&amp;D4&amp;"'"&amp;"!A:A"),结果表!B20,INDIRECT("'"&amp;D4&amp;"'"&amp;"!B:B"))</f>
        <v>15918</v>
      </c>
      <c r="E20" s="1633"/>
      <c r="F20" s="43" t="s">
        <v>1295</v>
      </c>
      <c r="G20" s="131">
        <f ca="1">ROUND(C20*$C$18+D20*$D$18,0)</f>
        <v>19258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0.34968159880368344</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19258</v>
      </c>
      <c r="D32" s="1641" t="s">
        <v>3429</v>
      </c>
      <c r="E32" s="121"/>
      <c r="F32" s="121"/>
      <c r="G32" s="121"/>
      <c r="H32" s="121"/>
      <c r="I32" s="121"/>
    </row>
    <row r="33" spans="1:15" ht="15">
      <c r="A33" s="740" t="s">
        <v>1306</v>
      </c>
      <c r="B33" s="123"/>
      <c r="C33" s="1642" t="s">
        <v>3430</v>
      </c>
      <c r="D33" s="1643" t="s">
        <v>3415</v>
      </c>
      <c r="E33" s="1644" t="s">
        <v>1307</v>
      </c>
      <c r="F33" s="1645" t="str">
        <f>IF(D32="楼面单价","取值（单价）","取值（总价）")</f>
        <v>取值（单价）</v>
      </c>
      <c r="G33" s="121"/>
      <c r="H33" s="121"/>
      <c r="I33" s="121"/>
    </row>
    <row r="34" spans="1:15" ht="15">
      <c r="A34" s="1646"/>
      <c r="B34" s="1647" t="s">
        <v>1308</v>
      </c>
      <c r="C34" s="140">
        <f ca="1">IF(C33="自定义",F34,C32-C35)</f>
        <v>12344</v>
      </c>
      <c r="D34" s="808">
        <f ca="1">IF(C33="自定义",ROUND(C34/C32,3),IF(C33="收益比率",SUMIF(INDIRECT("'"&amp;D33&amp;"'"&amp;"!b:b"),"土地收益比率",INDIRECT("'"&amp;D33&amp;"'"&amp;"!c:c")),SUMIF(INDIRECT("'"&amp;D33&amp;"'"&amp;"!b:b"),"土地成本比率",INDIRECT("'"&amp;D33&amp;"'"&amp;"!c:c"))))</f>
        <v>0.64100000000000001</v>
      </c>
      <c r="E34" s="1648" t="s">
        <v>1309</v>
      </c>
      <c r="F34" s="1243"/>
      <c r="G34" s="121"/>
      <c r="H34" s="121"/>
      <c r="I34" s="121"/>
    </row>
    <row r="35" spans="1:15" ht="15.75" thickBot="1">
      <c r="A35" s="1649"/>
      <c r="B35" s="1650" t="s">
        <v>1310</v>
      </c>
      <c r="C35" s="1090">
        <f ca="1">IF(C33="自定义",F35,ROUND(C32*D35,0))</f>
        <v>6914</v>
      </c>
      <c r="D35" s="1091">
        <f ca="1">IF(C33="自定义",ROUND(C35/C32,3),IF(C33="收益比率",SUMIF(INDIRECT("'"&amp;D33&amp;"'"&amp;"!b:b"),"建筑物收益比率",INDIRECT("'"&amp;D33&amp;"'"&amp;"!c:c")),SUMIF(INDIRECT("'"&amp;D33&amp;"'"&amp;"!b:b"),"建筑物成本比率",INDIRECT("'"&amp;D33&amp;"'"&amp;"!c:c"))))</f>
        <v>0.35899999999999999</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2205</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45734</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6" t="s">
        <v>1340</v>
      </c>
      <c r="L48" s="3306"/>
      <c r="M48" s="3328">
        <f ca="1">H101</f>
        <v>2205</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2205</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118</v>
      </c>
      <c r="E52" s="1256" t="s">
        <v>1354</v>
      </c>
      <c r="F52" s="2340">
        <f>'数据-取费表'!B41</f>
        <v>5.6000000000000001E-2</v>
      </c>
      <c r="G52" s="2341"/>
      <c r="H52" s="2331"/>
      <c r="I52" s="1669"/>
      <c r="J52" s="2310">
        <v>1</v>
      </c>
      <c r="K52" s="3307" t="s">
        <v>1355</v>
      </c>
      <c r="L52" s="3307"/>
      <c r="M52" s="2312" t="b">
        <f>D48</f>
        <v>0</v>
      </c>
      <c r="N52" s="2310" t="str">
        <f>E48</f>
        <v>销售额×税（费）率</v>
      </c>
      <c r="O52" s="2313">
        <f>F48</f>
        <v>5.6000000000000001E-2</v>
      </c>
    </row>
    <row r="53" spans="1:35" ht="12" customHeight="1">
      <c r="A53" s="2153" t="s">
        <v>1356</v>
      </c>
      <c r="B53" s="3268" t="s">
        <v>2291</v>
      </c>
      <c r="C53" s="3269"/>
      <c r="D53" s="1024">
        <f ca="1">ROUND(D45*'数据-取费表'!B41/(1+'数据-取费表'!C42),0)</f>
        <v>118</v>
      </c>
      <c r="E53" s="1256" t="s">
        <v>1354</v>
      </c>
      <c r="F53" s="2340">
        <f>'数据-取费表'!B41</f>
        <v>5.6000000000000001E-2</v>
      </c>
      <c r="G53" s="2341"/>
      <c r="H53" s="2331"/>
      <c r="I53" s="1669"/>
      <c r="J53" s="2310">
        <v>2</v>
      </c>
      <c r="K53" s="3307" t="s">
        <v>1357</v>
      </c>
      <c r="L53" s="3307"/>
      <c r="M53" s="2312">
        <f t="shared" ref="M53:O54" ca="1" si="0">D55</f>
        <v>1</v>
      </c>
      <c r="N53" s="2310" t="str">
        <f t="shared" si="0"/>
        <v>销售额×税（费）率</v>
      </c>
      <c r="O53" s="2313" t="str">
        <f t="shared" si="0"/>
        <v>免征</v>
      </c>
    </row>
    <row r="54" spans="1:35" ht="12" customHeight="1">
      <c r="A54" s="2153" t="s">
        <v>1358</v>
      </c>
      <c r="B54" s="3268" t="s">
        <v>2292</v>
      </c>
      <c r="C54" s="3269"/>
      <c r="D54" s="1024">
        <f ca="1">C68</f>
        <v>118</v>
      </c>
      <c r="E54" s="319" t="s">
        <v>1359</v>
      </c>
      <c r="F54" s="2340">
        <f>'数据-取费表'!B41</f>
        <v>5.6000000000000001E-2</v>
      </c>
      <c r="G54" s="2341"/>
      <c r="H54" s="2342"/>
      <c r="I54" s="1669"/>
      <c r="J54" s="2310">
        <v>3</v>
      </c>
      <c r="K54" s="3307" t="s">
        <v>1360</v>
      </c>
      <c r="L54" s="3307"/>
      <c r="M54" s="2312">
        <f t="shared" ca="1" si="0"/>
        <v>1248</v>
      </c>
      <c r="N54" s="2310" t="str">
        <f t="shared" si="0"/>
        <v>增值额×税（费）率</v>
      </c>
      <c r="O54" s="2314" t="str">
        <f t="shared" si="0"/>
        <v>免征</v>
      </c>
    </row>
    <row r="55" spans="1:35" ht="24" customHeight="1">
      <c r="A55" s="3257" t="s">
        <v>1361</v>
      </c>
      <c r="B55" s="3258"/>
      <c r="C55" s="3258"/>
      <c r="D55" s="12">
        <f ca="1">IF(H55="个人住宅",0,ROUND(D45*I55,0))</f>
        <v>1</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f ca="1">D59</f>
        <v>21</v>
      </c>
      <c r="N55" s="1883" t="str">
        <f>E59</f>
        <v>差额计税</v>
      </c>
      <c r="O55" s="2316">
        <f>F59</f>
        <v>0.01</v>
      </c>
    </row>
    <row r="56" spans="1:35" ht="24.75">
      <c r="A56" s="3257" t="s">
        <v>1363</v>
      </c>
      <c r="B56" s="3258"/>
      <c r="C56" s="3258"/>
      <c r="D56" s="12">
        <f ca="1">IF(H56="个人住宅",D57,D58)</f>
        <v>1248</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1270</v>
      </c>
      <c r="O57" s="2320"/>
      <c r="P57" s="2465">
        <f ca="1">N57/M49</f>
        <v>0.57596371882086173</v>
      </c>
    </row>
    <row r="58" spans="1:35" ht="24.75">
      <c r="A58" s="2153" t="s">
        <v>1352</v>
      </c>
      <c r="B58" s="3268" t="s">
        <v>1369</v>
      </c>
      <c r="C58" s="3242"/>
      <c r="D58" s="12">
        <f ca="1">IF(H58="转让取得",C81,C97)</f>
        <v>1248</v>
      </c>
      <c r="E58" s="1256" t="s">
        <v>1364</v>
      </c>
      <c r="F58" s="294" t="s">
        <v>28</v>
      </c>
      <c r="G58" s="2341"/>
      <c r="H58" s="2344"/>
      <c r="I58" s="1670"/>
      <c r="J58" s="3307"/>
      <c r="K58" s="3307"/>
      <c r="L58" s="2317" t="s">
        <v>1370</v>
      </c>
      <c r="M58" s="2321"/>
      <c r="N58" s="2322" t="str">
        <f ca="1">NUMBERSTRING(INT(N57*10000),2)&amp;"元整"</f>
        <v>壹仟贰佰柒拾万元整</v>
      </c>
      <c r="O58" s="2323"/>
    </row>
    <row r="59" spans="1:35" ht="24.75" thickBot="1">
      <c r="A59" s="3310" t="s">
        <v>1371</v>
      </c>
      <c r="B59" s="3311"/>
      <c r="C59" s="3311"/>
      <c r="D59" s="2346">
        <f ca="1">IF(H59="非个人房产","——",IF(H59="个人住宅（满五唯一有凭证）",0,IF(H59="个人其他（无凭证）",ROUND(D45*F59,0),ROUND(C67*F59,0))))</f>
        <v>21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f ca="1">M49-N57</f>
        <v>935</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玖佰叁拾伍万元整</v>
      </c>
      <c r="O60" s="2323"/>
    </row>
    <row r="61" spans="1:35" ht="13.5" thickBot="1">
      <c r="A61" s="3255" t="s">
        <v>1373</v>
      </c>
      <c r="B61" s="3255"/>
      <c r="C61" s="3255"/>
      <c r="D61" s="3255"/>
      <c r="E61" s="3255"/>
      <c r="F61" s="1670"/>
      <c r="G61" s="1670"/>
      <c r="H61" s="151"/>
      <c r="I61" s="121"/>
      <c r="J61" s="2310">
        <f>J59+1</f>
        <v>7</v>
      </c>
      <c r="K61" s="3307" t="s">
        <v>1374</v>
      </c>
      <c r="L61" s="3307"/>
      <c r="M61" s="2327"/>
      <c r="N61" s="2328">
        <f ca="1">ROUND(N59*10000/'数据-汇总表'!E3,0)</f>
        <v>8166</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2100</v>
      </c>
      <c r="D63" s="159"/>
      <c r="E63" s="160"/>
      <c r="F63" s="1670"/>
      <c r="G63" s="1670"/>
      <c r="H63" s="151"/>
      <c r="I63" s="121"/>
      <c r="J63" s="3332" t="s">
        <v>1379</v>
      </c>
      <c r="K63" s="1245" t="s">
        <v>1380</v>
      </c>
      <c r="L63" s="1245">
        <f ca="1">IF(M49&gt;10000,M49*0.5%,IF(AND(M49&gt;1000,M49&lt;=10000),M49*1%,IF(AND(M49&gt;100,M49&lt;=1000),M49*3%,IF(AND(M49&gt;10,M49&lt;=100),M49*5%,M49*8%))))</f>
        <v>22.05</v>
      </c>
      <c r="M63" s="294">
        <f ca="1">ROUND(L63,1)</f>
        <v>22.1</v>
      </c>
      <c r="N63" s="2330"/>
      <c r="Z63" s="1623"/>
      <c r="AI63" s="1561"/>
    </row>
    <row r="64" spans="1:35" ht="14.25" customHeight="1">
      <c r="A64" s="161" t="s">
        <v>325</v>
      </c>
      <c r="B64" s="162" t="s">
        <v>1381</v>
      </c>
      <c r="C64" s="2351">
        <f ca="1">D45</f>
        <v>2205</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11.025</v>
      </c>
      <c r="M64" s="294">
        <f t="shared" ref="M64:M65" ca="1" si="1">ROUND(L64,1)</f>
        <v>11</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2.2050000000000001</v>
      </c>
      <c r="M65" s="294">
        <f t="shared" ca="1" si="1"/>
        <v>2.2000000000000002</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11.025</v>
      </c>
      <c r="M66" s="294">
        <f ca="1">IF(L66&gt;0.5,0.5,ROUND(L66,0))</f>
        <v>0.5</v>
      </c>
      <c r="N66" s="2331" t="s">
        <v>1388</v>
      </c>
      <c r="Z66" s="1623"/>
      <c r="AI66" s="1561"/>
    </row>
    <row r="67" spans="1:35" ht="14.25" customHeight="1">
      <c r="A67" s="165" t="s">
        <v>328</v>
      </c>
      <c r="B67" s="166" t="s">
        <v>1389</v>
      </c>
      <c r="C67" s="2354">
        <f ca="1">C63-C66</f>
        <v>2100</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118</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44.1</v>
      </c>
      <c r="M68" s="294">
        <f ca="1">ROUND(L68,1)</f>
        <v>44.1</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82</v>
      </c>
      <c r="N69" s="2332">
        <f ca="1">M69/M49</f>
        <v>3.7188208616780044E-2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2100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13</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2087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160.53846153846155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1248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2100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13</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2087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160.53846153846155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1248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比较法-工业</v>
      </c>
      <c r="D101" s="2372" t="str">
        <f>D4</f>
        <v>收益法 (元)</v>
      </c>
      <c r="E101" s="3329" t="s">
        <v>1431</v>
      </c>
      <c r="F101" s="3286"/>
      <c r="G101" s="1687" t="s">
        <v>1432</v>
      </c>
      <c r="H101" s="2381">
        <f ca="1">H118</f>
        <v>2205</v>
      </c>
      <c r="I101" s="121"/>
    </row>
    <row r="102" spans="1:35" ht="18.75" customHeight="1">
      <c r="A102" s="3288" t="s">
        <v>1433</v>
      </c>
      <c r="B102" s="2370" t="s">
        <v>1432</v>
      </c>
      <c r="C102" s="2371">
        <f ca="1">IF(D32="楼面单价",ROUND(C19,0),C19)</f>
        <v>2460</v>
      </c>
      <c r="D102" s="2372">
        <f ca="1">IF(D32="楼面单价",ROUND(D19,0),D19)</f>
        <v>1823</v>
      </c>
      <c r="E102" s="3329"/>
      <c r="F102" s="3286"/>
      <c r="G102" s="1687" t="s">
        <v>1434</v>
      </c>
      <c r="H102" s="2341">
        <f ca="1">I118</f>
        <v>19258</v>
      </c>
      <c r="I102" s="121"/>
    </row>
    <row r="103" spans="1:35" ht="42.75" customHeight="1">
      <c r="A103" s="3288"/>
      <c r="B103" s="2370" t="s">
        <v>1434</v>
      </c>
      <c r="C103" s="2373">
        <f ca="1">C20</f>
        <v>21484</v>
      </c>
      <c r="D103" s="2374">
        <f ca="1">D20</f>
        <v>15918</v>
      </c>
      <c r="E103" s="3323" t="s">
        <v>1435</v>
      </c>
      <c r="F103" s="3324"/>
      <c r="G103" s="1688" t="s">
        <v>1436</v>
      </c>
      <c r="H103" s="2381">
        <f>IF(D36="正常操作",H104+H105+H106,H105+H106)</f>
        <v>0</v>
      </c>
      <c r="I103" s="121"/>
    </row>
    <row r="104" spans="1:35" ht="18.75" customHeight="1">
      <c r="A104" s="3288" t="s">
        <v>1437</v>
      </c>
      <c r="B104" s="2375" t="s">
        <v>1432</v>
      </c>
      <c r="C104" s="2376">
        <f ca="1">H118</f>
        <v>2205</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19258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2205</v>
      </c>
      <c r="I107" s="121"/>
    </row>
    <row r="108" spans="1:35" ht="18.75" customHeight="1">
      <c r="A108" s="121"/>
      <c r="B108" s="121"/>
      <c r="C108" s="121"/>
      <c r="D108" s="121"/>
      <c r="E108" s="3285"/>
      <c r="F108" s="3286"/>
      <c r="G108" s="1687" t="s">
        <v>1434</v>
      </c>
      <c r="H108" s="2341">
        <f ca="1">IF(H107=H101,H102,ROUND(H107*10000/'数据-汇总表'!E3,0))</f>
        <v>19258</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1144.96</v>
      </c>
      <c r="C118" s="2150">
        <f>M19</f>
        <v>0</v>
      </c>
      <c r="D118" s="2150">
        <f ca="1">ROUND(IF(D32="总价",C34,E118*B118/10000),0)</f>
        <v>1413</v>
      </c>
      <c r="E118" s="2150">
        <f ca="1">ROUND(IF(C33="自定义",IF(D32="楼面单价",C34,D118*10000/B118),I118-G118),0)</f>
        <v>12344</v>
      </c>
      <c r="F118" s="2150">
        <f ca="1">ROUND(IF(D32="总价",C35,G118*B118/10000),0)</f>
        <v>792</v>
      </c>
      <c r="G118" s="2150">
        <f ca="1">ROUND(IF(D32="楼面单价",C35,F118*10000/B118),0)</f>
        <v>6914</v>
      </c>
      <c r="H118" s="2150">
        <f ca="1">ROUND(IF(D32="总价",C32,I118*B118/10000),0)</f>
        <v>2205</v>
      </c>
      <c r="I118" s="2150">
        <f ca="1">ROUND(IF(D32="楼面单价",C32,H118*10000/B118),0)</f>
        <v>19258</v>
      </c>
    </row>
    <row r="119" spans="1:27" ht="18.75" customHeight="1">
      <c r="A119" s="3256" t="s">
        <v>1452</v>
      </c>
      <c r="B119" s="3256"/>
      <c r="C119" s="3256"/>
      <c r="D119" s="3296" t="str">
        <f ca="1">NUMBERSTRING(INT(D118*10000),2)&amp;"元整"</f>
        <v>壹仟肆佰壹拾叁万元整</v>
      </c>
      <c r="E119" s="3298"/>
      <c r="F119" s="3296" t="str">
        <f ca="1">NUMBERSTRING(INT(F118*10000),2)&amp;"元整"</f>
        <v>柒佰玖拾贰万元整</v>
      </c>
      <c r="G119" s="3298"/>
      <c r="H119" s="3296" t="str">
        <f ca="1">NUMBERSTRING(INT(H118*10000),2)&amp;"元整"</f>
        <v>贰仟贰佰零伍万元整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2205</v>
      </c>
      <c r="E122" s="3321"/>
      <c r="F122" s="3321"/>
      <c r="G122" s="3321"/>
      <c r="H122" s="3321"/>
      <c r="I122" s="3322"/>
      <c r="AA122" s="684"/>
    </row>
    <row r="123" spans="1:27" ht="18.75" customHeight="1">
      <c r="A123" s="3256" t="s">
        <v>1452</v>
      </c>
      <c r="B123" s="3256"/>
      <c r="C123" s="3256"/>
      <c r="D123" s="3296" t="str">
        <f ca="1">NUMBERSTRING(INT(D122*10000),2)&amp;"元整"</f>
        <v>贰仟贰佰零伍万元整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496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4332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23</v>
      </c>
      <c r="D10" s="795">
        <f ca="1">IF(B1="",'数据-汇总表'!E6,IF(INDIRECT("'数据-取费表'!c"&amp;$G$1)="住宅",INDIRECT("'数据-取费表'!s"&amp;$G$1),INDIRECT("'数据-取费表'!k"&amp;$G$1)+INDIRECT("'数据-取费表'!s"&amp;$G$1)))</f>
        <v>1144.96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23</v>
      </c>
      <c r="D19" s="204">
        <f ca="1">D9+D10</f>
        <v>1144.96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452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401</v>
      </c>
      <c r="D34" s="209"/>
      <c r="E34" s="212"/>
      <c r="F34" s="249">
        <f ca="1">IF('数据-取费表'!B24=0,1,IF(B1="",'数据-取费表'!N16,INDIRECT("'数据-取费表'!n"&amp;$G$1)))</f>
        <v>1</v>
      </c>
      <c r="G34" s="211" t="s">
        <v>1526</v>
      </c>
    </row>
    <row r="35" spans="1:7" ht="13.5" customHeight="1">
      <c r="A35" s="734" t="s">
        <v>351</v>
      </c>
      <c r="B35" s="207" t="s">
        <v>1527</v>
      </c>
      <c r="C35" s="212">
        <f ca="1">ROUND(C34*F35,0)</f>
        <v>20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23</v>
      </c>
      <c r="D37" s="209">
        <f ca="1">D19</f>
        <v>1144.96</v>
      </c>
      <c r="E37" s="241">
        <f>'数据-取费表'!B35</f>
        <v>200</v>
      </c>
      <c r="F37" s="251"/>
      <c r="G37" s="253" t="s">
        <v>1532</v>
      </c>
    </row>
    <row r="38" spans="1:7" ht="13.5" customHeight="1">
      <c r="A38" s="734"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14</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5.9999999999999995E-4</v>
      </c>
      <c r="D44" s="230"/>
      <c r="E44" s="230"/>
      <c r="F44" s="231"/>
      <c r="G44" s="3338"/>
    </row>
    <row r="45" spans="1:7" s="206" customFormat="1" ht="13.5" customHeight="1">
      <c r="A45" s="247" t="s">
        <v>1547</v>
      </c>
      <c r="B45" s="236" t="s">
        <v>1513</v>
      </c>
      <c r="C45" s="237">
        <f ca="1">C46</f>
        <v>46</v>
      </c>
      <c r="D45" s="227">
        <f ca="1">C47</f>
        <v>2E-3</v>
      </c>
      <c r="E45" s="228" t="s">
        <v>1539</v>
      </c>
      <c r="F45" s="238">
        <f ca="1">F27</f>
        <v>0.1</v>
      </c>
      <c r="G45" s="239" t="s">
        <v>1548</v>
      </c>
    </row>
    <row r="46" spans="1:7" s="206" customFormat="1" ht="13.5" customHeight="1">
      <c r="A46" s="734" t="s">
        <v>346</v>
      </c>
      <c r="B46" s="240" t="s">
        <v>1549</v>
      </c>
      <c r="C46" s="241">
        <f ca="1">ROUND((C33+C39)*F27,0)</f>
        <v>46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564</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468</v>
      </c>
      <c r="D51" s="224"/>
      <c r="E51" s="224"/>
      <c r="F51" s="256"/>
      <c r="G51" s="226" t="s">
        <v>1560</v>
      </c>
    </row>
    <row r="52" spans="1:7" s="200" customFormat="1" ht="16.5" thickBot="1">
      <c r="A52" s="257" t="s">
        <v>1561</v>
      </c>
      <c r="B52" s="258"/>
      <c r="C52" s="259">
        <f ca="1">C31+C51</f>
        <v>496</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526.77179999999998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4601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228992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228992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228992</v>
      </c>
      <c r="D10" s="795">
        <f ca="1">IF(B1="",'数据-汇总表'!E6,IF(INDIRECT("'数据-取费表'!c"&amp;$G$1)="住宅",INDIRECT("'数据-取费表'!s"&amp;$G$1),INDIRECT("'数据-取费表'!k"&amp;$G$1)+INDIRECT("'数据-取费表'!s"&amp;$G$1)))</f>
        <v>1144.96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228992</v>
      </c>
      <c r="D19" s="204">
        <f ca="1">D9+D10</f>
        <v>1144.96</v>
      </c>
      <c r="E19" s="203">
        <f>'数据-取费表'!B31</f>
        <v>200</v>
      </c>
      <c r="F19" s="223"/>
      <c r="G19" s="1714"/>
    </row>
    <row r="20" spans="1:7" s="206" customFormat="1" ht="13.5" customHeight="1">
      <c r="A20" s="247" t="s">
        <v>1574</v>
      </c>
      <c r="B20" s="202" t="s">
        <v>1575</v>
      </c>
      <c r="C20" s="224">
        <f ca="1">ROUND((C5+C19)*F20,0)</f>
        <v>9160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29120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14418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14418</v>
      </c>
      <c r="D24" s="230"/>
      <c r="E24" s="230"/>
      <c r="F24" s="231"/>
      <c r="G24" s="232" t="s">
        <v>1586</v>
      </c>
    </row>
    <row r="25" spans="1:7" s="206" customFormat="1" ht="24">
      <c r="A25" s="734" t="s">
        <v>1476</v>
      </c>
      <c r="B25" s="207" t="s">
        <v>1587</v>
      </c>
      <c r="C25" s="230">
        <f ca="1">ROUND(IF('数据-取费表'!B22&lt;=1,C20*F22*'数据-取费表'!B22/2,C20*(POWER((1+F22),'数据-取费表'!B22/2)-1)),0)</f>
        <v>284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46714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46714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587575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4516867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4007360</v>
      </c>
      <c r="D34" s="209"/>
      <c r="E34" s="212"/>
      <c r="F34" s="249"/>
      <c r="G34" s="211"/>
    </row>
    <row r="35" spans="1:7" ht="13.5" customHeight="1">
      <c r="A35" s="734" t="s">
        <v>351</v>
      </c>
      <c r="B35" s="207" t="s">
        <v>1527</v>
      </c>
      <c r="C35" s="212">
        <f ca="1">ROUND(C34*F35,0)</f>
        <v>200368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228992</v>
      </c>
      <c r="D37" s="209">
        <f ca="1">D19</f>
        <v>1144.96</v>
      </c>
      <c r="E37" s="241">
        <f>'数据-取费表'!B35</f>
        <v>200</v>
      </c>
      <c r="F37" s="251"/>
      <c r="G37" s="253"/>
    </row>
    <row r="38" spans="1:7" ht="13.5" customHeight="1">
      <c r="A38" s="734" t="s">
        <v>354</v>
      </c>
      <c r="B38" s="207" t="s">
        <v>1533</v>
      </c>
      <c r="C38" s="212">
        <f ca="1">ROUND(C34*F38,0)</f>
        <v>80147</v>
      </c>
      <c r="D38" s="212"/>
      <c r="E38" s="212"/>
      <c r="F38" s="251">
        <f>'数据-取费表'!B36</f>
        <v>0.02</v>
      </c>
      <c r="G38" s="211" t="s">
        <v>1528</v>
      </c>
    </row>
    <row r="39" spans="1:7" s="206" customFormat="1" ht="13.5" customHeight="1">
      <c r="A39" s="247" t="s">
        <v>1534</v>
      </c>
      <c r="B39" s="202" t="s">
        <v>1535</v>
      </c>
      <c r="C39" s="224">
        <f ca="1">ROUND(C33*F20,0)</f>
        <v>90337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142823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140023</v>
      </c>
      <c r="D42" s="230"/>
      <c r="E42" s="230"/>
      <c r="F42" s="231"/>
      <c r="G42" s="3336" t="s">
        <v>1591</v>
      </c>
    </row>
    <row r="43" spans="1:7" ht="13.5" customHeight="1">
      <c r="A43" s="734" t="s">
        <v>347</v>
      </c>
      <c r="B43" s="207" t="s">
        <v>1545</v>
      </c>
      <c r="C43" s="230">
        <f ca="1">ROUND(IF('数据-取费表'!B22&lt;=1,C39*F22*'数据-取费表'!B20/2,C39*(POWER((1+F22),'数据-取费表'!B20/2)-1)),0)</f>
        <v>2800</v>
      </c>
      <c r="D43" s="230"/>
      <c r="E43" s="230"/>
      <c r="F43" s="231"/>
      <c r="G43" s="3337"/>
    </row>
    <row r="44" spans="1:7" ht="13.5" customHeight="1">
      <c r="A44" s="734" t="s">
        <v>348</v>
      </c>
      <c r="B44" s="207" t="s">
        <v>1546</v>
      </c>
      <c r="C44" s="230">
        <f ca="1">ROUND(IF('数据-取费表'!B22&lt;=1,C40*F22*'数据-取费表'!B20/2,C40*(POWER((1+F22),'数据-取费表'!B20/2)-1)),4)</f>
        <v>5.9999999999999995E-4</v>
      </c>
      <c r="D44" s="230"/>
      <c r="E44" s="230"/>
      <c r="F44" s="231"/>
      <c r="G44" s="3338"/>
    </row>
    <row r="45" spans="1:7" s="206" customFormat="1" ht="13.5" customHeight="1">
      <c r="A45" s="247" t="s">
        <v>1547</v>
      </c>
      <c r="B45" s="236" t="s">
        <v>1513</v>
      </c>
      <c r="C45" s="237">
        <f ca="1">C46</f>
        <v>460720</v>
      </c>
      <c r="D45" s="227">
        <f ca="1">C47</f>
        <v>2E-3</v>
      </c>
      <c r="E45" s="228" t="s">
        <v>1539</v>
      </c>
      <c r="F45" s="238">
        <f ca="1">F27</f>
        <v>0.1</v>
      </c>
      <c r="G45" s="239" t="s">
        <v>1548</v>
      </c>
    </row>
    <row r="46" spans="1:7" s="206" customFormat="1" ht="13.5" customHeight="1">
      <c r="A46" s="734" t="s">
        <v>346</v>
      </c>
      <c r="B46" s="240" t="s">
        <v>1549</v>
      </c>
      <c r="C46" s="241">
        <f ca="1">ROUND((C33+C39)*F27,0)</f>
        <v>460720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5638726</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4680143</v>
      </c>
      <c r="D51" s="224"/>
      <c r="E51" s="224"/>
      <c r="F51" s="256"/>
      <c r="G51" s="226" t="s">
        <v>1560</v>
      </c>
    </row>
    <row r="52" spans="1:7" s="200" customFormat="1" ht="16.5" thickBot="1">
      <c r="A52" s="257" t="s">
        <v>1561</v>
      </c>
      <c r="B52" s="258"/>
      <c r="C52" s="259">
        <f ca="1">C31+C51</f>
        <v>5267718</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-24</v>
      </c>
      <c r="C2" s="268" t="s">
        <v>1595</v>
      </c>
      <c r="D2" s="268"/>
      <c r="E2" s="2568"/>
      <c r="F2" s="2568"/>
      <c r="G2" s="2568"/>
      <c r="H2" s="2568"/>
      <c r="I2" s="2568"/>
      <c r="J2" s="2568"/>
      <c r="K2" s="2568"/>
    </row>
    <row r="3" spans="1:33" ht="18" customHeight="1" thickBot="1">
      <c r="A3" s="195" t="s">
        <v>1464</v>
      </c>
      <c r="B3" s="196">
        <f ca="1">ROUND(B2*10000/IF(C1="",'数据-汇总表'!E3,INDIRECT("'数据-取费表'!K"&amp;$K$1)),0)</f>
        <v>-210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1144.96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1144.96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23</v>
      </c>
      <c r="D20" s="796">
        <f ca="1">IF(C1="",'数据-汇总表'!E6,IF(INDIRECT("'数据-取费表'!c"&amp;$K$1)="住宅",INDIRECT("'数据-取费表'!s"&amp;$K$1),INDIRECT("'数据-取费表'!k"&amp;$K$1)+INDIRECT("'数据-取费表'!s"&amp;$K$1)))</f>
        <v>1144.96</v>
      </c>
      <c r="E20" s="21">
        <f>'数据-取费表'!B28</f>
        <v>200</v>
      </c>
      <c r="F20" s="756"/>
      <c r="G20" s="12"/>
      <c r="H20" s="761"/>
      <c r="I20" s="761"/>
      <c r="J20" s="761"/>
      <c r="K20" s="762"/>
    </row>
    <row r="21" spans="1:33" s="755" customFormat="1" ht="13.5" customHeight="1">
      <c r="A21" s="744" t="s">
        <v>357</v>
      </c>
      <c r="B21" s="765" t="s">
        <v>1628</v>
      </c>
      <c r="C21" s="766">
        <f ca="1">C16+C17+C18</f>
        <v>23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6" zoomScale="90" zoomScaleNormal="60" zoomScaleSheetLayoutView="90" workbookViewId="0">
      <selection activeCell="N36" sqref="N3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3411</v>
      </c>
      <c r="E1" s="3132" t="s">
        <v>3420</v>
      </c>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2459.8321000000001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21484</v>
      </c>
      <c r="C3" s="344" t="s">
        <v>1768</v>
      </c>
      <c r="D3" s="343">
        <f>IF(D1="",'数据-汇总表'!E3,SUMIF('数据-汇总表'!$C19:$C33,D1,'数据-汇总表'!$E19:$E33))</f>
        <v>1144.96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92" t="s">
        <v>3426</v>
      </c>
      <c r="F5" s="3409"/>
      <c r="G5" s="3493" t="s">
        <v>3426</v>
      </c>
      <c r="H5" s="3402"/>
      <c r="I5" s="3493" t="s">
        <v>3426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f>C7</f>
        <v>45734</v>
      </c>
      <c r="F7" s="357">
        <f>SUMIF(52:52,YEAR(E7)&amp;"-"&amp;MONTH(E7),53:53)</f>
        <v>100</v>
      </c>
      <c r="G7" s="356">
        <f>C7</f>
        <v>45734</v>
      </c>
      <c r="H7" s="355">
        <f>SUMIF(52:52,YEAR(G7)&amp;"-"&amp;MONTH(G7),53:53)</f>
        <v>100</v>
      </c>
      <c r="I7" s="356">
        <f>C7</f>
        <v>45734</v>
      </c>
      <c r="J7" s="355">
        <f>SUMIF(52:52,YEAR(I7)&amp;"-"&amp;MONTH(I7),53:53)</f>
        <v>100</v>
      </c>
      <c r="K7" s="38"/>
      <c r="L7" s="862"/>
      <c r="M7" s="863"/>
      <c r="N7" s="863"/>
      <c r="O7" s="863"/>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t="s">
        <v>3425</v>
      </c>
      <c r="D8" s="355">
        <v>100</v>
      </c>
      <c r="E8" s="358" t="s">
        <v>3422</v>
      </c>
      <c r="F8" s="357">
        <f>SUMIF(55:55,E8,56:56)-SUMIF(55:55,C8,56:56)+100</f>
        <v>103</v>
      </c>
      <c r="G8" s="358" t="s">
        <v>3422</v>
      </c>
      <c r="H8" s="355">
        <f>SUMIF(55:55,G8,56:56)-SUMIF(55:55,C8,56:56)+100</f>
        <v>103</v>
      </c>
      <c r="I8" s="358" t="s">
        <v>3422</v>
      </c>
      <c r="J8" s="355">
        <f>SUMIF(55:55,I8,56:56)-SUMIF(55:55,C8,56:56)+100</f>
        <v>103</v>
      </c>
      <c r="K8" s="38"/>
      <c r="L8" s="862"/>
      <c r="M8" s="863"/>
      <c r="N8" s="863"/>
      <c r="O8" s="863"/>
      <c r="P8" s="3403" t="s">
        <v>1683</v>
      </c>
      <c r="Q8" s="3404"/>
      <c r="R8" s="664" t="s">
        <v>14</v>
      </c>
      <c r="S8" s="665">
        <f t="shared" si="0"/>
        <v>103</v>
      </c>
      <c r="T8" s="664" t="s">
        <v>14</v>
      </c>
      <c r="U8" s="665">
        <f t="shared" si="1"/>
        <v>103</v>
      </c>
      <c r="V8" s="664" t="s">
        <v>14</v>
      </c>
      <c r="W8" s="665">
        <f t="shared" si="2"/>
        <v>103</v>
      </c>
      <c r="X8" s="666"/>
      <c r="Y8" s="3403" t="s">
        <v>1683</v>
      </c>
      <c r="Z8" s="3404"/>
      <c r="AA8" s="50">
        <f t="shared" ref="AA8:AA40" si="3">D8/F8</f>
        <v>0.970873786407767</v>
      </c>
      <c r="AB8" s="50">
        <f t="shared" ref="AB8:AB40" si="4">D8/H8</f>
        <v>0.970873786407767</v>
      </c>
      <c r="AC8" s="50">
        <f t="shared" ref="AC8:AC40" si="5">D8/J8</f>
        <v>0.970873786407767</v>
      </c>
    </row>
    <row r="9" spans="1:29" s="102" customFormat="1" ht="15">
      <c r="A9" s="359" t="s">
        <v>1684</v>
      </c>
      <c r="B9" s="60" t="s">
        <v>1685</v>
      </c>
      <c r="C9" s="3491" t="s">
        <v>3424</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t="s">
        <v>3431</v>
      </c>
      <c r="D29" s="405">
        <v>100</v>
      </c>
      <c r="E29" s="1764" t="s">
        <v>3431</v>
      </c>
      <c r="F29" s="400">
        <f>SUMIF(88:88,E29,89:89)-SUMIF(88:88,C29,89:89)+100</f>
        <v>100</v>
      </c>
      <c r="G29" s="1764" t="s">
        <v>3431</v>
      </c>
      <c r="H29" s="374">
        <f>SUMIF(88:88,G29,89:89)-SUMIF(88:88,C29,89:89)+100</f>
        <v>100</v>
      </c>
      <c r="I29" s="1764" t="s">
        <v>3431</v>
      </c>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f>'数据-基础表'!I13</f>
        <v>1144.96</v>
      </c>
      <c r="D30" s="119">
        <v>100</v>
      </c>
      <c r="E30" s="369">
        <v>2123</v>
      </c>
      <c r="F30" s="364">
        <f>LOOKUP(E30,91:91,92:92)-LOOKUP(C30,91:91,92:92)+100</f>
        <v>99</v>
      </c>
      <c r="G30" s="368">
        <v>2774.15</v>
      </c>
      <c r="H30" s="119">
        <f>LOOKUP(G30,91:91,92:92)-LOOKUP(C30,91:91,92:92)+100</f>
        <v>99</v>
      </c>
      <c r="I30" s="368">
        <v>974.86</v>
      </c>
      <c r="J30" s="119">
        <f>LOOKUP(I30,91:91,92:92)-LOOKUP(C30,91:91,92:92)+100</f>
        <v>101</v>
      </c>
      <c r="K30" s="539"/>
      <c r="L30" s="868"/>
      <c r="M30" s="871"/>
      <c r="N30" s="871"/>
      <c r="O30" s="872"/>
      <c r="P30" s="3375"/>
      <c r="Q30" s="531" t="str">
        <f t="shared" si="11"/>
        <v>项目建筑规模</v>
      </c>
      <c r="R30" s="669" t="s">
        <v>14</v>
      </c>
      <c r="S30" s="670">
        <f t="shared" si="12"/>
        <v>99</v>
      </c>
      <c r="T30" s="669" t="s">
        <v>14</v>
      </c>
      <c r="U30" s="670">
        <f t="shared" si="13"/>
        <v>99</v>
      </c>
      <c r="V30" s="669" t="s">
        <v>14</v>
      </c>
      <c r="W30" s="670">
        <f t="shared" si="14"/>
        <v>101</v>
      </c>
      <c r="X30" s="671"/>
      <c r="Y30" s="3375"/>
      <c r="Z30" s="672" t="str">
        <f t="shared" si="15"/>
        <v>项目建筑规模</v>
      </c>
      <c r="AA30" s="1264">
        <f t="shared" si="3"/>
        <v>1.0101010101010102</v>
      </c>
      <c r="AB30" s="1264">
        <f t="shared" si="4"/>
        <v>1.0101010101010102</v>
      </c>
      <c r="AC30" s="1264">
        <f t="shared" si="5"/>
        <v>0.99009900990099009</v>
      </c>
    </row>
    <row r="31" spans="1:29" ht="15">
      <c r="A31" s="409"/>
      <c r="B31" s="364" t="s">
        <v>1698</v>
      </c>
      <c r="C31" s="399" t="s">
        <v>3417</v>
      </c>
      <c r="D31" s="374">
        <v>100</v>
      </c>
      <c r="E31" s="399" t="s">
        <v>3417</v>
      </c>
      <c r="F31" s="400">
        <f>SUMIF(93:93,E31,94:94)-SUMIF(93:93,C31,94:94)+100</f>
        <v>100</v>
      </c>
      <c r="G31" s="399" t="s">
        <v>3417</v>
      </c>
      <c r="H31" s="374">
        <f>SUMIF(93:93,G31,94:94)-SUMIF(93:93,C31,94:94)+100</f>
        <v>100</v>
      </c>
      <c r="I31" s="399" t="s">
        <v>3417</v>
      </c>
      <c r="J31" s="374">
        <f>SUMIF(93:93,I31,94:94)-SUMIF(93:93,C31,94:94)+100</f>
        <v>100</v>
      </c>
      <c r="K31" s="538">
        <v>2</v>
      </c>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t="s">
        <v>3433</v>
      </c>
      <c r="D32" s="374">
        <v>100</v>
      </c>
      <c r="E32" s="399" t="s">
        <v>3433</v>
      </c>
      <c r="F32" s="400">
        <f>SUMIF(95:95,E32,96:96)-SUMIF(95:95,C32,96:96)+100</f>
        <v>100</v>
      </c>
      <c r="G32" s="399" t="s">
        <v>3433</v>
      </c>
      <c r="H32" s="374">
        <f>SUMIF(95:95,G32,96:96)-SUMIF(95:95,C32,96:96)+100</f>
        <v>100</v>
      </c>
      <c r="I32" s="399" t="s">
        <v>3433</v>
      </c>
      <c r="J32" s="374">
        <f>SUMIF(95:95,I32,96:96)-SUMIF(95:95,C32,96:96)+100</f>
        <v>100</v>
      </c>
      <c r="K32" s="538">
        <v>2</v>
      </c>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11">
        <v>0.8</v>
      </c>
      <c r="D33" s="374">
        <v>100</v>
      </c>
      <c r="E33" s="411">
        <v>0.8</v>
      </c>
      <c r="F33" s="400">
        <f>LOOKUP(E33,98:98,99:99)-LOOKUP(C33,98:98,99:99)+100</f>
        <v>100</v>
      </c>
      <c r="G33" s="411">
        <v>0.8</v>
      </c>
      <c r="H33" s="400">
        <f>LOOKUP(G33,98:98,99:99)-LOOKUP(C33,98:98,99:99)+100</f>
        <v>100</v>
      </c>
      <c r="I33" s="411">
        <v>0.8</v>
      </c>
      <c r="J33" s="374">
        <f>LOOKUP(I33,98:98,99:99)-LOOKUP(C33,98:98,99:99)+100</f>
        <v>100</v>
      </c>
      <c r="K33" s="538">
        <v>2</v>
      </c>
      <c r="L33" s="870"/>
      <c r="M33" s="861"/>
      <c r="N33" s="861"/>
      <c r="O33" s="869"/>
      <c r="P33" s="3375"/>
      <c r="Q33" s="1263" t="str">
        <f t="shared" si="11"/>
        <v>成新度</v>
      </c>
      <c r="R33" s="667" t="s">
        <v>14</v>
      </c>
      <c r="S33" s="668">
        <f t="shared" si="12"/>
        <v>100</v>
      </c>
      <c r="T33" s="667" t="s">
        <v>14</v>
      </c>
      <c r="U33" s="668">
        <f t="shared" si="13"/>
        <v>100</v>
      </c>
      <c r="V33" s="667" t="s">
        <v>14</v>
      </c>
      <c r="W33" s="668">
        <f t="shared" si="14"/>
        <v>100</v>
      </c>
      <c r="X33" s="1265"/>
      <c r="Y33" s="3375"/>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t="s">
        <v>3436</v>
      </c>
      <c r="D36" s="374">
        <v>100</v>
      </c>
      <c r="E36" s="399" t="s">
        <v>3436</v>
      </c>
      <c r="F36" s="400">
        <f>SUMIF(104:104,E36,105:105)-SUMIF(104:104,C36,105:105)+100</f>
        <v>100</v>
      </c>
      <c r="G36" s="399" t="s">
        <v>3436</v>
      </c>
      <c r="H36" s="374">
        <f>SUMIF(104:104,G36,105:105)-SUMIF(104:104,C36,105:105)+100</f>
        <v>100</v>
      </c>
      <c r="I36" s="399" t="s">
        <v>3436</v>
      </c>
      <c r="J36" s="374">
        <f>SUMIF(104:104,I36,105:105)-SUMIF(104:104,C36,105:105)+100</f>
        <v>100</v>
      </c>
      <c r="K36" s="538">
        <v>2</v>
      </c>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t="s">
        <v>3439</v>
      </c>
      <c r="D37" s="374">
        <v>100</v>
      </c>
      <c r="E37" s="542" t="s">
        <v>3439</v>
      </c>
      <c r="F37" s="400">
        <f>SUMIF(106:106,E37,107:107)-SUMIF(106:106,C37,107:107)+100</f>
        <v>100</v>
      </c>
      <c r="G37" s="542" t="s">
        <v>3439</v>
      </c>
      <c r="H37" s="374">
        <f>SUMIF(106:106,G37,107:107)-SUMIF(106:106,C37,107:107)+100</f>
        <v>100</v>
      </c>
      <c r="I37" s="542" t="s">
        <v>3439</v>
      </c>
      <c r="J37" s="374">
        <f>SUMIF(106:106,I37,107:107)-SUMIF(106:106,C37,107:107)+100</f>
        <v>100</v>
      </c>
      <c r="K37" s="538">
        <v>2</v>
      </c>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v>23000</v>
      </c>
      <c r="F41" s="420"/>
      <c r="G41" s="421">
        <v>24000</v>
      </c>
      <c r="H41" s="422"/>
      <c r="I41" s="419">
        <v>19100</v>
      </c>
      <c r="J41" s="422"/>
      <c r="K41" s="674"/>
      <c r="L41" s="873"/>
      <c r="M41" s="861"/>
      <c r="N41" s="861"/>
      <c r="O41" s="861"/>
      <c r="P41" s="3368" t="str">
        <f>A41</f>
        <v>成交单价（元/平方米）</v>
      </c>
      <c r="Q41" s="3368"/>
      <c r="R41" s="3369">
        <f>E41</f>
        <v>23000</v>
      </c>
      <c r="S41" s="3369"/>
      <c r="T41" s="3369">
        <f>G41</f>
        <v>24000</v>
      </c>
      <c r="U41" s="3369"/>
      <c r="V41" s="3369">
        <f>I41</f>
        <v>19100</v>
      </c>
      <c r="W41" s="3369"/>
      <c r="X41" s="385"/>
      <c r="Y41" s="673"/>
      <c r="Z41" s="385"/>
      <c r="AA41" s="385"/>
      <c r="AB41" s="385"/>
      <c r="AC41" s="385"/>
    </row>
    <row r="42" spans="1:29" ht="15.75" thickBot="1">
      <c r="A42" s="423" t="s">
        <v>1793</v>
      </c>
      <c r="B42" s="424"/>
      <c r="C42" s="1082">
        <f>R43</f>
        <v>21484</v>
      </c>
      <c r="D42" s="2141" t="s">
        <v>2138</v>
      </c>
      <c r="E42" s="1083">
        <f>R42</f>
        <v>22556</v>
      </c>
      <c r="F42" s="2142"/>
      <c r="G42" s="1082">
        <f>T42</f>
        <v>23536</v>
      </c>
      <c r="H42" s="2142"/>
      <c r="I42" s="1083">
        <f>V42</f>
        <v>18360</v>
      </c>
      <c r="J42" s="2142"/>
      <c r="K42" s="2144">
        <f>F42+H42+J42</f>
        <v>0</v>
      </c>
      <c r="L42" s="873"/>
      <c r="M42" s="861"/>
      <c r="N42" s="861"/>
      <c r="O42" s="861"/>
      <c r="P42" s="3368" t="str">
        <f>A42</f>
        <v>比较价值（元/平方米）</v>
      </c>
      <c r="Q42" s="3368"/>
      <c r="R42" s="3369">
        <f>IF(F1="售价",ROUND(PRODUCT(R41,AA7:AA40),0),ROUND(PRODUCT(R41,AA7:AA40),1))</f>
        <v>22556</v>
      </c>
      <c r="S42" s="3369"/>
      <c r="T42" s="3369">
        <f>IF(F1="售价",ROUND(PRODUCT(T41,AB7:AB40),0),ROUND(PRODUCT(T41,AB7:AB40),1))</f>
        <v>23536</v>
      </c>
      <c r="U42" s="3369"/>
      <c r="V42" s="3369">
        <f>IF(F1="售价",ROUND(PRODUCT(V41,AC7:AC40),0),ROUND(PRODUCT(V41,AC7:AC40),1))</f>
        <v>18360</v>
      </c>
      <c r="W42" s="3369"/>
      <c r="X42" s="385"/>
      <c r="Y42" s="385"/>
      <c r="Z42" s="385"/>
      <c r="AA42" s="385"/>
      <c r="AB42" s="385"/>
      <c r="AC42" s="385"/>
    </row>
    <row r="43" spans="1:29" ht="15.75" thickBot="1">
      <c r="A43" s="427" t="s">
        <v>1794</v>
      </c>
      <c r="B43" s="428"/>
      <c r="C43" s="351">
        <f>R43</f>
        <v>21484</v>
      </c>
      <c r="D43" s="351"/>
      <c r="E43" s="351"/>
      <c r="F43" s="351"/>
      <c r="G43" s="351"/>
      <c r="H43" s="351"/>
      <c r="I43" s="351"/>
      <c r="J43" s="351"/>
      <c r="K43" s="675"/>
      <c r="L43" s="873"/>
      <c r="M43" s="861"/>
      <c r="N43" s="861"/>
      <c r="O43" s="861"/>
      <c r="P43" s="3365" t="str">
        <f>A43</f>
        <v>估价对象XX用房的比较价值（楼面单价，元/平方米）</v>
      </c>
      <c r="Q43" s="3366"/>
      <c r="R43" s="3367">
        <f>IF(F1="售价",ROUND(IF(D42="简单平均",AVERAGE(R42:V42),R42*F42+T42*H42+V42*J42),0),ROUND(IF(D42="简单平均",AVERAGE(R42:V42),R42*F42+T42*H42+V42*J42),1))</f>
        <v>21484</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1.9684341195247423E-2</v>
      </c>
      <c r="F46" s="435" t="str">
        <f>IF(OR(E46&gt;=0.3,E46&lt;=-0.3),"超过30%","")</f>
        <v/>
      </c>
      <c r="G46" s="434">
        <f>IF(G41&lt;G42,G42/G41-1,G41/G42-1)</f>
        <v>1.971447994561526E-2</v>
      </c>
      <c r="H46" s="435" t="str">
        <f>IF(OR(G46&gt;=0.3,G46&lt;=-0.3),"超过30%","")</f>
        <v/>
      </c>
      <c r="I46" s="434">
        <f>IF(I41&lt;I42,I42/I41-1,I41/I42-1)</f>
        <v>4.0305010893246118E-2</v>
      </c>
      <c r="J46" s="435" t="str">
        <f>IF(OR(I46&gt;=0.3,I46&lt;=-0.3),"超过30%","")</f>
        <v/>
      </c>
      <c r="K46" s="2500"/>
      <c r="L46" s="836"/>
      <c r="M46" s="861"/>
      <c r="N46" s="861"/>
      <c r="O46" s="861"/>
    </row>
    <row r="47" spans="1:29" ht="13.5" customHeight="1">
      <c r="A47" s="2488"/>
      <c r="B47" s="2488"/>
      <c r="C47" s="432" t="s">
        <v>1796</v>
      </c>
      <c r="D47" s="436"/>
      <c r="E47" s="434">
        <f>IF(E42&lt;G42,G42/E42-1,E42/G42-1)</f>
        <v>4.3447419755275662E-2</v>
      </c>
      <c r="F47" s="435" t="str">
        <f>IF(OR(E47&gt;=0.2,E47&lt;=-0.2),"超过20%","")</f>
        <v/>
      </c>
      <c r="G47" s="434">
        <f>IF(G42&lt;I42,I42/G42-1,G42/I42-1)</f>
        <v>0.28191721132897607</v>
      </c>
      <c r="H47" s="435" t="str">
        <f>IF(OR(G47&gt;=0.2,G47&lt;=-0.2),"超过20%","")</f>
        <v>超过20%</v>
      </c>
      <c r="I47" s="434">
        <f>IF(I42&lt;E42,E42/I42-1,I42/E42-1)</f>
        <v>0.22854030501089317</v>
      </c>
      <c r="J47" s="435" t="str">
        <f>IF(OR(I47&gt;=0.2,I47&lt;=-0.2),"超过20%","")</f>
        <v>超过20%</v>
      </c>
      <c r="K47" s="2500"/>
      <c r="L47" s="836"/>
      <c r="M47" s="861"/>
      <c r="N47" s="861"/>
      <c r="O47" s="861"/>
    </row>
    <row r="48" spans="1:29" s="437" customFormat="1" ht="13.5" customHeight="1">
      <c r="A48" s="2498"/>
      <c r="B48" s="2498"/>
      <c r="C48" s="432" t="s">
        <v>1797</v>
      </c>
      <c r="D48" s="436"/>
      <c r="E48" s="434">
        <f>IF(E41&lt;G41,G41/E41-1,E41/G41-1)</f>
        <v>4.3478260869565188E-2</v>
      </c>
      <c r="F48" s="435" t="str">
        <f>IF(OR(E48&gt;=0.3,E48&lt;=-0.3),"超过30%","")</f>
        <v/>
      </c>
      <c r="G48" s="434">
        <f>IF(G41&lt;I41,I41/G41-1,G41/I41-1)</f>
        <v>0.25654450261780104</v>
      </c>
      <c r="H48" s="435" t="str">
        <f>IF(OR(G48&gt;=0.3,G48&lt;=-0.3),"超过30%","")</f>
        <v/>
      </c>
      <c r="I48" s="434">
        <f>IF(I41&lt;E41,E41/I41-1,I41/E41-1)</f>
        <v>0.20418848167539272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490" t="s">
        <v>3423</v>
      </c>
      <c r="E55" s="31"/>
      <c r="F55" s="31"/>
      <c r="G55" s="31"/>
      <c r="H55" s="31"/>
      <c r="I55" s="31"/>
      <c r="J55" s="31"/>
      <c r="K55" s="31"/>
      <c r="L55" s="457"/>
      <c r="M55" s="458"/>
      <c r="N55" s="878"/>
      <c r="O55" s="878"/>
      <c r="P55" s="459"/>
      <c r="Q55" s="439"/>
    </row>
    <row r="56" spans="1:17" s="102" customFormat="1" ht="15.75" thickBot="1">
      <c r="A56" s="455"/>
      <c r="B56" s="444"/>
      <c r="C56" s="563">
        <v>100</v>
      </c>
      <c r="D56" s="446">
        <v>103</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495" t="s">
        <v>3432</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0(含)-500</v>
      </c>
      <c r="D90" s="509" t="str">
        <f t="shared" ref="D90:L90" si="20">D91&amp;"(含)"&amp;"-"&amp;E91</f>
        <v>500(含)-1000</v>
      </c>
      <c r="E90" s="509" t="str">
        <f t="shared" si="20"/>
        <v>1000(含)-2000</v>
      </c>
      <c r="F90" s="509" t="str">
        <f t="shared" si="20"/>
        <v>2000(含)-3000</v>
      </c>
      <c r="G90" s="509" t="str">
        <f t="shared" si="20"/>
        <v>3000(含)-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500</v>
      </c>
      <c r="E91" s="6">
        <v>1000</v>
      </c>
      <c r="F91" s="6">
        <v>2000</v>
      </c>
      <c r="G91" s="6">
        <v>3000</v>
      </c>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v>96</v>
      </c>
      <c r="H92" s="467"/>
      <c r="I92" s="467"/>
      <c r="J92" s="467"/>
      <c r="K92" s="467"/>
      <c r="L92" s="467"/>
      <c r="M92" s="468"/>
      <c r="N92" s="880"/>
      <c r="O92" s="880"/>
      <c r="P92" s="489"/>
      <c r="Q92" s="490"/>
    </row>
    <row r="93" spans="1:17" ht="15" thickTop="1">
      <c r="A93" s="409"/>
      <c r="B93" s="469" t="s">
        <v>1738</v>
      </c>
      <c r="C93" s="3494" t="s">
        <v>3427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98</v>
      </c>
      <c r="E94" s="475">
        <f t="shared" si="21"/>
        <v>96</v>
      </c>
      <c r="F94" s="475">
        <f t="shared" si="21"/>
        <v>94</v>
      </c>
      <c r="G94" s="475">
        <f t="shared" si="21"/>
        <v>92</v>
      </c>
      <c r="H94" s="475">
        <f t="shared" si="21"/>
        <v>90</v>
      </c>
      <c r="I94" s="475">
        <f t="shared" si="21"/>
        <v>88</v>
      </c>
      <c r="J94" s="475">
        <f t="shared" si="21"/>
        <v>86</v>
      </c>
      <c r="K94" s="475">
        <f t="shared" si="21"/>
        <v>84</v>
      </c>
      <c r="L94" s="475">
        <f t="shared" si="21"/>
        <v>82</v>
      </c>
      <c r="M94" s="476">
        <f t="shared" si="21"/>
        <v>80</v>
      </c>
      <c r="N94" s="880"/>
      <c r="O94" s="880"/>
      <c r="P94" s="40"/>
      <c r="Q94" s="439"/>
    </row>
    <row r="95" spans="1:17" ht="15" thickTop="1">
      <c r="A95" s="409"/>
      <c r="B95" s="469" t="s">
        <v>1740</v>
      </c>
      <c r="C95" s="3494" t="s">
        <v>3434</v>
      </c>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102</v>
      </c>
      <c r="E99" s="475">
        <f t="shared" ref="E99:M99" si="23">D99+$K33</f>
        <v>104</v>
      </c>
      <c r="F99" s="475">
        <f t="shared" si="23"/>
        <v>106</v>
      </c>
      <c r="G99" s="475">
        <f t="shared" si="23"/>
        <v>108</v>
      </c>
      <c r="H99" s="475">
        <f t="shared" si="23"/>
        <v>110</v>
      </c>
      <c r="I99" s="475">
        <f t="shared" si="23"/>
        <v>112</v>
      </c>
      <c r="J99" s="475">
        <f t="shared" si="23"/>
        <v>114</v>
      </c>
      <c r="K99" s="475">
        <f t="shared" si="23"/>
        <v>116</v>
      </c>
      <c r="L99" s="475">
        <f t="shared" si="23"/>
        <v>118</v>
      </c>
      <c r="M99" s="475">
        <f t="shared" si="23"/>
        <v>120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3494" t="s">
        <v>3434</v>
      </c>
      <c r="D104" s="3494" t="s">
        <v>3435</v>
      </c>
      <c r="E104" s="3494" t="s">
        <v>3437</v>
      </c>
      <c r="F104" s="3494" t="s">
        <v>3438</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5">
        <f t="shared" si="26"/>
        <v>80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3411</v>
      </c>
      <c r="D1" s="1271" t="s">
        <v>43</v>
      </c>
      <c r="E1" s="1272" t="s">
        <v>678</v>
      </c>
      <c r="F1" s="999">
        <f ca="1">J53</f>
        <v>34.85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1822.5277000000001</v>
      </c>
      <c r="C2" s="1289" t="s">
        <v>879</v>
      </c>
      <c r="D2" s="1375">
        <f ca="1">C40+J29+L46</f>
        <v>18225277</v>
      </c>
      <c r="E2" s="1295" t="s">
        <v>880</v>
      </c>
      <c r="F2" s="1296"/>
      <c r="G2" s="2479"/>
      <c r="H2" s="2469"/>
      <c r="I2" s="2469"/>
      <c r="J2" s="2469"/>
      <c r="K2" s="2470"/>
      <c r="L2" s="2469"/>
      <c r="M2" s="2469"/>
    </row>
    <row r="3" spans="1:37" ht="18" customHeight="1" thickBot="1">
      <c r="A3" s="1297" t="s">
        <v>881</v>
      </c>
      <c r="B3" s="1298">
        <f ca="1">IF(ISERROR(D2/F43),0,ROUND(D2/F43,0))</f>
        <v>15918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1129768</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1128358</v>
      </c>
      <c r="D6" s="147" t="s">
        <v>2106</v>
      </c>
      <c r="E6" s="294" t="s">
        <v>696</v>
      </c>
      <c r="F6" s="295">
        <f ca="1">INDIRECT("'数据-取费表'!u"&amp;$G$1)</f>
        <v>3</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1144.96</v>
      </c>
      <c r="G7" s="1292"/>
      <c r="H7" s="296"/>
      <c r="I7" s="3342"/>
      <c r="J7" s="298"/>
      <c r="K7" s="299"/>
      <c r="L7" s="294" t="s">
        <v>697</v>
      </c>
      <c r="M7" s="295">
        <f ca="1">F7</f>
        <v>1144.96</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1410</v>
      </c>
      <c r="D10" s="150" t="s">
        <v>2116</v>
      </c>
      <c r="E10" s="305" t="s">
        <v>701</v>
      </c>
      <c r="F10" s="1053" t="s">
        <v>3416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4680143</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4007360</v>
      </c>
      <c r="D14" s="1257" t="s">
        <v>708</v>
      </c>
      <c r="E14" s="1255"/>
      <c r="F14" s="311"/>
      <c r="G14" s="1292"/>
      <c r="H14" s="928" t="s">
        <v>398</v>
      </c>
      <c r="I14" s="294" t="s">
        <v>709</v>
      </c>
      <c r="J14" s="21">
        <f ca="1">C29</f>
        <v>5638726</v>
      </c>
      <c r="K14" s="12"/>
      <c r="L14" s="759"/>
      <c r="M14" s="760"/>
    </row>
    <row r="15" spans="1:37" s="1304" customFormat="1" ht="18" customHeight="1" thickBot="1">
      <c r="A15" s="928" t="s">
        <v>399</v>
      </c>
      <c r="B15" s="294" t="s">
        <v>710</v>
      </c>
      <c r="C15" s="21">
        <f ca="1">ROUND(C14*F15,0)</f>
        <v>200368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16916</v>
      </c>
      <c r="K16" s="1024" t="s">
        <v>715</v>
      </c>
      <c r="L16" s="1025"/>
      <c r="M16" s="1009"/>
    </row>
    <row r="17" spans="1:37" s="1304" customFormat="1" ht="18" customHeight="1">
      <c r="A17" s="928" t="s">
        <v>681</v>
      </c>
      <c r="B17" s="294" t="s">
        <v>716</v>
      </c>
      <c r="C17" s="21">
        <f ca="1">ROUND(F17*(F43+INDIRECT("'数据-取费表'!S"&amp;$G$1)),0)</f>
        <v>228992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80147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4516867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90337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16916</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142823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-16916</v>
      </c>
      <c r="K25" s="1032" t="s">
        <v>753</v>
      </c>
      <c r="L25" s="1033"/>
      <c r="M25" s="1034"/>
    </row>
    <row r="26" spans="1:37" ht="18" customHeight="1">
      <c r="A26" s="928" t="s">
        <v>397</v>
      </c>
      <c r="B26" s="294" t="s">
        <v>754</v>
      </c>
      <c r="C26" s="21">
        <f ca="1">ROUND((C19+C20)*F26,0)</f>
        <v>460720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5638726</v>
      </c>
      <c r="D29" s="1029"/>
      <c r="E29" s="1027"/>
      <c r="F29" s="1030"/>
      <c r="G29" s="1303"/>
      <c r="H29" s="325" t="s">
        <v>396</v>
      </c>
      <c r="I29" s="326" t="s">
        <v>768</v>
      </c>
      <c r="J29" s="327">
        <f ca="1">ROUND(J26/(1+F40)^F41,0)</f>
        <v>0</v>
      </c>
      <c r="K29" s="328" t="s">
        <v>769</v>
      </c>
      <c r="L29" s="329"/>
      <c r="M29" s="330">
        <f ca="1">INDIRECT("'数据-取费表'!k"&amp;$G$1)</f>
        <v>1144.96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216379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189134</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60179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128955</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16916</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4680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5649</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913389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18043869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34.85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15759</v>
      </c>
      <c r="D43" s="328" t="s">
        <v>777</v>
      </c>
      <c r="E43" s="329" t="s">
        <v>778</v>
      </c>
      <c r="F43" s="330">
        <f ca="1">INDIRECT("'数据-取费表'!k"&amp;$G$1)</f>
        <v>1144.96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f ca="1">ROUND((C68-C40)/10000,4)</f>
        <v>-1837.5757000000001</v>
      </c>
      <c r="D45" s="3131" t="s">
        <v>3353</v>
      </c>
      <c r="E45" s="1307"/>
      <c r="F45" s="1307"/>
      <c r="O45" s="1310" t="s">
        <v>808</v>
      </c>
      <c r="P45" s="1366"/>
      <c r="Q45" s="1366"/>
      <c r="R45" s="1366"/>
    </row>
    <row r="46" spans="1:18" s="1292" customFormat="1" ht="13.5" thickBot="1">
      <c r="A46" s="1311" t="s">
        <v>809</v>
      </c>
      <c r="C46" s="1312">
        <f ca="1">ROUND(C45,0)</f>
        <v>-1838</v>
      </c>
      <c r="D46" s="1313" t="str">
        <f>C2</f>
        <v>万元</v>
      </c>
      <c r="I46" s="1314" t="s">
        <v>810</v>
      </c>
      <c r="J46" s="1315"/>
      <c r="K46" s="1316"/>
      <c r="L46" s="1317">
        <f ca="1">IF(M47="住宅",0,IF(L48&gt;J51,L60,J60))</f>
        <v>181408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18043869</v>
      </c>
      <c r="R47" s="1327" t="s">
        <v>818</v>
      </c>
    </row>
    <row r="48" spans="1:18" s="1292" customFormat="1" ht="28.5" thickBot="1">
      <c r="A48" s="1047" t="s">
        <v>438</v>
      </c>
      <c r="B48" s="292" t="s">
        <v>692</v>
      </c>
      <c r="C48" s="1268">
        <f ca="1">C49+C53+C55</f>
        <v>0</v>
      </c>
      <c r="D48" s="1049"/>
      <c r="E48" s="1050"/>
      <c r="F48" s="908"/>
      <c r="G48" s="681"/>
      <c r="H48" s="682"/>
      <c r="I48" s="1328" t="s">
        <v>819</v>
      </c>
      <c r="J48" s="1329" t="s">
        <v>3418</v>
      </c>
      <c r="K48" s="1330" t="s">
        <v>820</v>
      </c>
      <c r="L48" s="1331">
        <f ca="1">INDIRECT("'数据-取费表'!f"&amp;$G$1)</f>
        <v>34.85</v>
      </c>
      <c r="O48" s="1325" t="s">
        <v>404</v>
      </c>
      <c r="P48" s="1326" t="s">
        <v>821</v>
      </c>
      <c r="Q48" s="1327">
        <f ca="1">J60</f>
        <v>181408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5638726</v>
      </c>
      <c r="R49" s="1327" t="s">
        <v>818</v>
      </c>
    </row>
    <row r="50" spans="1:18" s="1292" customFormat="1" ht="13.5" thickBot="1">
      <c r="A50" s="922"/>
      <c r="B50" s="925"/>
      <c r="C50" s="926"/>
      <c r="D50" s="899"/>
      <c r="E50" s="993" t="s">
        <v>697</v>
      </c>
      <c r="F50" s="994">
        <f ca="1">F7</f>
        <v>1144.96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10693938</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34.85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34.85</v>
      </c>
      <c r="K53" s="3339" t="s">
        <v>837</v>
      </c>
      <c r="L53" s="3340"/>
      <c r="O53" s="1325" t="s">
        <v>409</v>
      </c>
      <c r="P53" s="1326" t="s">
        <v>838</v>
      </c>
      <c r="Q53" s="1327">
        <f ca="1">Q47+Q48</f>
        <v>18225277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4680143</v>
      </c>
      <c r="D56" s="1352"/>
      <c r="E56" s="1353"/>
      <c r="F56" s="1345"/>
      <c r="I56" s="1354" t="s">
        <v>842</v>
      </c>
      <c r="J56" s="1355" t="s">
        <v>3419</v>
      </c>
      <c r="K56" s="1328" t="s">
        <v>843</v>
      </c>
      <c r="L56" s="1331" t="str">
        <f ca="1">IF(L48&lt;J51,"——",L48-J51)</f>
        <v>——</v>
      </c>
      <c r="O56" s="1325" t="s">
        <v>403</v>
      </c>
      <c r="P56" s="1326" t="s">
        <v>817</v>
      </c>
      <c r="Q56" s="1327">
        <f ca="1">C40+J29</f>
        <v>18043869</v>
      </c>
      <c r="R56" s="1327" t="s">
        <v>818</v>
      </c>
    </row>
    <row r="57" spans="1:18" s="1292" customFormat="1" ht="24.75" thickBot="1">
      <c r="A57" s="1356"/>
      <c r="B57" s="896" t="s">
        <v>767</v>
      </c>
      <c r="C57" s="230">
        <f ca="1">C29</f>
        <v>5638726</v>
      </c>
      <c r="D57" s="1357"/>
      <c r="E57" s="1358"/>
      <c r="F57" s="1359"/>
      <c r="I57" s="1360" t="s">
        <v>844</v>
      </c>
      <c r="J57" s="1361">
        <f ca="1">IF(OR(M47="住宅",J51&lt;L48,J56="是"),"——",J51-L48)</f>
        <v>15.149999999999999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21596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2255490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181408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18043869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16916</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4680</v>
      </c>
      <c r="D65" s="910" t="s">
        <v>743</v>
      </c>
      <c r="E65" s="896" t="s">
        <v>744</v>
      </c>
      <c r="F65" s="321">
        <f t="shared" ca="1" si="0"/>
        <v>1E-3</v>
      </c>
      <c r="I65" s="1367" t="s">
        <v>867</v>
      </c>
      <c r="J65" s="610">
        <v>40</v>
      </c>
      <c r="K65" s="610">
        <v>30</v>
      </c>
      <c r="L65" s="610">
        <v>50</v>
      </c>
      <c r="M65" s="1369">
        <v>0.02</v>
      </c>
      <c r="O65" s="1325" t="s">
        <v>403</v>
      </c>
      <c r="P65" s="1326" t="s">
        <v>868</v>
      </c>
      <c r="Q65" s="1327">
        <f ca="1">C40+J29</f>
        <v>18043869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-21596</v>
      </c>
      <c r="D67" s="909" t="s">
        <v>753</v>
      </c>
      <c r="E67" s="914"/>
      <c r="F67" s="915"/>
      <c r="O67" s="1334" t="s">
        <v>405</v>
      </c>
      <c r="P67" s="1326" t="s">
        <v>850</v>
      </c>
      <c r="Q67" s="1370">
        <f ca="1">L51</f>
        <v>10693938</v>
      </c>
      <c r="R67" s="1327" t="s">
        <v>870</v>
      </c>
    </row>
    <row r="68" spans="1:18" s="1292" customFormat="1" ht="16.5" thickBot="1">
      <c r="A68" s="893" t="s">
        <v>395</v>
      </c>
      <c r="B68" s="894" t="s">
        <v>774</v>
      </c>
      <c r="C68" s="293">
        <f ca="1">ROUND(C67*(1-((1+F70)/(1+F68))^F69)/(F68-F70),0)</f>
        <v>-331888</v>
      </c>
      <c r="D68" s="911" t="s">
        <v>758</v>
      </c>
      <c r="E68" s="896" t="s">
        <v>759</v>
      </c>
      <c r="F68" s="304">
        <f ca="1">F40</f>
        <v>5.5E-2</v>
      </c>
      <c r="O68" s="1334" t="s">
        <v>406</v>
      </c>
      <c r="P68" s="1371" t="s">
        <v>871</v>
      </c>
      <c r="Q68" s="1327">
        <f ca="1">ROUND(Q69-Q70*Q71,0)</f>
        <v>585779</v>
      </c>
      <c r="R68" s="1327" t="s">
        <v>414</v>
      </c>
    </row>
    <row r="69" spans="1:18" s="1292" customFormat="1" ht="13.5" thickBot="1">
      <c r="A69" s="897"/>
      <c r="B69" s="898"/>
      <c r="C69" s="298"/>
      <c r="D69" s="916" t="s">
        <v>762</v>
      </c>
      <c r="E69" s="896" t="s">
        <v>763</v>
      </c>
      <c r="F69" s="324">
        <f ca="1">F41</f>
        <v>34.85</v>
      </c>
      <c r="O69" s="1334" t="s">
        <v>411</v>
      </c>
      <c r="P69" s="1371" t="s">
        <v>872</v>
      </c>
      <c r="Q69" s="1327">
        <f ca="1">C39</f>
        <v>913389</v>
      </c>
      <c r="R69" s="1327" t="s">
        <v>818</v>
      </c>
    </row>
    <row r="70" spans="1:18" s="1292" customFormat="1" ht="13.5" thickBot="1">
      <c r="A70" s="900"/>
      <c r="B70" s="901"/>
      <c r="C70" s="302"/>
      <c r="D70" s="912"/>
      <c r="E70" s="896" t="s">
        <v>766</v>
      </c>
      <c r="F70" s="991"/>
      <c r="O70" s="1334" t="s">
        <v>412</v>
      </c>
      <c r="P70" s="1371" t="s">
        <v>873</v>
      </c>
      <c r="Q70" s="1327">
        <f ca="1">C13</f>
        <v>4680143</v>
      </c>
      <c r="R70" s="1327" t="s">
        <v>818</v>
      </c>
    </row>
    <row r="71" spans="1:18" s="1292" customFormat="1" ht="13.5" thickBot="1">
      <c r="A71" s="917" t="s">
        <v>396</v>
      </c>
      <c r="B71" s="918" t="s">
        <v>776</v>
      </c>
      <c r="C71" s="327">
        <f ca="1">ROUND(C68/F71,0)</f>
        <v>-290</v>
      </c>
      <c r="D71" s="919" t="s">
        <v>777</v>
      </c>
      <c r="E71" s="920" t="s">
        <v>778</v>
      </c>
      <c r="F71" s="330">
        <f ca="1">F43</f>
        <v>1144.96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327610</v>
      </c>
      <c r="D75" s="1292"/>
      <c r="E75" s="1292"/>
      <c r="F75" s="1292"/>
      <c r="K75" s="1309"/>
      <c r="L75" s="1292"/>
      <c r="O75" s="1325" t="s">
        <v>409</v>
      </c>
      <c r="P75" s="1326" t="s">
        <v>838</v>
      </c>
      <c r="Q75" s="1327">
        <f ca="1">Q65+Q66</f>
        <v>18043869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0.64100000000000001</v>
      </c>
    </row>
    <row r="80" spans="1:18">
      <c r="B80" s="331" t="s">
        <v>800</v>
      </c>
      <c r="C80" s="266">
        <f ca="1">ROUND(C75/C39,3)</f>
        <v>0.35899999999999999</v>
      </c>
    </row>
    <row r="81" spans="2:3">
      <c r="B81" s="262" t="s">
        <v>801</v>
      </c>
      <c r="C81" s="230"/>
    </row>
    <row r="82" spans="2:3">
      <c r="B82" s="265" t="s">
        <v>802</v>
      </c>
      <c r="C82" s="267">
        <f ca="1">1-C83</f>
        <v>0.74099999999999999</v>
      </c>
    </row>
    <row r="83" spans="2:3">
      <c r="B83" s="265" t="s">
        <v>803</v>
      </c>
      <c r="C83" s="266">
        <f ca="1">ROUND(C13/C40,3)</f>
        <v>0.25900000000000001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78C0C-6043-49D6-B92E-82846A4B01EF}">
  <sheetPr>
    <tabColor rgb="FFFFFF00"/>
  </sheetPr>
  <dimension ref="A1"/>
  <sheetViews>
    <sheetView topLeftCell="A22" zoomScale="90" zoomScaleNormal="90" workbookViewId="0">
      <selection activeCell="B92" sqref="B92"/>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8" t="s">
        <v>2333</v>
      </c>
      <c r="B6" s="3359"/>
      <c r="C6" s="3360"/>
      <c r="D6" s="2622"/>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1" t="s">
        <v>2353</v>
      </c>
      <c r="C9" s="3362"/>
      <c r="D9" s="2641">
        <f>ROUND(D6*E9,0)</f>
        <v>0</v>
      </c>
      <c r="E9" s="2645"/>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15" customHeight="1">
      <c r="A10" s="2640">
        <v>2</v>
      </c>
      <c r="B10" s="3361" t="s">
        <v>2356</v>
      </c>
      <c r="C10" s="3362"/>
      <c r="D10" s="2641">
        <f>ROUND(D6*E10,0)</f>
        <v>0</v>
      </c>
      <c r="E10" s="2645"/>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15" customHeight="1">
      <c r="A11" s="2640">
        <v>3</v>
      </c>
      <c r="B11" s="3361" t="s">
        <v>2359</v>
      </c>
      <c r="C11" s="3362"/>
      <c r="D11" s="2641">
        <f>D12+D14+D15+D16</f>
        <v>0</v>
      </c>
      <c r="E11" s="2647" t="e">
        <f>D11/D6</f>
        <v>#DIV/0!</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54" t="s">
        <v>2362</v>
      </c>
      <c r="C12" s="3355"/>
      <c r="D12" s="2649">
        <f>ROUND(D13*1.2%*(1-30%),0)</f>
        <v>0</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54" t="s">
        <v>2372</v>
      </c>
      <c r="C15" s="3355"/>
      <c r="D15" s="2649">
        <f>ROUND(D6*E15,0)</f>
        <v>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2384</v>
      </c>
      <c r="C17" s="3357"/>
      <c r="D17" s="2663">
        <f>ROUND(D6*E17,0)</f>
        <v>0</v>
      </c>
      <c r="E17" s="2664"/>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1822.5277000000001</v>
      </c>
      <c r="C2" s="1729" t="s">
        <v>1651</v>
      </c>
      <c r="D2" s="1730" t="s">
        <v>1652</v>
      </c>
      <c r="E2" s="2393">
        <f>SUM(E6:E13)</f>
        <v>1144.96</v>
      </c>
      <c r="F2" s="2480"/>
      <c r="G2" s="459"/>
      <c r="H2" s="459"/>
      <c r="I2" s="459"/>
      <c r="J2" s="459"/>
      <c r="K2" s="459"/>
      <c r="L2" s="459"/>
      <c r="M2" s="459"/>
      <c r="N2" s="459"/>
      <c r="O2" s="459"/>
      <c r="P2" s="459"/>
      <c r="Q2" s="459"/>
      <c r="R2" s="459"/>
      <c r="S2" s="459"/>
    </row>
    <row r="3" spans="1:22" ht="15.75">
      <c r="A3" s="1728" t="s">
        <v>686</v>
      </c>
      <c r="B3" s="2387">
        <f ca="1">ROUND(B2*10000/E2,0)</f>
        <v>15918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1822.5277000000001</v>
      </c>
      <c r="C6" s="1729" t="s">
        <v>1651</v>
      </c>
      <c r="D6" s="2480"/>
      <c r="E6" s="2392">
        <f>IF(OR(A6=0,F6="否"),0,'数据-取费表'!K6+'数据-取费表'!S6)</f>
        <v>1144.96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1144.96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1144.96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估价对象为北京市房地产，为所有。根据《国有土地使用证》[]，估价对象（分摊）出让国有建设用地使用权面积为0平方米，建筑面积为1144.96平方米。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估价对象为北京市房地产,属开发建设的，该项目尚在开发建设中。根据《国有土地使用证》[]，估价对象（分摊）出让国有建设用地使用权面积为0平方米，规划建筑面积为1144.96平方米。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1144.96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368"/>
      <c r="Q10" s="530" t="str">
        <f t="shared" si="6"/>
        <v>土地使用年限（年）</v>
      </c>
      <c r="R10" s="664" t="s">
        <v>14</v>
      </c>
      <c r="S10" s="665">
        <f t="shared" si="0"/>
        <v>112</v>
      </c>
      <c r="T10" s="664" t="s">
        <v>14</v>
      </c>
      <c r="U10" s="665">
        <f t="shared" si="1"/>
        <v>112</v>
      </c>
      <c r="V10" s="664" t="s">
        <v>14</v>
      </c>
      <c r="W10" s="665">
        <f t="shared" si="2"/>
        <v>112</v>
      </c>
      <c r="X10" s="666"/>
      <c r="Y10" s="3243"/>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1144.96</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1144.96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368"/>
      <c r="Q10" s="530" t="str">
        <f t="shared" si="6"/>
        <v>土地使用年限（年）</v>
      </c>
      <c r="R10" s="664" t="s">
        <v>14</v>
      </c>
      <c r="S10" s="665">
        <f t="shared" si="0"/>
        <v>112</v>
      </c>
      <c r="T10" s="664" t="s">
        <v>14</v>
      </c>
      <c r="U10" s="665">
        <f t="shared" si="1"/>
        <v>112</v>
      </c>
      <c r="V10" s="664" t="s">
        <v>14</v>
      </c>
      <c r="W10" s="665">
        <f t="shared" si="2"/>
        <v>112</v>
      </c>
      <c r="X10" s="666"/>
      <c r="Y10" s="3243"/>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1144.96</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N18" sqref="N1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t="e">
        <f>ROUND(IF(F21="与级别开发程度一致",0,(G21-E21)/C21),0)</f>
        <v>#DIV/0!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3.5">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13.5">
      <c r="A85" s="2858">
        <v>13</v>
      </c>
      <c r="B85" s="3462"/>
      <c r="C85" s="2832" t="s">
        <v>2676</v>
      </c>
      <c r="D85" s="2832" t="s">
        <v>2677</v>
      </c>
      <c r="E85" s="2858">
        <v>0.1</v>
      </c>
      <c r="F85" s="2858">
        <v>15</v>
      </c>
    </row>
    <row r="86" spans="1:6" ht="13.5">
      <c r="A86" s="2858">
        <v>14</v>
      </c>
      <c r="B86" s="3462"/>
      <c r="C86" s="2832" t="s">
        <v>2678</v>
      </c>
      <c r="D86" s="2832" t="s">
        <v>2679</v>
      </c>
      <c r="E86" s="2858">
        <v>0.1</v>
      </c>
      <c r="F86" s="2858">
        <v>15</v>
      </c>
    </row>
    <row r="87" spans="1:6" ht="13.5">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3.5">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3.5">
      <c r="A92" s="2858">
        <v>20</v>
      </c>
      <c r="B92" s="3462"/>
      <c r="C92" s="2832" t="s">
        <v>2691</v>
      </c>
      <c r="D92" s="2832" t="s">
        <v>2692</v>
      </c>
      <c r="E92" s="2858">
        <v>0.15</v>
      </c>
      <c r="F92" s="2858">
        <v>20</v>
      </c>
    </row>
    <row r="93" spans="1:6" ht="13.5">
      <c r="A93" s="2858">
        <v>21</v>
      </c>
      <c r="B93" s="3462"/>
      <c r="C93" s="2832" t="s">
        <v>2693</v>
      </c>
      <c r="D93" s="2832" t="s">
        <v>2694</v>
      </c>
      <c r="E93" s="2858">
        <v>0.15</v>
      </c>
      <c r="F93" s="2858">
        <v>20</v>
      </c>
    </row>
    <row r="94" spans="1:6" ht="13.5">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13.5">
      <c r="A96" s="2858">
        <v>24</v>
      </c>
      <c r="B96" s="3462"/>
      <c r="C96" s="2832" t="s">
        <v>2699</v>
      </c>
      <c r="D96" s="2832" t="s">
        <v>2700</v>
      </c>
      <c r="E96" s="2858">
        <v>0.1</v>
      </c>
      <c r="F96" s="2858">
        <v>15</v>
      </c>
    </row>
    <row r="97" spans="1:6" ht="13.5">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13.5">
      <c r="A100" s="2858">
        <v>28</v>
      </c>
      <c r="B100" s="3462"/>
      <c r="C100" s="2832" t="s">
        <v>2707</v>
      </c>
      <c r="D100" s="2832" t="s">
        <v>2708</v>
      </c>
      <c r="E100" s="2858">
        <v>0.1</v>
      </c>
      <c r="F100" s="2858">
        <v>15</v>
      </c>
    </row>
    <row r="101" spans="1:6" ht="13.5">
      <c r="A101" s="2858">
        <v>29</v>
      </c>
      <c r="B101" s="3462"/>
      <c r="C101" s="2832" t="s">
        <v>2709</v>
      </c>
      <c r="D101" s="2832" t="s">
        <v>2710</v>
      </c>
      <c r="E101" s="2858">
        <v>0.1</v>
      </c>
      <c r="F101" s="2858">
        <v>15</v>
      </c>
    </row>
    <row r="102" spans="1:6" ht="13.5">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24">
      <c r="A107" s="2858">
        <v>35</v>
      </c>
      <c r="B107" s="3460" t="s">
        <v>2721</v>
      </c>
      <c r="C107" s="2858" t="s">
        <v>2722</v>
      </c>
      <c r="D107" s="2832" t="s">
        <v>2723</v>
      </c>
      <c r="E107" s="2858">
        <v>0.15</v>
      </c>
      <c r="F107" s="2858">
        <v>20</v>
      </c>
    </row>
    <row r="108" spans="1:6" ht="13.5">
      <c r="A108" s="2858">
        <v>36</v>
      </c>
      <c r="B108" s="3462"/>
      <c r="C108" s="2858" t="s">
        <v>2724</v>
      </c>
      <c r="D108" s="2832" t="s">
        <v>2725</v>
      </c>
      <c r="E108" s="2858">
        <v>0.15</v>
      </c>
      <c r="F108" s="2858">
        <v>20</v>
      </c>
    </row>
    <row r="109" spans="1:6" ht="13.5">
      <c r="A109" s="2858">
        <v>37</v>
      </c>
      <c r="B109" s="3462"/>
      <c r="C109" s="2858" t="s">
        <v>2726</v>
      </c>
      <c r="D109" s="2832" t="s">
        <v>2727</v>
      </c>
      <c r="E109" s="2858">
        <v>0.15</v>
      </c>
      <c r="F109" s="2858">
        <v>20</v>
      </c>
    </row>
    <row r="110" spans="1:6" ht="13.5">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13.5">
      <c r="A113" s="2858">
        <v>41</v>
      </c>
      <c r="B113" s="3459" t="s">
        <v>2734</v>
      </c>
      <c r="C113" s="2858" t="s">
        <v>2735</v>
      </c>
      <c r="D113" s="2832" t="s">
        <v>2736</v>
      </c>
      <c r="E113" s="2858">
        <v>0.1</v>
      </c>
      <c r="F113" s="2858">
        <v>15</v>
      </c>
    </row>
    <row r="114" spans="1:6" ht="13.5">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13.5">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13.5">
      <c r="A120" s="2858">
        <v>48</v>
      </c>
      <c r="B120" s="3460" t="s">
        <v>2751</v>
      </c>
      <c r="C120" s="2858" t="s">
        <v>2752</v>
      </c>
      <c r="D120" s="2832" t="s">
        <v>2753</v>
      </c>
      <c r="E120" s="2858">
        <v>0.1</v>
      </c>
      <c r="F120" s="2858">
        <v>15</v>
      </c>
    </row>
    <row r="121" spans="1:6" ht="13.5">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59" t="s">
        <v>2769</v>
      </c>
      <c r="C127" s="2858" t="s">
        <v>2770</v>
      </c>
      <c r="D127" s="2832" t="s">
        <v>2771</v>
      </c>
      <c r="E127" s="2858">
        <v>0.1</v>
      </c>
      <c r="F127" s="2858">
        <v>15</v>
      </c>
    </row>
    <row r="128" spans="1:6" ht="13.5">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13.5">
      <c r="A131" s="2858">
        <v>59</v>
      </c>
      <c r="B131" s="3459"/>
      <c r="C131" s="2858" t="s">
        <v>2779</v>
      </c>
      <c r="D131" s="2832" t="s">
        <v>2780</v>
      </c>
      <c r="E131" s="2858">
        <v>0.1</v>
      </c>
      <c r="F131" s="2858">
        <v>15</v>
      </c>
    </row>
    <row r="132" spans="1:6" ht="13.5">
      <c r="A132" s="2858">
        <v>60</v>
      </c>
      <c r="B132" s="3460" t="s">
        <v>2781</v>
      </c>
      <c r="C132" s="2858" t="s">
        <v>2782</v>
      </c>
      <c r="D132" s="2832" t="s">
        <v>2783</v>
      </c>
      <c r="E132" s="2858">
        <v>0.1</v>
      </c>
      <c r="F132" s="2858">
        <v>15</v>
      </c>
    </row>
    <row r="133" spans="1:6" ht="13.5">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59" t="s">
        <v>2789</v>
      </c>
      <c r="C135" s="2858" t="s">
        <v>2790</v>
      </c>
      <c r="D135" s="2832" t="s">
        <v>2791</v>
      </c>
      <c r="E135" s="2858">
        <v>0.1</v>
      </c>
      <c r="F135" s="2858">
        <v>15</v>
      </c>
    </row>
    <row r="136" spans="1:6" ht="13.5">
      <c r="A136" s="2858">
        <v>64</v>
      </c>
      <c r="B136" s="345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2205</v>
      </c>
    </row>
    <row r="6" spans="1:5" ht="15.75">
      <c r="B6" s="3156"/>
      <c r="C6" s="1392" t="s">
        <v>911</v>
      </c>
      <c r="D6" s="797" t="str">
        <f ca="1">NUMBERSTRING(INT(D5*10000),2)&amp;"元整"</f>
        <v>贰仟贰佰零伍万元整</v>
      </c>
    </row>
    <row r="7" spans="1:5" ht="15.75">
      <c r="B7" s="3161"/>
      <c r="C7" s="1393" t="s">
        <v>912</v>
      </c>
      <c r="D7" s="798">
        <f ca="1">结果表!H102</f>
        <v>19258</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2205</v>
      </c>
    </row>
    <row r="14" spans="1:5" ht="15.75">
      <c r="B14" s="3156"/>
      <c r="C14" s="1392" t="s">
        <v>911</v>
      </c>
      <c r="D14" s="797" t="str">
        <f ca="1">NUMBERSTRING(INT(D13*10000),2)&amp;"元整"</f>
        <v>贰仟贰佰零伍万元整</v>
      </c>
    </row>
    <row r="15" spans="1:5" ht="15">
      <c r="B15" s="3161"/>
      <c r="C15" s="1393" t="s">
        <v>921</v>
      </c>
      <c r="D15" s="806">
        <f ca="1">结果表!H108</f>
        <v>19258</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26941</v>
      </c>
      <c r="C2" s="2" t="s">
        <v>106</v>
      </c>
      <c r="D2" s="191"/>
      <c r="E2" s="191"/>
      <c r="F2" s="191"/>
      <c r="G2" s="191"/>
    </row>
    <row r="3" spans="1:7" s="192" customFormat="1" ht="18" customHeight="1" thickBot="1">
      <c r="A3" s="195" t="s">
        <v>58</v>
      </c>
      <c r="B3" s="196">
        <f ca="1">ROUND(B2*10000/'数据-汇总表'!E3,0)</f>
        <v>235301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23</v>
      </c>
      <c r="D10" s="795">
        <f>'数据-汇总表'!E6</f>
        <v>1144.96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v>
      </c>
      <c r="D19" s="204">
        <f>'数据-汇总表'!E3</f>
        <v>1144.96</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401</v>
      </c>
      <c r="D34" s="209"/>
      <c r="E34" s="212"/>
      <c r="F34" s="249">
        <f>IF('数据-取费表'!B24=0,1,'数据-取费表'!N16)</f>
        <v>1</v>
      </c>
      <c r="G34" s="211" t="s">
        <v>89</v>
      </c>
    </row>
    <row r="35" spans="1:7" ht="13.5" customHeight="1">
      <c r="A35" s="734" t="s">
        <v>351</v>
      </c>
      <c r="B35" s="207" t="s">
        <v>33</v>
      </c>
      <c r="C35" s="212">
        <f>ROUND(C34*F35,0)</f>
        <v>20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23</v>
      </c>
      <c r="D37" s="209">
        <f>'数据-汇总表'!E3</f>
        <v>1144.96</v>
      </c>
      <c r="E37" s="241">
        <f>'数据-取费表'!B35</f>
        <v>200</v>
      </c>
      <c r="F37" s="251"/>
      <c r="G37" s="253" t="s">
        <v>92</v>
      </c>
    </row>
    <row r="38" spans="1:7" ht="13.5" customHeight="1">
      <c r="A38" s="734" t="s">
        <v>354</v>
      </c>
      <c r="B38" s="207" t="s">
        <v>36</v>
      </c>
      <c r="C38" s="212">
        <f>ROUND(C34*F38,0)</f>
        <v>8</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5.9999999999999995E-4</v>
      </c>
      <c r="D44" s="230"/>
      <c r="E44" s="230"/>
      <c r="F44" s="231"/>
      <c r="G44" s="3338"/>
    </row>
    <row r="45" spans="1:7" s="206" customFormat="1" ht="13.5" customHeight="1">
      <c r="A45" s="731" t="s">
        <v>341</v>
      </c>
      <c r="B45" s="236" t="s">
        <v>85</v>
      </c>
      <c r="C45" s="237">
        <f>C46</f>
        <v>46</v>
      </c>
      <c r="D45" s="227">
        <f>C47</f>
        <v>2E-3</v>
      </c>
      <c r="E45" s="228" t="s">
        <v>102</v>
      </c>
      <c r="F45" s="238"/>
      <c r="G45" s="239" t="s">
        <v>434</v>
      </c>
    </row>
    <row r="46" spans="1:7" s="206" customFormat="1" ht="13.5" customHeight="1">
      <c r="A46" s="734" t="s">
        <v>349</v>
      </c>
      <c r="B46" s="240" t="s">
        <v>427</v>
      </c>
      <c r="C46" s="241">
        <f>ROUND((C33+C39)*F27,0)</f>
        <v>46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564</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468</v>
      </c>
      <c r="D51" s="224"/>
      <c r="E51" s="224"/>
      <c r="F51" s="256"/>
      <c r="G51" s="226" t="s">
        <v>37</v>
      </c>
    </row>
    <row r="52" spans="1:7" s="200" customFormat="1" ht="16.5" thickBot="1">
      <c r="A52" s="257" t="s">
        <v>38</v>
      </c>
      <c r="B52" s="258"/>
      <c r="C52" s="259">
        <f ca="1">C31+C51</f>
        <v>26941</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N18" sqref="N1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3181</v>
      </c>
      <c r="B1" s="347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6" t="s">
        <v>3232</v>
      </c>
      <c r="B1" s="3476"/>
      <c r="C1" s="3476"/>
      <c r="D1" s="3476"/>
      <c r="E1" s="3476"/>
      <c r="F1" s="3477"/>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N18" sqref="N18"/>
    </sheetView>
  </sheetViews>
  <sheetFormatPr defaultRowHeight="13.5"/>
  <cols>
    <col min="1" max="1" width="13.875" customWidth="1"/>
    <col min="11" max="17" width="0" hidden="1" customWidth="1"/>
    <col min="25" max="30" width="0" hidden="1" customWidth="1"/>
  </cols>
  <sheetData>
    <row r="1" spans="1:30">
      <c r="A1" s="2938">
        <f>基准地价修正!G23</f>
        <v>45734</v>
      </c>
      <c r="B1" s="2930" t="s">
        <v>3380</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3383</v>
      </c>
    </row>
    <row r="24" spans="1:30">
      <c r="I24" s="1405" t="s">
        <v>2825</v>
      </c>
    </row>
    <row r="26" spans="1:30" s="2009" customFormat="1" ht="12.75">
      <c r="B26" s="2930" t="s">
        <v>3381</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N18" sqref="N1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N18" sqref="N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45734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1144.96</v>
      </c>
      <c r="C4" s="801">
        <f>项目基本情况!C18</f>
        <v>0</v>
      </c>
      <c r="D4" s="801">
        <f ca="1">结果表!D118</f>
        <v>1413</v>
      </c>
      <c r="E4" s="801">
        <f ca="1">结果表!E118</f>
        <v>12344</v>
      </c>
      <c r="F4" s="801">
        <f ca="1">结果表!F118</f>
        <v>792</v>
      </c>
      <c r="G4" s="801">
        <f ca="1">结果表!G118</f>
        <v>6914</v>
      </c>
      <c r="H4" s="801">
        <f ca="1">结果表!H118</f>
        <v>2205</v>
      </c>
      <c r="I4" s="801">
        <f ca="1">结果表!I118</f>
        <v>19258</v>
      </c>
    </row>
    <row r="5" spans="1:9" ht="30" customHeight="1">
      <c r="A5" s="3168" t="s">
        <v>927</v>
      </c>
      <c r="B5" s="3168"/>
      <c r="C5" s="3168"/>
      <c r="D5" s="3168" t="str">
        <f ca="1">结果表!D119</f>
        <v>壹仟肆佰壹拾叁万元整</v>
      </c>
      <c r="E5" s="3168"/>
      <c r="F5" s="3168" t="str">
        <f ca="1">结果表!F119</f>
        <v>柒佰玖拾贰万元整</v>
      </c>
      <c r="G5" s="3168"/>
      <c r="H5" s="3168" t="str">
        <f ca="1">结果表!H119</f>
        <v>贰仟贰佰零伍万元整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2205</v>
      </c>
      <c r="E8" s="3167"/>
      <c r="F8" s="3167"/>
      <c r="G8" s="3167"/>
      <c r="H8" s="3167"/>
      <c r="I8" s="3167"/>
    </row>
    <row r="9" spans="1:9" ht="15">
      <c r="A9" s="3168" t="s">
        <v>927</v>
      </c>
      <c r="B9" s="3168"/>
      <c r="C9" s="3168"/>
      <c r="D9" s="3168" t="str">
        <f ca="1">结果表!D123</f>
        <v>贰仟贰佰零伍万元整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45733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Sheet1</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2025-03-17T07:57:42Z</dcterms:modified>
</cp:coreProperties>
</file>