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7490" windowHeight="556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收益法 (元)" sheetId="67" r:id="rId24"/>
    <sheet name="基准地价修正" sheetId="43"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合同租金" sheetId="82" r:id="rId31"/>
    <sheet name="租金案例" sheetId="81"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 name="Sheet1" sheetId="83" r:id="rId49"/>
  </sheets>
  <externalReferences>
    <externalReference r:id="rId50"/>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4" i="82" l="1"/>
  <c r="H5" i="82"/>
  <c r="H6" i="82"/>
  <c r="H7" i="82"/>
  <c r="H8" i="82"/>
  <c r="H9" i="82"/>
  <c r="H10" i="82"/>
  <c r="H11" i="82"/>
  <c r="H12" i="82"/>
  <c r="H13" i="82"/>
  <c r="H14" i="82"/>
  <c r="H15" i="82"/>
  <c r="H16" i="82"/>
  <c r="H3" i="82"/>
  <c r="D7" i="80"/>
  <c r="C7" i="80"/>
  <c r="D6" i="80"/>
  <c r="D5" i="80"/>
  <c r="D4" i="80"/>
  <c r="D3" i="80"/>
  <c r="D2" i="80"/>
  <c r="I28" i="80" l="1"/>
  <c r="L19" i="1" l="1"/>
  <c r="C14" i="80"/>
  <c r="A14" i="80"/>
  <c r="E7" i="82"/>
  <c r="E6" i="82"/>
  <c r="E5" i="82"/>
  <c r="E4" i="82"/>
  <c r="B17" i="82"/>
  <c r="B16" i="82"/>
  <c r="B15" i="82"/>
  <c r="B14" i="82"/>
  <c r="B13" i="82"/>
  <c r="B12" i="82"/>
  <c r="B11" i="82"/>
  <c r="B10" i="82"/>
  <c r="B9" i="82"/>
  <c r="B8" i="82"/>
  <c r="B7" i="82"/>
  <c r="B6" i="82"/>
  <c r="B5" i="82"/>
  <c r="L26" i="1"/>
  <c r="L24" i="1"/>
  <c r="E16" i="37" l="1"/>
  <c r="J49" i="67" l="1"/>
  <c r="I13" i="3" l="1"/>
  <c r="F19" i="6" s="1"/>
  <c r="C30" i="37" s="1"/>
  <c r="B7" i="80"/>
  <c r="G90" i="43" l="1"/>
  <c r="G89" i="43"/>
  <c r="G88" i="43"/>
  <c r="G87" i="43"/>
  <c r="G86" i="43"/>
  <c r="G85" i="43"/>
  <c r="G84" i="43"/>
  <c r="G83" i="43"/>
  <c r="B14" i="74"/>
  <c r="B59" i="1"/>
  <c r="J30" i="1"/>
  <c r="J42" i="1" s="1"/>
  <c r="I30" i="1"/>
  <c r="I42" i="1" s="1"/>
  <c r="J40" i="1" l="1"/>
  <c r="J41" i="1"/>
  <c r="I40" i="1"/>
  <c r="I41" i="1"/>
  <c r="L21" i="1" l="1"/>
  <c r="C33" i="37" l="1"/>
  <c r="Y6" i="1"/>
  <c r="I7" i="79"/>
  <c r="E33" i="37" l="1"/>
  <c r="I33" i="37"/>
  <c r="G33" i="37"/>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11" i="1" l="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84" i="34"/>
  <c r="H21" i="34"/>
  <c r="F83" i="33"/>
  <c r="H21" i="33"/>
  <c r="F21" i="33"/>
  <c r="E83" i="21"/>
  <c r="S21" i="21"/>
  <c r="H1" i="69"/>
  <c r="AC25" i="40"/>
  <c r="W25" i="40"/>
  <c r="AB25" i="40"/>
  <c r="U25" i="40"/>
  <c r="U29" i="39"/>
  <c r="W29" i="39"/>
  <c r="AC18" i="36"/>
  <c r="W18" i="36"/>
  <c r="AB21" i="34"/>
  <c r="U21" i="34"/>
  <c r="U21" i="33"/>
  <c r="AB21" i="33"/>
  <c r="AA21" i="33"/>
  <c r="S21" i="33"/>
  <c r="AB18" i="35"/>
  <c r="U18" i="35"/>
  <c r="AC18" i="35"/>
  <c r="W18" i="35"/>
  <c r="G84" i="34"/>
  <c r="J21" i="34"/>
  <c r="G83" i="33"/>
  <c r="J21" i="33"/>
  <c r="F83" i="21"/>
  <c r="H21" i="21"/>
  <c r="F38" i="69"/>
  <c r="E37" i="69"/>
  <c r="F36" i="69"/>
  <c r="F35" i="69"/>
  <c r="F21" i="69"/>
  <c r="F40" i="69" s="1"/>
  <c r="F20" i="69"/>
  <c r="F39" i="69" s="1"/>
  <c r="E10" i="69"/>
  <c r="E9" i="69"/>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A7" i="1"/>
  <c r="B7" i="1" s="1"/>
  <c r="E7" i="1" s="1"/>
  <c r="A8" i="1"/>
  <c r="B8" i="1" s="1"/>
  <c r="E8" i="1" s="1"/>
  <c r="A9" i="1"/>
  <c r="A10" i="1"/>
  <c r="A11" i="1"/>
  <c r="B11" i="1" s="1"/>
  <c r="A12" i="1"/>
  <c r="A13" i="1"/>
  <c r="A6" i="1"/>
  <c r="F3" i="35" s="1"/>
  <c r="B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13" i="1" s="1"/>
  <c r="M13" i="1" s="1"/>
  <c r="O13" i="1" s="1"/>
  <c r="P13" i="1" s="1"/>
  <c r="E20" i="6"/>
  <c r="E21" i="6"/>
  <c r="F23" i="15"/>
  <c r="D24" i="15" s="1"/>
  <c r="E22" i="6"/>
  <c r="K8" i="1" s="1"/>
  <c r="M8"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AA34" i="37" s="1"/>
  <c r="D99" i="37"/>
  <c r="E99" i="37" s="1"/>
  <c r="F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c r="B82" i="37"/>
  <c r="D79" i="37"/>
  <c r="E79" i="37" s="1"/>
  <c r="D75" i="37"/>
  <c r="E75" i="37" s="1"/>
  <c r="D73" i="37"/>
  <c r="E73" i="37" s="1"/>
  <c r="D71"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AB34"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U34" i="37"/>
  <c r="S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s="1"/>
  <c r="F29" i="37"/>
  <c r="S29" i="37" s="1"/>
  <c r="H36" i="37"/>
  <c r="AB36"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6" i="37"/>
  <c r="AA36"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H15" i="37" s="1"/>
  <c r="AB15"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6"/>
  <c r="C46" i="36" s="1"/>
  <c r="D46" i="36" s="1"/>
  <c r="E46" i="36" s="1"/>
  <c r="F46" i="36" s="1"/>
  <c r="G46" i="36" s="1"/>
  <c r="H46" i="36" s="1"/>
  <c r="I46" i="36" s="1"/>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AC11" i="39"/>
  <c r="AZ563" i="3"/>
  <c r="AZ501" i="3"/>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E10" i="1" s="1"/>
  <c r="AZ80" i="3"/>
  <c r="AZ84" i="3"/>
  <c r="AZ88" i="3"/>
  <c r="AZ107" i="3"/>
  <c r="AZ111" i="3"/>
  <c r="K12" i="1"/>
  <c r="M12" i="1" s="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W30" i="37"/>
  <c r="AC35" i="37"/>
  <c r="W39" i="37"/>
  <c r="S30"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3"/>
  <c r="C7" i="40"/>
  <c r="C63" i="40" s="1"/>
  <c r="G23" i="43"/>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W32" i="37"/>
  <c r="S40" i="37"/>
  <c r="U3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8" i="76"/>
  <c r="F40" i="67"/>
  <c r="F38" i="67"/>
  <c r="L48" i="67"/>
  <c r="F37" i="15"/>
  <c r="M9" i="15"/>
  <c r="F26" i="15"/>
  <c r="M28" i="67"/>
  <c r="B12" i="76"/>
  <c r="E10" i="76"/>
  <c r="F5" i="73"/>
  <c r="F4" i="73"/>
  <c r="L48" i="15"/>
  <c r="F26" i="67"/>
  <c r="D6" i="73"/>
  <c r="F6" i="15"/>
  <c r="M22" i="67"/>
  <c r="F42" i="15"/>
  <c r="B7" i="76"/>
  <c r="J15" i="15"/>
  <c r="M8" i="15"/>
  <c r="M23" i="67"/>
  <c r="F8" i="15"/>
  <c r="F43" i="67"/>
  <c r="M23" i="15"/>
  <c r="B13" i="76"/>
  <c r="F6" i="73"/>
  <c r="F7" i="73"/>
  <c r="B10" i="76"/>
  <c r="D5" i="73"/>
  <c r="E2" i="69"/>
  <c r="F3" i="73"/>
  <c r="M6" i="67"/>
  <c r="F16" i="67"/>
  <c r="C76" i="67"/>
  <c r="M26" i="67"/>
  <c r="D7" i="73"/>
  <c r="F8" i="67"/>
  <c r="F43" i="15"/>
  <c r="L47" i="67"/>
  <c r="E13" i="76"/>
  <c r="B11" i="76"/>
  <c r="F6" i="67"/>
  <c r="F13" i="15"/>
  <c r="M24" i="15"/>
  <c r="F9" i="67"/>
  <c r="F42" i="67"/>
  <c r="E7" i="76"/>
  <c r="F7" i="67"/>
  <c r="E11" i="76"/>
  <c r="B8" i="76"/>
  <c r="E2" i="68"/>
  <c r="F37" i="67"/>
  <c r="M6" i="15"/>
  <c r="F16" i="15"/>
  <c r="M22" i="15"/>
  <c r="F20" i="31"/>
  <c r="F13" i="67"/>
  <c r="AO13" i="1"/>
  <c r="F40" i="15"/>
  <c r="F9" i="15"/>
  <c r="E12" i="76"/>
  <c r="E9" i="76"/>
  <c r="M8" i="67"/>
  <c r="M28" i="15"/>
  <c r="F7" i="15"/>
  <c r="M9" i="67"/>
  <c r="M29" i="67"/>
  <c r="D3" i="73"/>
  <c r="D4" i="73"/>
  <c r="F36" i="15"/>
  <c r="C76" i="15"/>
  <c r="M29" i="15"/>
  <c r="J15" i="67"/>
  <c r="F38" i="15"/>
  <c r="M24" i="67"/>
  <c r="L47" i="15"/>
  <c r="M26" i="15"/>
  <c r="F36" i="67"/>
  <c r="B9" i="76"/>
  <c r="AP6" i="1" l="1"/>
  <c r="AA29" i="37"/>
  <c r="U36" i="37"/>
  <c r="AC15" i="37"/>
  <c r="H17" i="37"/>
  <c r="U17" i="37" s="1"/>
  <c r="F73" i="37"/>
  <c r="G73" i="37" s="1"/>
  <c r="J17" i="37"/>
  <c r="W17" i="37" s="1"/>
  <c r="F17" i="37"/>
  <c r="AA17" i="37" s="1"/>
  <c r="H19" i="37"/>
  <c r="F75" i="37"/>
  <c r="G75" i="37" s="1"/>
  <c r="F19" i="37"/>
  <c r="S19" i="37" s="1"/>
  <c r="J19" i="37"/>
  <c r="W19" i="37" s="1"/>
  <c r="F77" i="37"/>
  <c r="G77" i="37" s="1"/>
  <c r="F21" i="37"/>
  <c r="J21" i="37"/>
  <c r="AC21" i="37" s="1"/>
  <c r="H21" i="37"/>
  <c r="H23" i="37"/>
  <c r="F79" i="37"/>
  <c r="G79" i="37" s="1"/>
  <c r="F23" i="37"/>
  <c r="S23" i="37" s="1"/>
  <c r="J23" i="37"/>
  <c r="W23" i="37" s="1"/>
  <c r="AA31" i="37"/>
  <c r="S32" i="37"/>
  <c r="H33" i="37"/>
  <c r="G99" i="37"/>
  <c r="H99" i="37" s="1"/>
  <c r="I99" i="37" s="1"/>
  <c r="J99" i="37" s="1"/>
  <c r="K99" i="37" s="1"/>
  <c r="L99" i="37" s="1"/>
  <c r="M99" i="37" s="1"/>
  <c r="J33" i="37"/>
  <c r="AC33" i="37" s="1"/>
  <c r="F33" i="37"/>
  <c r="AA33" i="37" s="1"/>
  <c r="AC34" i="37"/>
  <c r="F107" i="37"/>
  <c r="G107" i="37" s="1"/>
  <c r="H107" i="37" s="1"/>
  <c r="I107" i="37" s="1"/>
  <c r="J107" i="37" s="1"/>
  <c r="K107" i="37" s="1"/>
  <c r="L107" i="37" s="1"/>
  <c r="M107" i="37" s="1"/>
  <c r="H37" i="37"/>
  <c r="U37" i="37" s="1"/>
  <c r="J37" i="37"/>
  <c r="AC37" i="37" s="1"/>
  <c r="F37" i="37"/>
  <c r="AA37" i="37" s="1"/>
  <c r="W37" i="37"/>
  <c r="AB37" i="37"/>
  <c r="U32" i="37"/>
  <c r="U30" i="37"/>
  <c r="W36" i="37"/>
  <c r="S36" i="37"/>
  <c r="AB35" i="37"/>
  <c r="W38" i="37"/>
  <c r="AA38" i="37"/>
  <c r="AB31" i="37"/>
  <c r="W31" i="37"/>
  <c r="AC19" i="37"/>
  <c r="S17" i="37"/>
  <c r="AC23" i="37"/>
  <c r="AA19" i="37"/>
  <c r="U15" i="37"/>
  <c r="AZ17" i="3"/>
  <c r="H69" i="43"/>
  <c r="H67" i="43"/>
  <c r="F9" i="1"/>
  <c r="G9" i="1" s="1"/>
  <c r="F10" i="1"/>
  <c r="G10" i="1" s="1"/>
  <c r="F8" i="1"/>
  <c r="G8" i="1" s="1"/>
  <c r="G16" i="1" s="1"/>
  <c r="F10" i="39" s="1"/>
  <c r="G6" i="1"/>
  <c r="I24" i="43"/>
  <c r="C24" i="12"/>
  <c r="C21" i="68"/>
  <c r="C40" i="69"/>
  <c r="BA5" i="3"/>
  <c r="G5" i="3"/>
  <c r="B3" i="3" s="1"/>
  <c r="E461" i="3" s="1"/>
  <c r="BL5" i="3"/>
  <c r="G28" i="6"/>
  <c r="F29" i="6"/>
  <c r="E29" i="6" s="1"/>
  <c r="K15" i="1" s="1"/>
  <c r="H50" i="43"/>
  <c r="A118" i="9"/>
  <c r="D19" i="53"/>
  <c r="B38" i="72" s="1"/>
  <c r="D21" i="53"/>
  <c r="B39" i="72" s="1"/>
  <c r="D16" i="53"/>
  <c r="B34" i="72" s="1"/>
  <c r="C28" i="67"/>
  <c r="M47" i="9"/>
  <c r="C7" i="21"/>
  <c r="C7" i="35"/>
  <c r="C48" i="35" s="1"/>
  <c r="D48" i="35"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52" i="3"/>
  <c r="E438" i="3"/>
  <c r="E171" i="3"/>
  <c r="E74" i="3"/>
  <c r="E204" i="3"/>
  <c r="E485" i="3"/>
  <c r="E531" i="3"/>
  <c r="E182" i="3"/>
  <c r="E572" i="3"/>
  <c r="E14" i="6"/>
  <c r="E63" i="39" s="1"/>
  <c r="I4" i="6"/>
  <c r="G3" i="43" s="1"/>
  <c r="F26" i="43" s="1"/>
  <c r="F30" i="6"/>
  <c r="G30" i="6"/>
  <c r="G31" i="6" s="1"/>
  <c r="E28" i="6"/>
  <c r="K14" i="1" s="1"/>
  <c r="L19" i="6"/>
  <c r="L27" i="6" s="1"/>
  <c r="M6" i="1"/>
  <c r="O6" i="1" s="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Q16" i="1"/>
  <c r="E8" i="6"/>
  <c r="F27" i="6" s="1"/>
  <c r="E12" i="6"/>
  <c r="E57" i="40" s="1"/>
  <c r="E217" i="3"/>
  <c r="E526" i="3"/>
  <c r="E268" i="3"/>
  <c r="E322" i="3"/>
  <c r="AJ6" i="3"/>
  <c r="E509"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9"/>
  <c r="C16" i="67"/>
  <c r="F27" i="69"/>
  <c r="C36" i="68"/>
  <c r="D9" i="69"/>
  <c r="D9" i="68"/>
  <c r="C16" i="15"/>
  <c r="G1" i="73"/>
  <c r="AA23" i="37" l="1"/>
  <c r="E273" i="3"/>
  <c r="E28" i="3"/>
  <c r="E345" i="3"/>
  <c r="Z6" i="3"/>
  <c r="E368" i="3"/>
  <c r="E315" i="3"/>
  <c r="E471" i="3"/>
  <c r="E313" i="3"/>
  <c r="S33" i="37"/>
  <c r="S37" i="37"/>
  <c r="AC17" i="37"/>
  <c r="AB17" i="37"/>
  <c r="AB19" i="37"/>
  <c r="U19" i="37"/>
  <c r="W21" i="37"/>
  <c r="U21" i="37"/>
  <c r="AB21" i="37"/>
  <c r="AA21" i="37"/>
  <c r="S21" i="37"/>
  <c r="AB23" i="37"/>
  <c r="U23" i="37"/>
  <c r="AB33" i="37"/>
  <c r="U33" i="37"/>
  <c r="E26" i="43"/>
  <c r="N94" i="46"/>
  <c r="J26" i="43"/>
  <c r="N370" i="46"/>
  <c r="G26" i="43"/>
  <c r="E109" i="3"/>
  <c r="E377" i="3"/>
  <c r="E211" i="3"/>
  <c r="E70" i="3"/>
  <c r="E489" i="3"/>
  <c r="E557" i="3"/>
  <c r="E400" i="3"/>
  <c r="AO6" i="3"/>
  <c r="E327" i="3"/>
  <c r="E89" i="3"/>
  <c r="E227" i="3"/>
  <c r="E362" i="3"/>
  <c r="E214" i="3"/>
  <c r="E54" i="3"/>
  <c r="W6" i="3"/>
  <c r="E529" i="3"/>
  <c r="E157" i="3"/>
  <c r="E13" i="3"/>
  <c r="E253" i="3"/>
  <c r="E453" i="3"/>
  <c r="E85" i="3"/>
  <c r="E314" i="3"/>
  <c r="E511" i="3"/>
  <c r="E99" i="3"/>
  <c r="E45" i="3"/>
  <c r="E193" i="3"/>
  <c r="E519" i="3"/>
  <c r="E573" i="3"/>
  <c r="E458" i="3"/>
  <c r="E527" i="3"/>
  <c r="E457" i="3"/>
  <c r="E562" i="3"/>
  <c r="E571" i="3"/>
  <c r="E450" i="3"/>
  <c r="E433" i="3"/>
  <c r="E72" i="3"/>
  <c r="E111"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K16" i="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68" i="3"/>
  <c r="E475" i="3"/>
  <c r="E537" i="3"/>
  <c r="E288" i="3"/>
  <c r="E474" i="3"/>
  <c r="E532" i="3"/>
  <c r="E224" i="3"/>
  <c r="E306" i="3"/>
  <c r="E136" i="3"/>
  <c r="E122" i="3"/>
  <c r="E203" i="3"/>
  <c r="E146" i="3"/>
  <c r="E73" i="3"/>
  <c r="E106" i="3"/>
  <c r="E55" i="3"/>
  <c r="E454" i="3"/>
  <c r="E496" i="3"/>
  <c r="E468" i="3"/>
  <c r="E429" i="3"/>
  <c r="E577" i="3"/>
  <c r="AE6" i="3"/>
  <c r="E587" i="3"/>
  <c r="E344" i="3"/>
  <c r="E465" i="3"/>
  <c r="E424" i="3"/>
  <c r="E406" i="3"/>
  <c r="E481" i="3"/>
  <c r="E472" i="3"/>
  <c r="E437" i="3"/>
  <c r="E560" i="3"/>
  <c r="Q6" i="3"/>
  <c r="K6" i="3"/>
  <c r="H6" i="3" s="1"/>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446" i="3"/>
  <c r="E18" i="3"/>
  <c r="E79" i="3"/>
  <c r="E96" i="3"/>
  <c r="E38" i="3"/>
  <c r="E78" i="3"/>
  <c r="E100" i="3"/>
  <c r="E129" i="3"/>
  <c r="E170" i="3"/>
  <c r="E190" i="3"/>
  <c r="E174" i="3"/>
  <c r="E220" i="3"/>
  <c r="E275" i="3"/>
  <c r="E235" i="3"/>
  <c r="E324" i="3"/>
  <c r="E383" i="3"/>
  <c r="E342" i="3"/>
  <c r="E522" i="3"/>
  <c r="E52" i="3"/>
  <c r="E36" i="3"/>
  <c r="E112" i="3"/>
  <c r="E123" i="3"/>
  <c r="E147" i="3"/>
  <c r="E289" i="3"/>
  <c r="E340" i="3"/>
  <c r="AF6" i="3"/>
  <c r="E50" i="3"/>
  <c r="E20" i="3"/>
  <c r="E62" i="3"/>
  <c r="E158" i="3"/>
  <c r="E287" i="3"/>
  <c r="E308" i="3"/>
  <c r="E326" i="3"/>
  <c r="E2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21" i="3"/>
  <c r="E137" i="3"/>
  <c r="E194" i="3"/>
  <c r="E234" i="3"/>
  <c r="E219" i="3"/>
  <c r="E299" i="3"/>
  <c r="E339" i="3"/>
  <c r="E325" i="3"/>
  <c r="E392" i="3"/>
  <c r="AQ6" i="3"/>
  <c r="E35" i="3"/>
  <c r="E86" i="3"/>
  <c r="E34" i="3"/>
  <c r="E49" i="3"/>
  <c r="E206" i="3"/>
  <c r="E232" i="3"/>
  <c r="E251" i="3"/>
  <c r="E370" i="3"/>
  <c r="E364" i="3"/>
  <c r="E102" i="3"/>
  <c r="E80" i="3"/>
  <c r="E113" i="3"/>
  <c r="E176" i="3"/>
  <c r="E218" i="3"/>
  <c r="E265" i="3"/>
  <c r="E365" i="3"/>
  <c r="E524" i="3"/>
  <c r="E101" i="3"/>
  <c r="E83" i="3"/>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F5" i="82" l="1"/>
  <c r="F8" i="82"/>
  <c r="F10" i="82"/>
  <c r="F14" i="82"/>
  <c r="F16" i="82"/>
  <c r="F4" i="82"/>
  <c r="F6" i="82"/>
  <c r="F9" i="82"/>
  <c r="F11" i="82"/>
  <c r="F13" i="82"/>
  <c r="F15" i="82"/>
  <c r="F17" i="82"/>
  <c r="F12" i="82"/>
  <c r="F3" i="82"/>
  <c r="F7" i="82"/>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F45" i="68"/>
  <c r="C47" i="68"/>
  <c r="D45" i="68" s="1"/>
  <c r="C29" i="68"/>
  <c r="D27" i="68" s="1"/>
  <c r="K25" i="6"/>
  <c r="K20" i="6"/>
  <c r="K23" i="6"/>
  <c r="K22" i="6"/>
  <c r="E31" i="6"/>
  <c r="K24" i="6"/>
  <c r="K19" i="6"/>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10" i="67"/>
  <c r="C5" i="67" s="1"/>
  <c r="C38" i="67" s="1"/>
  <c r="C53" i="15"/>
  <c r="C48" i="15" s="1"/>
  <c r="C66" i="15" s="1"/>
  <c r="C10" i="15"/>
  <c r="C5" i="15" s="1"/>
  <c r="C38" i="15" s="1"/>
  <c r="F25" i="12"/>
  <c r="F22" i="69"/>
  <c r="F41" i="69" s="1"/>
  <c r="F24" i="67"/>
  <c r="C24" i="67" s="1"/>
  <c r="F22" i="11"/>
  <c r="F22" i="68"/>
  <c r="F24" i="15"/>
  <c r="C24" i="15" s="1"/>
  <c r="F41" i="15"/>
  <c r="M27" i="15"/>
  <c r="F18" i="82" l="1"/>
  <c r="S6" i="1"/>
  <c r="E6" i="70" s="1"/>
  <c r="S13" i="1"/>
  <c r="S8" i="1"/>
  <c r="E8" i="70" s="1"/>
  <c r="P37" i="43"/>
  <c r="M37" i="43"/>
  <c r="Q37" i="43"/>
  <c r="O37" i="43"/>
  <c r="N37" i="43"/>
  <c r="M21" i="6"/>
  <c r="I21" i="6" s="1"/>
  <c r="S21" i="6" s="1"/>
  <c r="C34" i="43"/>
  <c r="E34" i="43" s="1"/>
  <c r="F69" i="15"/>
  <c r="M24" i="6"/>
  <c r="I24" i="6" s="1"/>
  <c r="S24" i="6" s="1"/>
  <c r="S11" i="1"/>
  <c r="E11" i="70" s="1"/>
  <c r="M22" i="6"/>
  <c r="I22" i="6" s="1"/>
  <c r="S22" i="6" s="1"/>
  <c r="S9"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34" i="69"/>
  <c r="C17" i="67"/>
  <c r="C17" i="15"/>
  <c r="C14" i="67"/>
  <c r="D10" i="69"/>
  <c r="D10" i="68"/>
  <c r="M19" i="9" l="1"/>
  <c r="C118" i="9" s="1"/>
  <c r="B2" i="74" s="1"/>
  <c r="D8" i="74" s="1"/>
  <c r="D33" i="43"/>
  <c r="D30" i="6"/>
  <c r="H25" i="6"/>
  <c r="T8" i="1"/>
  <c r="AR8" i="1"/>
  <c r="AQ8" i="1"/>
  <c r="AR13" i="1"/>
  <c r="T13" i="1"/>
  <c r="AQ13" i="1"/>
  <c r="C18" i="67"/>
  <c r="C15" i="67"/>
  <c r="H23" i="6"/>
  <c r="R23" i="6"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22" i="6"/>
  <c r="C15" i="12"/>
  <c r="C12" i="12"/>
  <c r="D27" i="6"/>
  <c r="D7" i="74"/>
  <c r="R21" i="6"/>
  <c r="C10" i="69"/>
  <c r="C8" i="69" s="1"/>
  <c r="D19" i="69"/>
  <c r="F50" i="69"/>
  <c r="F50" i="11"/>
  <c r="F50" i="68"/>
  <c r="C4" i="52"/>
  <c r="B45" i="72" s="1"/>
  <c r="A10" i="51"/>
  <c r="B9" i="72" s="1"/>
  <c r="A7" i="51"/>
  <c r="B7" i="72" s="1"/>
  <c r="R25" i="6"/>
  <c r="C10" i="68"/>
  <c r="C8" i="68" s="1"/>
  <c r="D19" i="68"/>
  <c r="H69" i="39"/>
  <c r="I67" i="39"/>
  <c r="D10" i="71"/>
  <c r="C9" i="71"/>
  <c r="C8" i="71" s="1"/>
  <c r="G65" i="40"/>
  <c r="H63" i="40"/>
  <c r="C43" i="37"/>
  <c r="F49" i="67" s="1"/>
  <c r="C49" i="67" s="1"/>
  <c r="C53" i="67" s="1"/>
  <c r="C48" i="67" s="1"/>
  <c r="C42" i="37"/>
  <c r="I48" i="35"/>
  <c r="C48" i="33"/>
  <c r="C49" i="33"/>
  <c r="H58" i="21"/>
  <c r="E47" i="37"/>
  <c r="F47" i="37" s="1"/>
  <c r="E46" i="37"/>
  <c r="F46" i="37" s="1"/>
  <c r="I47" i="37"/>
  <c r="J47" i="37" s="1"/>
  <c r="E53" i="33"/>
  <c r="F53" i="33" s="1"/>
  <c r="E52" i="33"/>
  <c r="F52" i="33" s="1"/>
  <c r="C33" i="15"/>
  <c r="C22" i="11"/>
  <c r="C31" i="11" s="1"/>
  <c r="C33" i="67"/>
  <c r="J19" i="67"/>
  <c r="C14" i="15"/>
  <c r="AE6" i="1"/>
  <c r="C34" i="68"/>
  <c r="D31" i="6" l="1"/>
  <c r="D1" i="43"/>
  <c r="C6" i="69"/>
  <c r="C7" i="69" s="1"/>
  <c r="E33" i="43"/>
  <c r="C60" i="67"/>
  <c r="C66" i="67"/>
  <c r="AG6" i="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M27" i="67"/>
  <c r="F41" i="67"/>
  <c r="C5" i="69" l="1"/>
  <c r="C23" i="69" s="1"/>
  <c r="C6" i="68"/>
  <c r="C30" i="43"/>
  <c r="F69" i="67"/>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AC7" i="21"/>
  <c r="V48" i="21" s="1"/>
  <c r="I48" i="21" s="1"/>
  <c r="W7" i="21"/>
  <c r="E6" i="76"/>
  <c r="E2" i="76" l="1"/>
  <c r="B2" i="43"/>
  <c r="C20" i="69"/>
  <c r="C28" i="69" s="1"/>
  <c r="C27" i="69" s="1"/>
  <c r="C7" i="68"/>
  <c r="C5" i="68" s="1"/>
  <c r="R13" i="1"/>
  <c r="R12" i="1"/>
  <c r="R7" i="1"/>
  <c r="R10" i="1"/>
  <c r="R9" i="1"/>
  <c r="R8" i="1"/>
  <c r="R11" i="1"/>
  <c r="AA7" i="2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B6" i="76"/>
  <c r="F35" i="15"/>
  <c r="F35" i="67"/>
  <c r="M21" i="15"/>
  <c r="C25" i="69" l="1"/>
  <c r="C22" i="69" s="1"/>
  <c r="C31" i="69" s="1"/>
  <c r="B2" i="76"/>
  <c r="B3" i="76" s="1"/>
  <c r="B3" i="43"/>
  <c r="C23" i="68"/>
  <c r="C20"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C28" i="68" l="1"/>
  <c r="C27" i="68" s="1"/>
  <c r="C25" i="68"/>
  <c r="C22" i="68" s="1"/>
  <c r="C102" i="9"/>
  <c r="C21" i="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0" i="9"/>
  <c r="Q69" i="67" l="1"/>
  <c r="Q68" i="67" s="1"/>
  <c r="H39" i="67"/>
  <c r="C31" i="68"/>
  <c r="C52" i="68" s="1"/>
  <c r="B2" i="68" s="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68"/>
  <c r="C57" i="68" l="1"/>
  <c r="C56"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D2" i="36"/>
  <c r="D19" i="9"/>
  <c r="L51" i="15"/>
  <c r="D102" i="9" l="1"/>
  <c r="D21" i="9"/>
  <c r="D22" i="9"/>
  <c r="G19" i="9"/>
  <c r="G21" i="9"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2" i="1"/>
  <c r="AO10" i="1"/>
  <c r="AO8" i="1"/>
  <c r="AO7" i="1"/>
  <c r="AO9" i="1"/>
  <c r="AO11" i="1"/>
  <c r="D103" i="9" l="1"/>
  <c r="G20" i="9"/>
  <c r="C32" i="9" s="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5" i="9" l="1"/>
  <c r="C34" i="9"/>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B1" i="74" l="1"/>
  <c r="AO6" i="1"/>
  <c r="B6" i="70" l="1"/>
  <c r="B2" i="70" s="1"/>
  <c r="B3" i="70" s="1"/>
  <c r="H118" i="9"/>
  <c r="I118" i="9" s="1"/>
  <c r="C105" i="9" s="1"/>
  <c r="F118" i="9"/>
  <c r="G118" i="9" s="1"/>
  <c r="G4" i="52" s="1"/>
  <c r="B52" i="72" s="1"/>
  <c r="I4" i="52"/>
  <c r="H102" i="9"/>
  <c r="C104" i="9" l="1"/>
  <c r="H119" i="9"/>
  <c r="H5" i="52" s="1"/>
  <c r="H4" i="52"/>
  <c r="H101" i="9"/>
  <c r="E14" i="74"/>
  <c r="D7" i="53"/>
  <c r="B21" i="72" s="1"/>
  <c r="F4" i="52"/>
  <c r="B51" i="72" s="1"/>
  <c r="F119" i="9"/>
  <c r="F5" i="52" s="1"/>
  <c r="B53" i="72" s="1"/>
  <c r="D118" i="9"/>
  <c r="E118" i="9" l="1"/>
  <c r="E4" i="52" s="1"/>
  <c r="B48" i="72" s="1"/>
  <c r="D5" i="53"/>
  <c r="M48" i="9"/>
  <c r="D14" i="74"/>
  <c r="H107" i="9"/>
  <c r="D45" i="9"/>
  <c r="D4" i="52"/>
  <c r="B47" i="72" s="1"/>
  <c r="D119" i="9"/>
  <c r="D5" i="52" s="1"/>
  <c r="B49" i="72" s="1"/>
  <c r="D13" i="53" l="1"/>
  <c r="D122" i="9"/>
  <c r="H108" i="9"/>
  <c r="M49" i="9"/>
  <c r="D52" i="9"/>
  <c r="D55" i="9"/>
  <c r="M53" i="9" s="1"/>
  <c r="D53" i="9"/>
  <c r="C93" i="9"/>
  <c r="C86" i="9" s="1"/>
  <c r="C78" i="9"/>
  <c r="C73" i="9" s="1"/>
  <c r="C85" i="9"/>
  <c r="C72" i="9"/>
  <c r="C79" i="9" s="1"/>
  <c r="C64" i="9"/>
  <c r="C63" i="9" s="1"/>
  <c r="C67" i="9" s="1"/>
  <c r="F14" i="74"/>
  <c r="B5" i="74"/>
  <c r="B20" i="72"/>
  <c r="D6" i="53"/>
  <c r="B22" i="72" s="1"/>
  <c r="C95" i="9" l="1"/>
  <c r="C96" i="9" s="1"/>
  <c r="E96" i="9" s="1"/>
  <c r="E97" i="9" s="1"/>
  <c r="C5" i="74"/>
  <c r="D5" i="74"/>
  <c r="L66" i="9"/>
  <c r="M66" i="9" s="1"/>
  <c r="L68" i="9"/>
  <c r="M68" i="9" s="1"/>
  <c r="L67" i="9"/>
  <c r="M67" i="9" s="1"/>
  <c r="L63" i="9"/>
  <c r="M63" i="9" s="1"/>
  <c r="L64" i="9"/>
  <c r="M64" i="9" s="1"/>
  <c r="L65" i="9"/>
  <c r="M65" i="9" s="1"/>
  <c r="D8" i="52"/>
  <c r="D123" i="9"/>
  <c r="D9" i="52" s="1"/>
  <c r="D59" i="9"/>
  <c r="M55" i="9" s="1"/>
  <c r="C68" i="9"/>
  <c r="D54" i="9" s="1"/>
  <c r="C80" i="9"/>
  <c r="E80" i="9" s="1"/>
  <c r="E81" i="9" s="1"/>
  <c r="D15" i="53"/>
  <c r="B31" i="72" s="1"/>
  <c r="C6" i="74"/>
  <c r="B30" i="72"/>
  <c r="D14" i="53"/>
  <c r="B32" i="72" s="1"/>
  <c r="C97" i="9" l="1"/>
  <c r="D58" i="9" s="1"/>
  <c r="D56" i="9" s="1"/>
  <c r="M54" i="9" s="1"/>
  <c r="N57" i="9" s="1"/>
  <c r="N58" i="9" s="1"/>
  <c r="M69" i="9"/>
  <c r="N69"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<sst xmlns="http://schemas.openxmlformats.org/spreadsheetml/2006/main" count="7970" uniqueCount="3500">
  <si>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</si>
  <si>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</si>
  <si>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</si>
  <si>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</si>
  <si>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</si>
  <si>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</si>
  <si>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</si>
  <si>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</si>
  <si>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</si>
  <si>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</si>
  <si>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</si>
  <si>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</si>
  <si>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</si>
  <si>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</si>
  <si>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</si>
  <si>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</si>
  <si>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</si>
  <si>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</si>
  <si>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</si>
  <si>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</si>
  <si>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</si>
  <si>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</si>
  <si>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</si>
  <si>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</si>
  <si>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</si>
  <si>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</si>
  <si>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</si>
  <si>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</si>
  <si>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</si>
  <si>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</si>
  <si>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</si>
  <si>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</si>
  <si>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</si>
  <si>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</si>
  <si>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</si>
  <si>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</si>
  <si>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</si>
  <si>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</si>
  <si>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</si>
  <si>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</si>
  <si>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</si>
  <si>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</si>
  <si>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</si>
  <si>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</si>
  <si>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</si>
  <si>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</si>
  <si>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</si>
  <si>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</si>
  <si>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</si>
  <si>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</si>
  <si>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</si>
  <si>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</si>
  <si>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</si>
  <si>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</si>
  <si>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</si>
  <si>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</si>
  <si>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</si>
  <si>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</si>
  <si>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</si>
  <si>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</si>
  <si>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</si>
  <si>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</si>
  <si>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</si>
  <si>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</si>
  <si>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</si>
  <si>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</si>
  <si>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</si>
  <si>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</si>
  <si>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</si>
  <si>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</si>
  <si>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</si>
  <si>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</si>
  <si>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</si>
  <si>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</si>
  <si>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</si>
  <si>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</si>
  <si>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</si>
  <si>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</si>
  <si>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</si>
  <si>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</si>
  <si>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</si>
  <si>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</si>
  <si>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</si>
  <si>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</si>
  <si>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</si>
  <si>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</si>
  <si>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</si>
  <si>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</si>
  <si>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</si>
  <si>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</si>
  <si>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</si>
  <si>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</si>
  <si>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</si>
  <si>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</si>
  <si>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</si>
  <si>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</si>
  <si>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</si>
  <si>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</si>
  <si>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</si>
  <si>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</si>
  <si>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</si>
  <si>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</si>
  <si>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</si>
  <si>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</si>
  <si>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</si>
  <si>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</si>
  <si>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</si>
  <si>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</si>
  <si>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</si>
  <si>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</si>
  <si>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</si>
  <si>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</si>
  <si>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</si>
  <si>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</si>
  <si>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</si>
  <si>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</si>
  <si>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</si>
  <si>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</si>
  <si>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</si>
  <si>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</si>
  <si>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</si>
  <si>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</si>
  <si>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</si>
  <si>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</si>
  <si>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</si>
  <si>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</si>
  <si>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</si>
  <si>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</si>
  <si>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</si>
  <si>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</si>
  <si>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</si>
  <si>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</si>
  <si>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</si>
  <si>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</si>
  <si>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</si>
  <si>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</si>
  <si>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</si>
  <si>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</si>
  <si>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</si>
  <si>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</si>
  <si>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</si>
  <si>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</si>
  <si>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</si>
  <si>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</si>
  <si>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</si>
  <si>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</si>
  <si>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</si>
  <si>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</si>
  <si>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</si>
  <si>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</si>
  <si>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</si>
  <si>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</si>
  <si>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</si>
  <si>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</si>
  <si>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</si>
  <si>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</si>
  <si>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</si>
  <si>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</si>
  <si>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</si>
  <si>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</si>
  <si>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</si>
  <si>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</si>
  <si>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</si>
  <si>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</si>
  <si>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</si>
  <si>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</si>
  <si>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</si>
  <si>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</si>
  <si>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</si>
  <si>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</si>
  <si>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</si>
  <si>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</si>
  <si>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</si>
  <si>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</si>
  <si>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</si>
  <si>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</si>
  <si>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</si>
  <si>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</si>
  <si>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</si>
  <si>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</si>
  <si>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</si>
  <si>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</si>
  <si>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</si>
  <si>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</si>
  <si>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</si>
  <si>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</si>
  <si>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</si>
  <si>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</si>
  <si>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</si>
  <si>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</si>
  <si>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</si>
  <si>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</si>
  <si>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</si>
  <si>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</si>
  <si>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</si>
  <si>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</si>
  <si>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</si>
  <si>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</si>
  <si>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</si>
  <si>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</si>
  <si>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</si>
  <si>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</si>
  <si>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</si>
  <si>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</si>
  <si>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</si>
  <si>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</si>
  <si>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</si>
  <si>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</si>
  <si>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</si>
  <si>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</si>
  <si>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</si>
  <si>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</si>
  <si>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</si>
  <si>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</si>
  <si>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</si>
  <si>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</si>
  <si>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</si>
  <si>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</si>
  <si>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</si>
  <si>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</si>
  <si>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</si>
  <si>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</si>
  <si>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</si>
  <si>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</si>
  <si>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</si>
  <si>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</si>
  <si>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</si>
  <si>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</si>
  <si>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</si>
  <si>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</si>
  <si>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</si>
  <si>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</si>
  <si>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</si>
  <si>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</si>
  <si>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</si>
  <si>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</si>
  <si>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</si>
  <si>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</si>
  <si>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</si>
  <si>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</si>
  <si>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</si>
  <si>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</si>
  <si>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</si>
  <si>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</si>
  <si>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</si>
  <si>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</si>
  <si>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</si>
  <si>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</si>
  <si>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</si>
  <si>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</si>
  <si>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</si>
  <si>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</si>
  <si>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</si>
  <si>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</si>
  <si>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</si>
  <si>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</si>
  <si>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</si>
  <si>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</si>
  <si>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</si>
  <si>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</si>
  <si>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</si>
  <si>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</si>
  <si>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</si>
  <si>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</si>
  <si>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</si>
  <si>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</si>
  <si>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</si>
  <si>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</si>
  <si>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</si>
  <si>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</si>
  <si>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</si>
  <si>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</si>
  <si>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</si>
  <si>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</si>
  <si>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</si>
  <si>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</si>
  <si>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</si>
  <si>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</si>
  <si>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</si>
  <si>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</si>
  <si>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</si>
  <si>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</si>
  <si>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</si>
  <si>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</si>
  <si>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</si>
  <si>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</si>
  <si>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</si>
  <si>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</si>
  <si>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</si>
  <si>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</si>
  <si>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</si>
  <si>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</si>
  <si>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</si>
  <si>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</si>
  <si>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</si>
  <si>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</si>
  <si>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</si>
  <si>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</si>
  <si>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</si>
  <si>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</si>
  <si>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</si>
  <si>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</si>
  <si>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</si>
  <si>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</si>
  <si>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</si>
  <si>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</si>
  <si>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</si>
  <si>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</si>
  <si>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</si>
  <si>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</si>
  <si>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</si>
  <si>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</si>
  <si>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</si>
  <si>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</si>
  <si>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</si>
  <si>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</si>
  <si>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</si>
  <si>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</si>
  <si>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</si>
  <si>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</si>
  <si>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</si>
  <si>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</si>
  <si>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</si>
  <si>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</si>
  <si>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</si>
  <si>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</si>
  <si>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</si>
  <si>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</si>
  <si>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</si>
  <si>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</si>
  <si>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</si>
  <si>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</si>
  <si>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</si>
  <si>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</si>
  <si>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</si>
  <si>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</si>
  <si>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</si>
  <si>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</si>
  <si>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</si>
  <si>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</si>
  <si>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</si>
  <si>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</si>
  <si>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</si>
  <si>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</si>
  <si>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</si>
  <si>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</si>
  <si>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</si>
  <si>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</si>
  <si>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</si>
  <si>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</si>
  <si>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</si>
  <si>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</si>
  <si>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</si>
  <si>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</si>
  <si>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</si>
  <si>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</si>
  <si>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</si>
  <si>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</si>
  <si>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</si>
  <si>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</si>
  <si>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</si>
  <si>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</si>
  <si>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</si>
  <si>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</si>
  <si>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</si>
  <si>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</si>
  <si>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</si>
  <si>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</si>
  <si>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</si>
  <si>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</si>
  <si>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</si>
  <si>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</si>
  <si>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</si>
  <si>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</si>
  <si>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</si>
  <si>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</si>
  <si>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</si>
  <si>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</si>
  <si>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</si>
  <si>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</si>
  <si>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</si>
  <si>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</si>
  <si>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</si>
  <si>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</si>
  <si>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</si>
  <si>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</si>
  <si>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</si>
  <si>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</si>
  <si>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</si>
  <si>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</si>
  <si>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</si>
  <si>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</si>
  <si>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</si>
  <si>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</si>
  <si>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</si>
  <si>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</si>
  <si>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</si>
  <si>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</si>
  <si>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</si>
  <si>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</si>
  <si>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</si>
  <si>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</si>
  <si>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</si>
  <si>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</si>
  <si>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</si>
  <si>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</si>
  <si>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</si>
  <si>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</si>
  <si>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</si>
  <si>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</si>
  <si>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</si>
  <si>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</si>
  <si>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</si>
  <si>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</si>
  <si>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</si>
  <si>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</si>
  <si>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</si>
  <si>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</si>
  <si>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</si>
  <si>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</si>
  <si>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</si>
  <si>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</si>
  <si>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</si>
  <si>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</si>
  <si>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</si>
  <si>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</si>
  <si>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</si>
  <si>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</si>
  <si>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</si>
  <si>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</si>
  <si>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</si>
  <si>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</si>
  <si>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</si>
  <si>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</si>
  <si>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</si>
  <si>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</si>
  <si>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</si>
  <si>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</si>
  <si>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</si>
  <si>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</si>
  <si>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</si>
  <si>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</si>
  <si>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</si>
  <si>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</si>
  <si>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</si>
  <si>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</si>
  <si>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</si>
  <si>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</si>
  <si>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</si>
  <si>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</si>
  <si>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</si>
  <si>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</si>
  <si>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</si>
  <si>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</si>
  <si>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</si>
  <si>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</si>
  <si>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</si>
  <si>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</si>
  <si>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</si>
  <si>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</si>
  <si>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</si>
  <si>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</si>
  <si>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</si>
  <si>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</si>
  <si>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</si>
  <si>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</si>
  <si>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</si>
  <si>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</si>
  <si>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</si>
  <si>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</si>
  <si>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</si>
  <si>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</si>
  <si>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</si>
  <si>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</si>
  <si>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</si>
  <si>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</si>
  <si>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</si>
  <si>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</si>
  <si>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</si>
  <si>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</si>
  <si>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</si>
  <si>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</si>
  <si>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</si>
  <si>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</si>
  <si>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</si>
  <si>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</si>
  <si>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</si>
  <si>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</si>
  <si>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</si>
  <si>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</si>
  <si>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</si>
  <si>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</si>
  <si>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</si>
  <si>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</si>
  <si>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</si>
  <si>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</si>
  <si>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</si>
  <si>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</si>
  <si>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</si>
  <si>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</si>
  <si>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</si>
  <si>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</si>
  <si>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</si>
  <si>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</si>
  <si>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</si>
  <si>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</si>
  <si>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</si>
  <si>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</si>
  <si>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</si>
  <si>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</si>
  <si>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</si>
  <si>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</si>
  <si>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</si>
  <si>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</si>
  <si>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</si>
  <si>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</si>
  <si>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</si>
  <si>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</si>
  <si>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</si>
  <si>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</si>
  <si>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</si>
  <si>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</si>
  <si>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</si>
  <si>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</si>
  <si>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</si>
  <si>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</si>
  <si>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</si>
  <si>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</si>
  <si>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</si>
  <si>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</si>
  <si>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</si>
  <si>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</si>
  <si>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</si>
  <si>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</si>
  <si>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</si>
  <si>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</si>
  <si>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</si>
  <si>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</si>
  <si>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</si>
  <si>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</si>
  <si>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</si>
  <si>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</si>
  <si>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</si>
  <si>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</si>
  <si>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</si>
  <si>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</si>
  <si>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</si>
  <si>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</si>
  <si>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</si>
  <si>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</si>
  <si>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</si>
  <si>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</si>
  <si>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</si>
  <si>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</si>
  <si>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</si>
  <si>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</si>
  <si>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</si>
  <si>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</si>
  <si>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</si>
  <si>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</si>
  <si>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</si>
  <si>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</si>
  <si>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</si>
  <si>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</si>
  <si>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</si>
  <si>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</si>
  <si>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</si>
  <si>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</si>
  <si>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</si>
  <si>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</si>
  <si>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</si>
  <si>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</si>
  <si>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</si>
  <si>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</si>
  <si>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</si>
  <si>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</si>
  <si>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</si>
  <si>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</si>
  <si>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</si>
  <si>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</si>
  <si>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</si>
  <si>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</si>
  <si>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</si>
  <si>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</si>
  <si>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</si>
  <si>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</si>
  <si>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</si>
  <si>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</si>
  <si>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</si>
  <si>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</si>
  <si>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</si>
  <si>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</si>
  <si>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</si>
  <si>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</si>
  <si>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</si>
  <si>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</si>
  <si>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</si>
  <si>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</si>
  <si>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</si>
  <si>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</si>
  <si>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</si>
  <si>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</si>
  <si>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</si>
  <si>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</si>
  <si>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</si>
  <si>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</si>
  <si>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</si>
  <si>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</si>
  <si>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</si>
  <si>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</si>
  <si>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</si>
  <si>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</si>
  <si>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</si>
  <si>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</si>
  <si>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</si>
  <si>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</si>
  <si>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</si>
  <si>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</si>
  <si>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</si>
  <si>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</si>
  <si>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</si>
  <si>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</si>
  <si>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</si>
  <si>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</si>
  <si>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</si>
  <si>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</si>
  <si>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</si>
  <si>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</si>
  <si>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</si>
  <si>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</si>
  <si>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</si>
  <si>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</si>
  <si>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</si>
  <si>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</si>
  <si>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</si>
  <si>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</si>
  <si>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</si>
  <si>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</si>
  <si>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</si>
  <si>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</si>
  <si>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</si>
  <si>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</si>
  <si>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</si>
  <si>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</si>
  <si>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</si>
  <si>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</si>
  <si>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</si>
  <si>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</si>
  <si>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</si>
  <si>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</si>
  <si>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</si>
  <si>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</si>
  <si>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</si>
  <si>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</si>
  <si>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</si>
  <si>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</si>
  <si>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</si>
  <si>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</si>
  <si>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</si>
  <si>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</si>
  <si>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</si>
  <si>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</si>
  <si>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</si>
  <si>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</si>
  <si>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</si>
  <si>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</si>
  <si>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</si>
  <si>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</si>
  <si>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</si>
  <si>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</si>
  <si>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</si>
  <si>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</si>
  <si>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</si>
  <si>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</si>
  <si>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</si>
  <si>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</si>
  <si>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</si>
  <si>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</si>
  <si>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</si>
  <si>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</si>
  <si>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</si>
  <si>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</si>
  <si>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</si>
  <si>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</si>
  <si>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</si>
  <si>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</si>
  <si>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</si>
  <si>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</si>
  <si>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</si>
  <si>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</si>
  <si>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</si>
  <si>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</si>
  <si>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</si>
  <si>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</si>
  <si>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</si>
  <si>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</si>
  <si>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</si>
  <si>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</si>
  <si>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</si>
  <si>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</si>
  <si>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</si>
  <si>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</si>
  <si>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</si>
  <si>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</si>
  <si>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</si>
  <si>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</si>
  <si>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</si>
  <si>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</si>
  <si>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</si>
  <si>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</si>
  <si>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</si>
  <si>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</si>
  <si>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</si>
  <si>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</si>
  <si>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</si>
  <si>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</si>
  <si>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</si>
  <si>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</si>
  <si>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</si>
  <si>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</si>
  <si>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</si>
  <si>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</si>
  <si>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</si>
  <si>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</si>
  <si>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</si>
  <si>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</si>
  <si>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</si>
  <si>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</si>
  <si>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</si>
  <si>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</si>
  <si>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</si>
  <si>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</si>
  <si>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</si>
  <si>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</si>
  <si>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</si>
  <si>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</si>
  <si>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</si>
  <si>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</si>
  <si>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</si>
  <si>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</si>
  <si>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</si>
  <si>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</si>
  <si>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</si>
  <si>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</si>
  <si>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</si>
  <si>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</si>
  <si>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</si>
  <si>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</si>
  <si>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</si>
  <si>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</si>
  <si>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</si>
  <si>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</si>
  <si>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</si>
  <si>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</si>
  <si>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</si>
  <si>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</si>
  <si>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</si>
  <si>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</si>
  <si>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</si>
  <si>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</si>
  <si>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</si>
  <si>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</si>
  <si>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</si>
  <si>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</si>
  <si>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</si>
  <si>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</si>
  <si>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</si>
  <si>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</si>
  <si>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</si>
  <si>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</si>
  <si>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</si>
  <si>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</si>
  <si>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</si>
  <si>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</si>
  <si>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</si>
  <si>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</si>
  <si>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</si>
  <si>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</si>
  <si>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</si>
  <si>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</si>
  <si>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</si>
  <si>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</si>
  <si>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</si>
  <si>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</si>
  <si>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</si>
  <si>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</si>
  <si>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</si>
  <si>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</si>
  <si>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</si>
  <si>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</si>
  <si>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</si>
  <si>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</si>
  <si>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</si>
  <si>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</si>
  <si>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</si>
  <si>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</si>
  <si>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</si>
  <si>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</si>
  <si>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</si>
  <si>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</si>
  <si>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</si>
  <si>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</si>
  <si>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</si>
  <si>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</si>
  <si>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</si>
  <si>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</si>
  <si>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</si>
  <si>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</si>
  <si>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</si>
  <si>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</si>
  <si>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</si>
  <si>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</si>
  <si>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</si>
  <si>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</si>
  <si>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</si>
  <si>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</si>
  <si>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</si>
  <si>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</si>
  <si>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</si>
  <si>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</si>
  <si>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</si>
  <si>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</si>
  <si>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</si>
  <si>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</si>
  <si>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</si>
  <si>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</si>
  <si>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</si>
  <si>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</si>
  <si>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</si>
  <si>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</si>
  <si>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</si>
  <si>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</si>
  <si>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</si>
  <si>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</si>
  <si>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</si>
  <si>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</si>
  <si>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</si>
  <si>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</si>
  <si>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</si>
  <si>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</si>
  <si>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</si>
  <si>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</si>
  <si>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</si>
  <si>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</si>
  <si>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</si>
  <si>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</si>
  <si>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</si>
  <si>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</si>
  <si>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</si>
  <si>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</si>
  <si>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</si>
  <si>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</si>
  <si>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</si>
  <si>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</si>
  <si>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</si>
  <si>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</si>
  <si>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</si>
  <si>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</si>
  <si>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</si>
  <si>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</si>
  <si>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</si>
  <si>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</si>
  <si>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</si>
  <si>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</si>
  <si>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</si>
  <si>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</si>
  <si>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</si>
  <si>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</si>
  <si>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</si>
  <si>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</si>
  <si>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</si>
  <si>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</si>
  <si>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</si>
  <si>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</si>
  <si>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</si>
  <si>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</si>
  <si>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</si>
  <si>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</si>
  <si>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</si>
  <si>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</si>
  <si>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</si>
  <si>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</si>
  <si>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</si>
  <si>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</si>
  <si>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</si>
  <si>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</si>
  <si>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</si>
  <si>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</si>
  <si>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</si>
  <si>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</si>
  <si>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</si>
  <si>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</si>
  <si>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</si>
  <si>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</si>
  <si>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</si>
  <si>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</si>
  <si>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</si>
  <si>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</si>
  <si>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</si>
  <si>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</si>
  <si>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</si>
  <si>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</si>
  <si>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</si>
  <si>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</si>
  <si>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</si>
  <si>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</si>
  <si>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</si>
  <si>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</si>
  <si>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</si>
  <si>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</si>
  <si>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</si>
  <si>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</si>
  <si>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</si>
  <si>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</si>
  <si>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</si>
  <si>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</si>
  <si>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</si>
  <si>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</si>
  <si>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</si>
  <si>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</si>
  <si>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</si>
  <si>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</si>
  <si>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</si>
  <si>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</si>
  <si>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</si>
  <si>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</si>
  <si>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</si>
  <si>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</si>
  <si>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</si>
  <si>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</si>
  <si>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</si>
  <si>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</si>
  <si>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</si>
  <si>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</si>
  <si>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</si>
  <si>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</si>
  <si>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</si>
  <si>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</si>
  <si>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</si>
  <si>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</si>
  <si>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</si>
  <si>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</si>
  <si>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</si>
  <si>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</si>
  <si>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</si>
  <si>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</si>
  <si>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</si>
  <si>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</si>
  <si>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</si>
  <si>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</si>
  <si>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</si>
  <si>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</si>
  <si>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</si>
  <si>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</si>
  <si>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</si>
  <si>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</si>
  <si>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</si>
  <si>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</si>
  <si>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</si>
  <si>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</si>
  <si>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</si>
  <si>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</si>
  <si>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</si>
  <si>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</si>
  <si>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</si>
  <si>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</si>
  <si>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</si>
  <si>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</si>
  <si>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</si>
  <si>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</si>
  <si>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</si>
  <si>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</si>
  <si>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</si>
  <si>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</si>
  <si>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</si>
  <si>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</si>
  <si>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</si>
  <si>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</si>
  <si>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</si>
  <si>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</si>
  <si>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</si>
  <si>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</si>
  <si>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</si>
  <si>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</si>
  <si>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</si>
  <si>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</si>
  <si>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</si>
  <si>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</si>
  <si>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</si>
  <si>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</si>
  <si>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</si>
  <si>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</si>
  <si>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</si>
  <si>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</si>
  <si>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</si>
  <si>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</si>
  <si>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</si>
  <si>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</si>
  <si>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</si>
  <si>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</si>
  <si>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</si>
  <si>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</si>
  <si>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</si>
  <si>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</si>
  <si>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</si>
  <si>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</si>
  <si>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</si>
  <si>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</si>
  <si>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</si>
  <si>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</si>
  <si>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</si>
  <si>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</si>
  <si>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</si>
  <si>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</si>
  <si>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</si>
  <si>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</si>
  <si>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</si>
  <si>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</si>
  <si>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</si>
  <si>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</si>
  <si>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</si>
  <si>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</si>
  <si>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</si>
  <si>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</si>
  <si>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</si>
  <si>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</si>
  <si>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</si>
  <si>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</si>
  <si>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</si>
  <si>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</si>
  <si>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</si>
  <si>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</si>
  <si>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</si>
  <si>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</si>
  <si>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</si>
  <si>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</si>
  <si>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</si>
  <si>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</si>
  <si>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</si>
  <si>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</si>
  <si>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</si>
  <si>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</si>
  <si>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</si>
  <si>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</si>
  <si>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</si>
  <si>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</si>
  <si>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</si>
  <si>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</si>
  <si>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</si>
  <si>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</si>
  <si>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</si>
  <si>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</si>
  <si>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</si>
  <si>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</si>
  <si>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</si>
  <si>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</si>
  <si>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</si>
  <si>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</si>
  <si>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</si>
  <si>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</si>
  <si>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</si>
  <si>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</si>
  <si>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</si>
  <si>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</si>
  <si>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</si>
  <si>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</si>
  <si>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</si>
  <si>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</si>
  <si>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</si>
  <si>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</si>
  <si>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</si>
  <si>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</si>
  <si>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</si>
  <si>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</si>
  <si>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</si>
  <si>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</si>
  <si>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</si>
  <si>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</si>
  <si>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</si>
  <si>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</si>
  <si>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</si>
  <si>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</si>
  <si>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</si>
  <si>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</si>
  <si>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</si>
  <si>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</si>
  <si>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</si>
  <si>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</si>
  <si>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</si>
  <si>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</si>
  <si>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</si>
  <si>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</si>
  <si>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</si>
  <si>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</si>
  <si>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</si>
  <si>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</si>
  <si>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</si>
  <si>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</si>
  <si>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</si>
  <si>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</si>
  <si>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</si>
  <si>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</si>
  <si>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</si>
  <si>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</si>
  <si>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</si>
  <si>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</si>
  <si>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</si>
  <si>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</si>
  <si>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</si>
  <si>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</si>
  <si>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</si>
  <si>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</si>
  <si>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</si>
  <si>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</si>
  <si>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</si>
  <si>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</si>
  <si>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</si>
  <si>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</si>
  <si>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</si>
  <si>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</si>
  <si>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</si>
  <si>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</si>
  <si>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</si>
  <si>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</si>
  <si>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</si>
  <si>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</si>
  <si>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</si>
  <si>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</si>
  <si>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</si>
  <si>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</si>
  <si>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</si>
  <si>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</si>
  <si>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</si>
  <si>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</si>
  <si>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</si>
  <si>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</si>
  <si>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</si>
  <si>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</si>
  <si>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</si>
  <si>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</si>
  <si>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</si>
  <si>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</si>
  <si>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</si>
  <si>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</si>
  <si>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</si>
  <si>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</si>
  <si>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</si>
  <si>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</si>
  <si>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</si>
  <si>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</si>
  <si>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</si>
  <si>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</si>
  <si>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</si>
  <si>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</si>
  <si>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</si>
  <si>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</si>
  <si>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</si>
  <si>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</si>
  <si>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</si>
  <si>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</si>
  <si>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</si>
  <si>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</si>
  <si>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</si>
  <si>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</si>
  <si>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</si>
  <si>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</si>
  <si>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</si>
  <si>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</si>
  <si>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</si>
  <si>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</si>
  <si>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</si>
  <si>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</si>
  <si>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</si>
  <si>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</si>
  <si>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</si>
  <si>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</si>
  <si>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</si>
  <si>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</si>
  <si>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</si>
  <si>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</si>
  <si>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</si>
  <si>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</si>
  <si>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</si>
  <si>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</si>
  <si>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</si>
  <si>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</si>
  <si>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</si>
  <si>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</si>
  <si>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</si>
  <si>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</si>
  <si>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</si>
  <si>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</si>
  <si>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</si>
  <si>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</si>
  <si>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</si>
  <si>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</si>
  <si>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</si>
  <si>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</si>
  <si>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</si>
  <si>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</si>
  <si>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</si>
  <si>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</si>
  <si>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</si>
  <si>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</si>
  <si>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</si>
  <si>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</si>
  <si>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</si>
  <si>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</si>
  <si>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</si>
  <si>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</si>
  <si>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</si>
  <si>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</si>
  <si>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</si>
  <si>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</si>
  <si>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</si>
  <si>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</si>
  <si>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</si>
  <si>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</si>
  <si>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</si>
  <si>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</si>
  <si>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</si>
  <si>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</si>
  <si>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</si>
  <si>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</si>
  <si>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</si>
  <si>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</si>
  <si>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</si>
  <si>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</si>
  <si>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</si>
  <si>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</si>
  <si>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</si>
  <si>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</si>
  <si>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</si>
  <si>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</si>
  <si>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</si>
  <si>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</si>
  <si>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</si>
  <si>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</si>
  <si>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</si>
  <si>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</si>
  <si>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</si>
  <si>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</si>
  <si>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</si>
  <si>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</si>
  <si>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</si>
  <si>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</si>
  <si>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</si>
  <si>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</si>
  <si>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</si>
  <si>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</si>
  <si>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</si>
  <si>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</si>
  <si>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</si>
  <si>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</si>
  <si>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</si>
  <si>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</si>
  <si>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</si>
  <si>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</si>
  <si>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</si>
  <si>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</si>
  <si>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</si>
  <si>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</si>
  <si>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</si>
  <si>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</si>
  <si>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</si>
  <si>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</si>
  <si>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</si>
  <si>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</si>
  <si>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</si>
  <si>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</si>
  <si>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</si>
  <si>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</si>
  <si>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</si>
  <si>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</si>
  <si>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</si>
  <si>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</si>
  <si>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</si>
  <si>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</si>
  <si>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</si>
  <si>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</si>
  <si>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</si>
  <si>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</si>
  <si>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</si>
  <si>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</si>
  <si>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</si>
  <si>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</si>
  <si>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</si>
  <si>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</si>
  <si>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</si>
  <si>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</si>
  <si>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</si>
  <si>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</si>
  <si>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</si>
  <si>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</si>
  <si>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</si>
  <si>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</si>
  <si>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</si>
  <si>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</si>
  <si>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</si>
  <si>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</si>
  <si>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</si>
  <si>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</si>
  <si>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</si>
  <si>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</si>
  <si>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</si>
  <si>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</si>
  <si>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</si>
  <si>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</si>
  <si>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</si>
  <si>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</si>
  <si>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</si>
  <si>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</si>
  <si>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</si>
  <si>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</si>
  <si>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</si>
  <si>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</si>
  <si>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</si>
  <si>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</si>
  <si>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</si>
  <si>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</si>
  <si>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</si>
  <si>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</si>
  <si>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</si>
  <si>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</si>
  <si>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</si>
  <si>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</si>
  <si>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</si>
  <si>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</si>
  <si>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</si>
  <si>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</si>
  <si>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</si>
  <si>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</si>
  <si>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</si>
  <si>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</si>
  <si>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</si>
  <si>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</si>
  <si>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</si>
  <si>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</si>
  <si>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</si>
  <si>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</si>
  <si>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</si>
  <si>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</si>
  <si>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</si>
  <si>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</si>
  <si>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</si>
  <si>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</si>
  <si>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</si>
  <si>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</si>
  <si>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</si>
  <si>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</si>
  <si>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</si>
  <si>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</si>
  <si>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</si>
  <si>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</si>
  <si>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</si>
  <si>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</si>
  <si>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</si>
  <si>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</si>
  <si>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</si>
  <si>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</si>
  <si>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</si>
  <si>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</si>
  <si>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</si>
  <si>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</si>
  <si>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</si>
  <si>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</si>
  <si>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</si>
  <si>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</si>
  <si>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</si>
  <si>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</si>
  <si>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</si>
  <si>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</si>
  <si>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</si>
  <si>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</si>
  <si>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</si>
  <si>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</si>
  <si>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</si>
  <si>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</si>
  <si>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</si>
  <si>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</si>
  <si>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</si>
  <si>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</si>
  <si>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</si>
  <si>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</si>
  <si>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</si>
  <si>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</si>
  <si>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</si>
  <si>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</si>
  <si>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</si>
  <si>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</si>
  <si>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</si>
  <si>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</si>
  <si>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</si>
  <si>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</si>
  <si>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</si>
  <si>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</si>
  <si>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</si>
  <si>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</si>
  <si>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</si>
  <si>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</si>
  <si>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</si>
  <si>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</si>
  <si>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</si>
  <si>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</si>
  <si>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</si>
  <si>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</si>
  <si>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</si>
  <si>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</si>
  <si>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</si>
  <si>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</si>
  <si>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</si>
  <si>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</si>
  <si>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</si>
  <si>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</si>
  <si>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</si>
  <si>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</si>
  <si>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</si>
  <si>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</si>
  <si>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</si>
  <si>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</si>
  <si>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</si>
  <si>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</si>
  <si>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</si>
  <si>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</si>
  <si>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</si>
  <si>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</si>
  <si>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</si>
  <si>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</si>
  <si>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</si>
  <si>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</si>
  <si>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</si>
  <si>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</si>
  <si>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</si>
  <si>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</si>
  <si>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</si>
  <si>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</si>
  <si>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</si>
  <si>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</si>
  <si>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</si>
  <si>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</si>
  <si>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</si>
  <si>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</si>
  <si>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</si>
  <si>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</si>
  <si>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</si>
  <si>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</si>
  <si>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</si>
  <si>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</si>
  <si>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</si>
  <si>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</si>
  <si>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</si>
  <si>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</si>
  <si>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</si>
  <si>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</si>
  <si>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</si>
  <si>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</si>
  <si>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</si>
  <si>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</si>
  <si>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</si>
  <si>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</si>
  <si>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</si>
  <si>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</si>
  <si>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</si>
  <si>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</si>
  <si>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</si>
  <si>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</si>
  <si>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</si>
  <si>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</si>
  <si>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</si>
  <si>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</si>
  <si>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</si>
  <si>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</si>
  <si>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</si>
  <si>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</si>
  <si>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</si>
  <si>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</si>
  <si>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</si>
  <si>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</si>
  <si>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</si>
  <si>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</si>
  <si>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</si>
  <si>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</si>
  <si>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</si>
  <si>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</si>
  <si>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</si>
  <si>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</si>
  <si>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</si>
  <si>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</si>
  <si>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</si>
  <si>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</si>
  <si>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</si>
  <si>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</si>
  <si>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</si>
  <si>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</si>
  <si>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</si>
  <si>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</si>
  <si>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</si>
  <si>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</si>
  <si>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</si>
  <si>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</si>
  <si>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</si>
  <si>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</si>
  <si>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</si>
  <si>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</si>
  <si>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</si>
  <si>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</si>
  <si>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</si>
  <si>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</si>
  <si>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</si>
  <si>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</si>
  <si>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</si>
  <si>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</si>
  <si>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</si>
  <si>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</si>
  <si>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</si>
  <si>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</si>
  <si>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</si>
  <si>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</si>
  <si>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</si>
  <si>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</si>
  <si>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</si>
  <si>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</si>
  <si>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</si>
  <si>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</si>
  <si>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</si>
  <si>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</si>
  <si>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</si>
  <si>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</si>
  <si>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</si>
  <si>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</si>
  <si>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</si>
  <si>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</si>
  <si>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</si>
  <si>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</si>
  <si>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</si>
  <si>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</si>
  <si>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</si>
  <si>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</si>
  <si>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</si>
  <si>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</si>
  <si>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</si>
  <si>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</si>
  <si>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</si>
  <si>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</si>
  <si>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</si>
  <si>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</si>
  <si>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</si>
  <si>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</si>
  <si>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</si>
  <si>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</si>
  <si>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</si>
  <si>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</si>
  <si>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</si>
  <si>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</si>
  <si>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</si>
  <si>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</si>
  <si>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</si>
  <si>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</si>
  <si>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</si>
  <si>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</si>
  <si>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</si>
  <si>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</si>
  <si>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</si>
  <si>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</si>
  <si>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</si>
  <si>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</si>
  <si>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</si>
  <si>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</si>
  <si>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</si>
  <si>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</si>
  <si>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</si>
  <si>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</si>
  <si>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</si>
  <si>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</si>
  <si>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</si>
  <si>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</si>
  <si>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</si>
  <si>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</si>
  <si>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</si>
  <si>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</si>
  <si>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</si>
  <si>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</si>
  <si>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</si>
  <si>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</si>
  <si>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</si>
  <si>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</si>
  <si>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</si>
  <si>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</si>
  <si>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</si>
  <si>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</si>
  <si>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</si>
  <si>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</si>
  <si>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</si>
  <si>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</si>
  <si>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</si>
  <si>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</si>
  <si>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</si>
  <si>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</si>
  <si>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</si>
  <si>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</si>
  <si>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</si>
  <si>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</si>
  <si>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</si>
  <si>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</si>
  <si>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</si>
  <si>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</si>
  <si>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</si>
  <si>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</si>
  <si>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</si>
  <si>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</si>
  <si>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</si>
  <si>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</si>
  <si>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</si>
  <si>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</si>
  <si>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</si>
  <si>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</si>
  <si>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</si>
  <si>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</si>
  <si>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</si>
  <si>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</si>
  <si>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</si>
  <si>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</si>
  <si>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</si>
  <si>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</si>
  <si>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</si>
  <si>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</si>
  <si>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</si>
  <si>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</si>
  <si>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</si>
  <si>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</si>
  <si>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</si>
  <si>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</si>
  <si>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</si>
  <si>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</si>
  <si>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</si>
  <si>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</si>
  <si>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</si>
  <si>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</si>
  <si>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</si>
  <si>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</si>
  <si>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</si>
  <si>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</si>
  <si>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</si>
  <si>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</si>
  <si>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</si>
  <si>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</si>
  <si>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</si>
  <si>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</si>
  <si>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</si>
  <si>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</si>
  <si>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</si>
  <si>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</si>
  <si>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</si>
  <si>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</si>
  <si>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</si>
  <si>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</si>
  <si>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</si>
  <si>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</si>
  <si>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</si>
  <si>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</si>
  <si>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</si>
  <si>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</si>
  <si>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</si>
  <si>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</si>
  <si>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</si>
  <si>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</si>
  <si>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</si>
  <si>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</si>
  <si>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</si>
  <si>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</si>
  <si>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</si>
  <si>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</si>
  <si>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</si>
  <si>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</si>
  <si>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</si>
  <si>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</si>
  <si>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</si>
  <si>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</si>
  <si>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</si>
  <si>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</si>
  <si>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</si>
  <si>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</si>
  <si>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</si>
  <si>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</si>
  <si>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</si>
  <si>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</si>
  <si>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</si>
  <si>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</si>
  <si>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</si>
  <si>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</si>
  <si>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</si>
  <si>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</si>
  <si>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</si>
  <si>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</si>
  <si>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</si>
  <si>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</si>
  <si>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</si>
  <si>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</si>
  <si>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</si>
  <si>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</si>
  <si>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</si>
  <si>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</si>
  <si>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</si>
  <si>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</si>
  <si>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</si>
  <si>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</si>
  <si>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</si>
  <si>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</si>
  <si>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</si>
  <si>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</si>
  <si>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</si>
  <si>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</si>
  <si>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</si>
  <si>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</si>
  <si>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</si>
  <si>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</si>
  <si>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</si>
  <si>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</si>
  <si>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</si>
  <si>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</si>
  <si>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</si>
  <si>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</si>
  <si>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</si>
  <si>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</si>
  <si>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</si>
  <si>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</si>
  <si>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</si>
  <si>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</si>
  <si>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</si>
  <si>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</si>
  <si>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</si>
  <si>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</si>
  <si>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</si>
  <si>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</si>
  <si>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</si>
  <si>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</si>
  <si>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</si>
  <si>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</si>
  <si>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</si>
  <si>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</si>
  <si>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</si>
  <si>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</si>
  <si>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</si>
  <si>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</si>
  <si>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</si>
  <si>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</si>
  <si>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</si>
  <si>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</si>
  <si>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</si>
  <si>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</si>
  <si>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</si>
  <si>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</si>
  <si>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</si>
  <si>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</si>
  <si>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</si>
  <si>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</si>
  <si>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</si>
  <si>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</si>
  <si>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</si>
  <si>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</si>
  <si>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</si>
  <si>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</si>
  <si>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</si>
  <si>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</si>
  <si>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</si>
  <si>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</si>
  <si>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</si>
  <si>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</si>
  <si>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</si>
  <si>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</si>
  <si>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</si>
  <si>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</si>
  <si>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</si>
  <si>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</si>
  <si>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</si>
  <si>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</si>
  <si>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</si>
  <si>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</si>
  <si>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</si>
  <si>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</si>
  <si>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</si>
  <si>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</si>
  <si>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</si>
  <si>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</si>
  <si>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</si>
  <si>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</si>
  <si>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</si>
  <si>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</si>
  <si>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</si>
  <si>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</si>
  <si>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</si>
  <si>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</si>
  <si>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</si>
  <si>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</si>
  <si>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</si>
  <si>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</si>
  <si>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</si>
  <si>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</si>
  <si>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</si>
  <si>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</si>
  <si>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</si>
  <si>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</si>
  <si>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</si>
  <si>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</si>
  <si>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</si>
  <si>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</si>
  <si>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</si>
  <si>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</si>
  <si>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</si>
  <si>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</si>
  <si>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</si>
  <si>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</si>
  <si>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</si>
  <si>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</si>
  <si>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</si>
  <si>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</si>
  <si>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</si>
  <si>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</si>
  <si>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</si>
  <si>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</si>
  <si>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</si>
  <si>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</si>
  <si>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</si>
  <si>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</si>
  <si>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</si>
  <si>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</si>
  <si>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</si>
  <si>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</si>
  <si>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</si>
  <si>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</si>
  <si>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</si>
  <si>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</si>
  <si>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</si>
  <si>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</si>
  <si>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</si>
  <si>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</si>
  <si>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</si>
  <si>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</si>
  <si>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</si>
  <si>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</si>
  <si>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</si>
  <si>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</si>
  <si>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</si>
  <si>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</si>
  <si>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</si>
  <si>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</si>
  <si>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</si>
  <si>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</si>
  <si>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</si>
  <si>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</si>
  <si>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</si>
  <si>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</si>
  <si>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</si>
  <si>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</si>
  <si>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</si>
  <si>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</si>
  <si>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</si>
  <si>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</si>
  <si>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</si>
  <si>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</si>
  <si>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</si>
  <si>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</si>
  <si>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</si>
  <si>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</si>
  <si>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</si>
  <si>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</si>
  <si>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</si>
  <si>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</si>
  <si>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</si>
  <si>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</si>
  <si>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</si>
  <si>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</si>
  <si>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</si>
  <si>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</si>
  <si>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</si>
  <si>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</si>
  <si>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</si>
  <si>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</si>
  <si>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</si>
  <si>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</si>
  <si>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</si>
  <si>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</si>
  <si>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</si>
  <si>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</si>
  <si>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</si>
  <si>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</si>
  <si>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</si>
  <si>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</si>
  <si>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</si>
  <si>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</si>
  <si>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</si>
  <si>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</si>
  <si>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</si>
  <si>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</si>
  <si>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</si>
  <si>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</si>
  <si>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</si>
  <si>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</si>
  <si>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</si>
  <si>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</si>
  <si>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</si>
  <si>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</si>
  <si>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</si>
  <si>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</si>
  <si>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</si>
  <si>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</si>
  <si>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</si>
  <si>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</si>
  <si>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</si>
  <si>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</si>
  <si>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</si>
  <si>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</si>
  <si>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</si>
  <si>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</si>
  <si>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</si>
  <si>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</si>
  <si>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</si>
  <si>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</si>
  <si>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</si>
  <si>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</si>
  <si>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</si>
  <si>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</si>
  <si>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</si>
  <si>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</si>
  <si>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</si>
  <si>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</si>
  <si>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</si>
  <si>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</si>
  <si>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</si>
  <si>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</si>
  <si>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</si>
  <si>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</si>
  <si>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</si>
  <si>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</si>
  <si>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</si>
  <si>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</si>
  <si>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</si>
  <si>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</si>
  <si>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</si>
  <si>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</si>
  <si>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</si>
  <si>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</si>
  <si>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</si>
  <si>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</si>
  <si>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</si>
  <si>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</si>
  <si>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</si>
  <si>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</si>
  <si>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</si>
  <si>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</si>
  <si>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</si>
  <si>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</si>
  <si>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</si>
  <si>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</si>
  <si>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</si>
  <si>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</si>
  <si>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</si>
  <si>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</si>
  <si>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</si>
  <si>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</si>
  <si>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</si>
  <si>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</si>
  <si>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</si>
  <si>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</si>
  <si>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</si>
  <si>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</si>
  <si>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</si>
  <si>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</si>
  <si>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</si>
  <si>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</si>
  <si>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</si>
  <si>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</si>
  <si>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</si>
  <si>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</si>
  <si>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</si>
  <si>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</si>
  <si>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</si>
  <si>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</si>
  <si>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</si>
  <si>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</si>
  <si>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</si>
  <si>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</si>
  <si>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</si>
  <si>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</si>
  <si>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</si>
  <si>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</si>
  <si>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</si>
  <si>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</si>
  <si>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</si>
  <si>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</si>
  <si>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</si>
  <si>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</si>
  <si>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</si>
  <si>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</si>
  <si>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</si>
  <si>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</si>
  <si>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</si>
  <si>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</si>
  <si>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</si>
  <si>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</si>
  <si>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</si>
  <si>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</si>
  <si>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</si>
  <si>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</si>
  <si>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</si>
  <si>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</si>
  <si>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</si>
  <si>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</si>
  <si>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</si>
  <si>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</si>
  <si>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</si>
  <si>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</si>
  <si>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</si>
  <si>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</si>
  <si>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</si>
  <si>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</si>
  <si>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</si>
  <si>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</si>
  <si>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</si>
  <si>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</si>
  <si>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</si>
  <si>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</si>
  <si>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</si>
  <si>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</si>
  <si>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</si>
  <si>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</si>
  <si>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</si>
  <si>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</si>
  <si>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</si>
  <si>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</si>
  <si>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</si>
  <si>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</si>
  <si>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</si>
  <si>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</si>
  <si>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</si>
  <si>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</si>
  <si>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</si>
  <si>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</si>
  <si>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</si>
  <si>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</si>
  <si>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</si>
  <si>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</si>
  <si>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</si>
  <si>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</si>
  <si>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</si>
  <si>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</si>
  <si>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</si>
  <si>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</si>
  <si>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</si>
  <si>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</si>
  <si>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</si>
  <si>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</si>
  <si>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</si>
  <si>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</si>
  <si>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</si>
  <si>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</si>
  <si>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</si>
  <si>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</si>
  <si>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</si>
  <si>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</si>
  <si>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</si>
  <si>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</si>
  <si>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</si>
  <si>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</si>
  <si>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</si>
  <si>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</si>
  <si>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</si>
  <si>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</si>
  <si>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</si>
  <si>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</si>
  <si>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</si>
  <si>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</si>
  <si>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</si>
  <si>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</si>
  <si>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</si>
  <si>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</si>
  <si>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</si>
  <si>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</si>
  <si>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</si>
  <si>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</si>
  <si>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</si>
  <si>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</si>
  <si>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</si>
  <si>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</si>
  <si>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</si>
  <si>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</si>
  <si>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</si>
  <si>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</si>
  <si>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</si>
  <si>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</si>
  <si>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</si>
  <si>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</si>
  <si>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</si>
  <si>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</si>
  <si>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</si>
  <si>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</si>
  <si>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</si>
  <si>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</si>
  <si>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</si>
  <si>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</si>
  <si>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</si>
  <si>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</si>
  <si>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</si>
  <si>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</si>
  <si>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</si>
  <si>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</si>
  <si>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</si>
  <si>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</si>
  <si>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</si>
  <si>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</si>
  <si>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</si>
  <si>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</si>
  <si>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</si>
  <si>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</si>
  <si>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</si>
  <si>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</si>
  <si>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</si>
  <si>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</si>
  <si>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</si>
  <si>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</si>
  <si>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</si>
  <si>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</si>
  <si>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</si>
  <si>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</si>
  <si>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</si>
  <si>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</si>
  <si>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</si>
  <si>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</si>
  <si>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</si>
  <si>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</si>
  <si>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</si>
  <si>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</si>
  <si>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</si>
  <si>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</si>
  <si>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</si>
  <si>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</si>
  <si>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</si>
  <si>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</si>
  <si>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</si>
  <si>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</si>
  <si>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</si>
  <si>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</si>
  <si>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</si>
  <si>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</si>
  <si>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</si>
  <si>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</si>
  <si>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</si>
  <si>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</si>
  <si>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</si>
  <si>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</si>
  <si>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</si>
  <si>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</si>
  <si>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</si>
  <si>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</si>
  <si>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</si>
  <si>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</si>
  <si>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</si>
  <si>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</si>
  <si>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</si>
  <si>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</si>
  <si>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</si>
  <si>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</si>
  <si>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</si>
  <si>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</si>
  <si>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</si>
  <si>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</si>
  <si>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</si>
  <si>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</si>
  <si>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</si>
  <si>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</si>
  <si>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</si>
  <si>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</si>
  <si>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</si>
  <si>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</si>
  <si>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</si>
  <si>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</si>
  <si>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</si>
  <si>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</si>
  <si>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</si>
  <si>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</si>
  <si>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</si>
  <si>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</si>
  <si>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</si>
  <si>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</si>
  <si>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</si>
  <si>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</si>
  <si>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</si>
  <si>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</si>
  <si>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</si>
  <si>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</si>
  <si>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</si>
  <si>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</si>
  <si>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</si>
  <si>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</si>
  <si>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</si>
  <si>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</si>
  <si>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</si>
  <si>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</si>
  <si>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</si>
  <si>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</si>
  <si>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</si>
  <si>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</si>
  <si>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</si>
  <si>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</si>
  <si>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</si>
  <si>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</si>
  <si>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</si>
  <si>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</si>
  <si>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</si>
  <si>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</si>
  <si>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</si>
  <si>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</si>
  <si>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</si>
  <si>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</si>
  <si>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</si>
  <si>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</si>
  <si>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</si>
  <si>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</si>
  <si>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</si>
  <si>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</si>
  <si>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</si>
  <si>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</si>
  <si>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</si>
  <si>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</si>
  <si>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</si>
  <si>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</si>
  <si>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</si>
  <si>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</si>
  <si>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</si>
  <si>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</si>
  <si>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</si>
  <si>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</si>
  <si>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</si>
  <si>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</si>
  <si>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</si>
  <si>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</si>
  <si>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</si>
  <si>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</si>
  <si>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</si>
  <si>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</si>
  <si>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</si>
  <si>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</si>
  <si>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</si>
  <si>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</si>
  <si>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</si>
  <si>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</si>
  <si>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</si>
  <si>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</si>
  <si>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</si>
  <si>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</si>
  <si>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</si>
  <si>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</si>
  <si>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</si>
  <si>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</si>
  <si>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</si>
  <si>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</si>
  <si>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</si>
  <si>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</si>
  <si>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</si>
  <si>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</si>
  <si>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</si>
  <si>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</si>
  <si>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</si>
  <si>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</si>
  <si>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</si>
  <si>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</si>
  <si>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</si>
  <si>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</si>
  <si>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</si>
  <si>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</si>
  <si>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</si>
  <si>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</si>
  <si>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</si>
  <si>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</si>
  <si>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</si>
  <si>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</si>
  <si>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</si>
  <si>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</si>
  <si>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</si>
  <si>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</si>
  <si>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</si>
  <si>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</si>
  <si>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</si>
  <si>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</si>
  <si>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</si>
  <si>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</si>
  <si>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</si>
  <si>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</si>
  <si>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</si>
  <si>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</si>
  <si>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</si>
  <si>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</si>
  <si>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</si>
  <si>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</si>
  <si>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</si>
  <si>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</si>
  <si>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</si>
  <si>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</si>
  <si>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</si>
  <si>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</si>
  <si>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</si>
  <si>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</si>
  <si>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</si>
  <si>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</si>
  <si>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</si>
  <si>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</si>
  <si>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</si>
  <si>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</si>
  <si>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</si>
  <si>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</si>
  <si>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</si>
  <si>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</si>
  <si>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</si>
  <si>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</si>
  <si>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</si>
  <si>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</si>
  <si>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</si>
  <si>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</si>
  <si>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</si>
  <si>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</si>
  <si>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</si>
  <si>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</si>
  <si>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</si>
  <si>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</si>
  <si>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</si>
  <si>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</si>
  <si>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</si>
  <si>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</si>
  <si>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</si>
  <si>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</si>
  <si>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</si>
  <si>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</si>
  <si>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</si>
  <si>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</si>
  <si>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</si>
  <si>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</si>
  <si>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</si>
  <si>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</si>
  <si>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</si>
  <si>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</si>
  <si>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</si>
  <si>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</si>
  <si>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</si>
  <si>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</si>
  <si>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</si>
  <si>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</si>
  <si>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</si>
  <si>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</si>
  <si>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</si>
  <si>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</si>
  <si>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</si>
  <si>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</si>
  <si>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</si>
  <si>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</si>
  <si>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</si>
  <si>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</si>
  <si>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</si>
  <si>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</si>
  <si>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</si>
  <si>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</si>
  <si>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</si>
  <si>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</si>
  <si>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</si>
  <si>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</si>
  <si>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</si>
  <si>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</si>
  <si>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</si>
  <si>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</si>
  <si>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</si>
  <si>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</si>
  <si>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</si>
  <si>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</si>
  <si>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</si>
  <si>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</si>
  <si>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</si>
  <si>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</si>
  <si>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</si>
  <si>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</si>
  <si>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</si>
  <si>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</si>
  <si>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</si>
  <si>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</si>
  <si>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</si>
  <si>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</si>
  <si>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</si>
  <si>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</si>
  <si>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</si>
  <si>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</si>
  <si>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</si>
  <si>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</si>
  <si>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</si>
  <si>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</si>
  <si>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</si>
  <si>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</si>
  <si>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</si>
  <si>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</si>
  <si>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</si>
  <si>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</si>
  <si>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</si>
  <si>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</si>
  <si>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</si>
  <si>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</si>
  <si>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</si>
  <si>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</si>
  <si>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</si>
  <si>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</si>
  <si>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</si>
  <si>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</si>
  <si>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</si>
  <si>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</si>
  <si>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</si>
  <si>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</si>
  <si>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</si>
  <si>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</si>
  <si>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</si>
  <si>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</si>
  <si>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</si>
  <si>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</si>
  <si>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</si>
  <si>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</si>
  <si>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</si>
  <si>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</si>
  <si>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</si>
  <si>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</si>
  <si>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</si>
  <si>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</si>
  <si>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</si>
  <si>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</si>
  <si>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</si>
  <si>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</si>
  <si>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</si>
  <si>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</si>
  <si>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</si>
  <si>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</si>
  <si>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</si>
  <si>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</si>
  <si>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</si>
  <si>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</si>
  <si>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</si>
  <si>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</si>
  <si>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</si>
  <si>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</si>
  <si>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</si>
  <si>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</si>
  <si>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</si>
  <si>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</si>
  <si>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</si>
  <si>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</si>
  <si>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</si>
  <si>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</si>
  <si>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</si>
  <si>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</si>
  <si>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</si>
  <si>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</si>
  <si>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</si>
  <si>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</si>
  <si>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</si>
  <si>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</si>
  <si>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</si>
  <si>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</si>
  <si>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</si>
  <si>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</si>
  <si>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</si>
  <si>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</si>
  <si>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</si>
  <si>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</si>
  <si>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</si>
  <si>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</si>
  <si>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</si>
  <si>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</si>
  <si>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</si>
  <si>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</si>
  <si>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</si>
  <si>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</si>
  <si>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</si>
  <si>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</si>
  <si>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</si>
  <si>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</si>
  <si>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</si>
  <si>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</si>
  <si>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</si>
  <si>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</si>
  <si>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</si>
  <si>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</si>
  <si>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</si>
  <si>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</si>
  <si>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</si>
  <si>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</si>
  <si>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</si>
  <si>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</si>
  <si>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</si>
  <si>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</si>
  <si>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</si>
  <si>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</si>
  <si>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</si>
  <si>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</si>
  <si>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</si>
  <si>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</si>
  <si>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</si>
  <si>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</si>
  <si>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</si>
  <si>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</si>
  <si>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</si>
  <si>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</si>
  <si>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</si>
  <si>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</si>
  <si>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</si>
  <si>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</si>
  <si>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</si>
  <si>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</si>
  <si>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</si>
  <si>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</si>
  <si>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</si>
  <si>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</si>
  <si>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</si>
  <si>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</si>
  <si>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</si>
  <si>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</si>
  <si>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</si>
  <si>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</si>
  <si>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</si>
  <si>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</si>
  <si>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</si>
  <si>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</si>
  <si>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</si>
  <si>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</si>
  <si>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</si>
  <si>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</si>
  <si>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</si>
  <si>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</si>
  <si>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</si>
  <si>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</si>
  <si>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</si>
  <si>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</si>
  <si>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</si>
  <si>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</si>
  <si>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</si>
  <si>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</si>
  <si>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</si>
  <si>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</si>
  <si>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</si>
  <si>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</si>
  <si>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</si>
  <si>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</si>
  <si>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</si>
  <si>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</si>
  <si>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</si>
  <si>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</si>
  <si>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</si>
  <si>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</si>
  <si>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</si>
  <si>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</si>
  <si>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</si>
  <si>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</si>
  <si>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</si>
  <si>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</si>
  <si>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</si>
  <si>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</si>
  <si>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</si>
  <si>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</si>
  <si>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</si>
  <si>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</si>
  <si>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</si>
  <si>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</si>
  <si>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</si>
  <si>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</si>
  <si>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</si>
  <si>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</si>
  <si>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</si>
  <si>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</si>
  <si>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</si>
  <si>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</si>
  <si>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</si>
  <si>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</si>
  <si>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</si>
  <si>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</si>
  <si>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</si>
  <si>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</si>
  <si>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</si>
  <si>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</si>
  <si>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</si>
  <si>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</si>
  <si>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</si>
  <si>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</si>
  <si>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</si>
  <si>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</si>
  <si>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</si>
  <si>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</si>
  <si>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</si>
  <si>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</si>
  <si>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</si>
  <si>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</si>
  <si>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</si>
  <si>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</si>
  <si>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</si>
  <si>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</si>
  <si>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</si>
  <si>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</si>
  <si>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</si>
  <si>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</si>
  <si>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</si>
  <si>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</si>
  <si>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</si>
  <si>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</si>
  <si>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</si>
  <si>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</si>
  <si>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</si>
  <si>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</si>
  <si>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</si>
  <si>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</si>
  <si>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</si>
  <si>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</si>
  <si>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</si>
  <si>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</si>
  <si>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</si>
  <si>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</si>
  <si>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</si>
  <si>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</si>
  <si>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</si>
  <si>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</si>
  <si>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</si>
  <si>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</si>
  <si>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</si>
  <si>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</si>
  <si>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</si>
  <si>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</si>
  <si>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</si>
  <si>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</si>
  <si>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</si>
  <si>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</si>
  <si>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</si>
  <si>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</si>
  <si>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</si>
  <si>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</si>
  <si>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</si>
  <si>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</si>
  <si>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</si>
  <si>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</si>
  <si>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</si>
  <si>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</si>
  <si>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</si>
  <si>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</si>
  <si>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</si>
  <si>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</si>
  <si>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</si>
  <si>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</si>
  <si>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</si>
  <si>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</si>
  <si>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</si>
  <si>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</si>
  <si>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</si>
  <si>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</si>
  <si>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</si>
  <si>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</si>
  <si>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</si>
  <si>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</si>
  <si>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</si>
  <si>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</si>
  <si>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</si>
  <si>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</si>
  <si>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</si>
  <si>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</si>
  <si>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</si>
  <si>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</si>
  <si>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</si>
  <si>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</si>
  <si>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</si>
  <si>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</si>
  <si>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</si>
  <si>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</si>
  <si>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</si>
  <si>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</si>
  <si>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</si>
  <si>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</si>
  <si>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</si>
  <si>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</si>
  <si>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</si>
  <si>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</si>
  <si>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</si>
  <si>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</si>
  <si>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</si>
  <si>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</si>
  <si>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</si>
  <si>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</si>
  <si>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</si>
  <si>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</si>
  <si>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</si>
  <si>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</si>
  <si>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</si>
  <si>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</si>
  <si>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</si>
  <si>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</si>
  <si>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</si>
  <si>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</si>
  <si>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</si>
  <si>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</si>
  <si>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</si>
  <si>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</si>
  <si>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</si>
  <si>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</si>
  <si>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</si>
  <si>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</si>
  <si>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</si>
  <si>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</si>
  <si>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</si>
  <si>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</si>
  <si>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</si>
  <si>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</si>
  <si>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</si>
  <si>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</si>
  <si>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</si>
  <si>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</si>
  <si>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</si>
  <si>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</si>
  <si>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</si>
  <si>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</si>
  <si>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</si>
  <si>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</si>
  <si>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</si>
  <si>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</si>
  <si>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</si>
  <si>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</si>
  <si>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</si>
  <si>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</si>
  <si>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</si>
  <si>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</si>
  <si>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</si>
  <si>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</si>
  <si>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</si>
  <si>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</si>
  <si>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</si>
  <si>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</si>
  <si>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</si>
  <si>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</si>
  <si>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</si>
  <si>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</si>
  <si>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</si>
  <si>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</si>
  <si>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</si>
  <si>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</si>
  <si>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</si>
  <si>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</si>
  <si>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</si>
  <si>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</si>
  <si>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</si>
  <si>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</si>
  <si>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</si>
  <si>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</si>
  <si>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</si>
  <si>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</si>
  <si>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</si>
  <si>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</si>
  <si>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</si>
  <si>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</si>
  <si>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</si>
  <si>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</si>
  <si>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</si>
  <si>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</si>
  <si>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</si>
  <si>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</si>
  <si>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</si>
  <si>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</si>
  <si>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</si>
  <si>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</si>
  <si>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</si>
  <si>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</si>
  <si>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</si>
  <si>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</si>
  <si>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</si>
  <si>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</si>
  <si>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</si>
  <si>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</si>
  <si>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</si>
  <si>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</si>
  <si>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</si>
  <si>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</si>
  <si>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</si>
  <si>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</si>
  <si>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</si>
  <si>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</si>
  <si>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</si>
  <si>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</si>
  <si>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</si>
  <si>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</si>
  <si>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</si>
  <si>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</si>
  <si>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</si>
  <si>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</si>
  <si>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</si>
  <si>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</si>
  <si>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</si>
  <si>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</si>
  <si>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</si>
  <si>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</si>
  <si>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</si>
  <si>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</si>
  <si>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</si>
  <si>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</si>
  <si>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</si>
  <si>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</si>
  <si>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</si>
  <si>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</si>
  <si>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</si>
  <si>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</si>
  <si>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</si>
  <si>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</si>
  <si>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</si>
  <si>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</si>
  <si>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</si>
  <si>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</si>
  <si>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</si>
  <si>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</si>
  <si>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</si>
  <si>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</si>
  <si>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</si>
  <si>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</si>
  <si>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</si>
  <si>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</si>
  <si>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</si>
  <si>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</si>
  <si>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</si>
  <si>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</si>
  <si>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</si>
  <si>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</si>
  <si>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</si>
  <si>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</si>
  <si>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</si>
  <si>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</si>
  <si>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</si>
  <si>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</si>
  <si>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</si>
  <si>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</si>
  <si>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</si>
  <si>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</si>
  <si>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</si>
  <si>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</si>
  <si>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</si>
  <si>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</si>
  <si>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</si>
  <si>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</si>
  <si>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</si>
  <si>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</si>
  <si>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</si>
  <si>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</si>
  <si>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</si>
  <si>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</si>
  <si>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</si>
  <si>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</si>
  <si>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</si>
  <si>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</si>
  <si>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</si>
  <si>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</si>
  <si>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</si>
  <si>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</si>
  <si>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</si>
  <si>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</si>
  <si>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</si>
  <si>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</si>
  <si>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</si>
  <si>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</si>
  <si>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</si>
  <si>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</si>
  <si>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</si>
  <si>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</si>
  <si>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</si>
  <si>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</si>
  <si>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</si>
  <si>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</si>
  <si>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</si>
  <si>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</si>
  <si>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</si>
  <si>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</si>
  <si>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</si>
  <si>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</si>
  <si>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</si>
  <si>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</si>
  <si>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</si>
  <si>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</si>
  <si>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</si>
  <si>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</si>
  <si>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</si>
  <si>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</si>
  <si>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</si>
  <si>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</si>
  <si>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</si>
  <si>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</si>
  <si>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</si>
  <si>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</si>
  <si>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</si>
  <si>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</si>
  <si>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</si>
  <si>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</si>
  <si>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</si>
  <si>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</si>
  <si>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</si>
  <si>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</si>
  <si>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</si>
  <si>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</si>
  <si>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</si>
  <si>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</si>
  <si>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</si>
  <si>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</si>
  <si>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</si>
  <si>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</si>
  <si>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</si>
  <si>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</si>
  <si>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</si>
  <si>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</si>
  <si>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</si>
  <si>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</si>
  <si>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</si>
  <si>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</si>
  <si>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</si>
  <si>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</si>
  <si>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</si>
  <si>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</si>
  <si>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</si>
  <si>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</si>
  <si>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</si>
  <si>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</si>
  <si>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</si>
  <si>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</si>
  <si>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</si>
  <si>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</si>
  <si>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</si>
  <si>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</si>
  <si>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</si>
  <si>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</si>
  <si>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</si>
  <si>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</si>
  <si>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</si>
  <si>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</si>
  <si>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</si>
  <si>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</si>
  <si>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</si>
  <si>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</si>
  <si>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</si>
  <si>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</si>
  <si>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</si>
  <si>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</si>
  <si>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</si>
  <si>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</si>
  <si>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</si>
  <si>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</si>
  <si>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</si>
  <si>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</si>
  <si>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</si>
  <si>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</si>
  <si>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</si>
  <si>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</si>
  <si>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</si>
  <si>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</si>
  <si>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</si>
  <si>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</si>
  <si>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</si>
  <si>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</si>
  <si>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</si>
  <si>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</si>
  <si>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</si>
  <si>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</si>
  <si>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</si>
  <si>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</si>
  <si>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</si>
  <si>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</si>
  <si>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</si>
  <si>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</si>
  <si>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</si>
  <si>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</si>
  <si>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</si>
  <si>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</si>
  <si>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</si>
  <si>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</si>
  <si>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</si>
  <si>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</si>
  <si>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</si>
  <si>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</si>
  <si>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</si>
  <si>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</si>
  <si>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</si>
  <si>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</si>
  <si>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</si>
  <si>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</si>
  <si>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</si>
  <si>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</si>
  <si>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</si>
  <si>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</si>
  <si>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</si>
  <si>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</si>
  <si>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</si>
  <si>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</si>
  <si>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</si>
  <si>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</si>
  <si>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</si>
  <si>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</si>
  <si>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</si>
  <si>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</si>
  <si>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</si>
  <si>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</si>
  <si>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</si>
  <si>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</si>
  <si>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</si>
  <si>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</si>
  <si>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</si>
  <si>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</si>
  <si>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</si>
  <si>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</si>
  <si>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</si>
  <si>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</si>
  <si>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</si>
  <si>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</si>
  <si>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</si>
  <si>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</si>
  <si>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</si>
  <si>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</si>
  <si>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</si>
  <si>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</si>
  <si>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</si>
  <si>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</si>
  <si>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</si>
  <si>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</si>
  <si>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</si>
  <si>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</si>
  <si>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</si>
  <si>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</si>
  <si>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</si>
  <si>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</si>
  <si>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</si>
  <si>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</si>
  <si>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</si>
  <si>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</si>
  <si>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</si>
  <si>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</si>
  <si>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</si>
  <si>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</si>
  <si>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</si>
  <si>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</si>
  <si>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</si>
  <si>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</si>
  <si>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</si>
  <si>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</si>
  <si>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</si>
  <si>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</si>
  <si>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</si>
  <si>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</si>
  <si>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</si>
  <si>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</si>
  <si>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</si>
  <si>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</si>
  <si>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</si>
  <si>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</si>
  <si>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</si>
  <si>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</si>
  <si>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</si>
  <si>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</si>
  <si>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</si>
  <si>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</si>
  <si>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</si>
  <si>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</si>
  <si>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</si>
  <si>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</si>
  <si>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</si>
  <si>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</si>
  <si>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</si>
  <si>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</si>
  <si>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</si>
  <si>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</si>
  <si>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</si>
  <si>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</si>
  <si>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</si>
  <si>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</si>
  <si>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</si>
  <si>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</si>
  <si>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</si>
  <si>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</si>
  <si>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</si>
  <si>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</si>
  <si>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</si>
  <si>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</si>
  <si>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</si>
  <si>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</si>
  <si>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</si>
  <si>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</si>
  <si>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</si>
  <si>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</si>
  <si>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</si>
  <si>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</si>
  <si>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</si>
  <si>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</si>
  <si>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</si>
  <si>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</si>
  <si>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</si>
  <si>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</si>
  <si>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</si>
  <si>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</si>
  <si>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</si>
  <si>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</si>
  <si>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</si>
  <si>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</si>
  <si>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</si>
  <si>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</si>
  <si>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</si>
  <si>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</si>
  <si>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</si>
  <si>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</si>
  <si>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</si>
  <si>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</si>
  <si>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</si>
  <si>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</si>
  <si>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</si>
  <si>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</si>
  <si>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</si>
  <si>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</si>
  <si>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</si>
  <si>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</si>
  <si>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</si>
  <si>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</si>
  <si>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</si>
  <si>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</si>
  <si>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</si>
  <si>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</si>
  <si>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</si>
  <si>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</si>
  <si>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</si>
  <si>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</si>
  <si>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</si>
  <si>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</si>
  <si>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</si>
  <si>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</si>
  <si>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</si>
  <si>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</si>
  <si>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</si>
  <si>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</si>
  <si>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</si>
  <si>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</si>
  <si>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</si>
  <si>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</si>
  <si>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</si>
  <si>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</si>
  <si>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</si>
  <si>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</si>
  <si>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</si>
  <si>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</si>
  <si>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</si>
  <si>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</si>
  <si>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</si>
  <si>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</si>
  <si>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</si>
  <si>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</si>
  <si>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</si>
  <si>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</si>
  <si>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</si>
  <si>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</si>
  <si>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</si>
  <si>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</si>
  <si>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</si>
  <si>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</si>
  <si>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</si>
  <si>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</si>
  <si>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</si>
  <si>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</si>
  <si>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</si>
  <si>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</si>
  <si>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</si>
  <si>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</si>
  <si>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</si>
  <si>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</si>
  <si>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</si>
  <si>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</si>
  <si>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</si>
  <si>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</si>
  <si>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</si>
  <si>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</si>
  <si>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</si>
  <si>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</si>
  <si>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</si>
  <si>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</si>
  <si>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</si>
  <si>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</si>
  <si>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</si>
  <si>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</si>
  <si>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</si>
  <si>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</si>
  <si>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</si>
  <si>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</si>
  <si>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</si>
  <si>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</si>
  <si>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</si>
  <si>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</si>
  <si>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</si>
  <si>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</si>
  <si>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</si>
  <si>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</si>
  <si>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</si>
  <si>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</si>
  <si>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</si>
  <si>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</si>
  <si>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</si>
  <si>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</si>
  <si>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</si>
  <si>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</si>
  <si>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</si>
  <si>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</si>
  <si>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</si>
  <si>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</si>
  <si>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</si>
  <si>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</si>
  <si>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</si>
  <si>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</si>
  <si>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</si>
  <si>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</si>
  <si>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</si>
  <si>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</si>
  <si>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</si>
  <si>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</si>
  <si>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</si>
  <si>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</si>
  <si>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</si>
  <si>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</si>
  <si>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</si>
  <si>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</si>
  <si>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</si>
  <si>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</si>
  <si>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</si>
  <si>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</si>
  <si>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</si>
  <si>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</si>
  <si>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</si>
  <si>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</si>
  <si>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</si>
  <si>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</si>
  <si>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</si>
  <si>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</si>
  <si>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</si>
  <si>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</si>
  <si>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</si>
  <si>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</si>
  <si>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</si>
  <si>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</si>
  <si>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</si>
  <si>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</si>
  <si>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</si>
  <si>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</si>
  <si>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</si>
  <si>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</si>
  <si>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</si>
  <si>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</si>
  <si>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</si>
  <si>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</si>
  <si>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</si>
  <si>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</si>
  <si>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</si>
  <si>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</si>
  <si>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</si>
  <si>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</si>
  <si>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</si>
  <si>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</si>
  <si>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</si>
  <si>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</si>
  <si>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</si>
  <si>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</si>
  <si>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</si>
  <si>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</si>
  <si>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</si>
  <si>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</si>
  <si>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</si>
  <si>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</si>
  <si>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</si>
  <si>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</si>
  <si>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</si>
  <si>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</si>
  <si>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</si>
  <si>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</si>
  <si>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</si>
  <si>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</si>
  <si>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</si>
  <si>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</si>
  <si>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</si>
  <si>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</si>
  <si>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</si>
  <si>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</si>
  <si>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</si>
  <si>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</si>
  <si>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</si>
  <si>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</si>
  <si>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</si>
  <si>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</si>
  <si>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</si>
  <si>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</si>
  <si>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</si>
  <si>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</si>
  <si>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</si>
  <si>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</si>
  <si>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</si>
  <si>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</si>
  <si>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</si>
  <si>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</si>
  <si>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</si>
  <si>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</si>
  <si>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</si>
  <si>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</si>
  <si>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</si>
  <si>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</si>
  <si>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</si>
  <si>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</si>
  <si>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</si>
  <si>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</si>
  <si>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</si>
  <si>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</si>
  <si>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</si>
  <si>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</si>
  <si>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</si>
  <si>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</si>
  <si>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</si>
  <si>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</si>
  <si>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</si>
  <si>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</si>
  <si>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</si>
  <si>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</si>
  <si>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</si>
  <si>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</si>
  <si>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</si>
  <si>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</si>
  <si>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</si>
  <si>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</si>
  <si>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</si>
  <si>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</si>
  <si>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</si>
  <si>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</si>
  <si>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</si>
  <si>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</si>
  <si>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</si>
  <si>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</si>
  <si>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</si>
  <si>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</si>
  <si>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</si>
  <si>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</si>
  <si>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</si>
  <si>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</si>
  <si>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</si>
  <si>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</si>
  <si>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</si>
  <si>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</si>
  <si>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</si>
  <si>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</si>
  <si>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</si>
  <si>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</si>
  <si>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</si>
  <si>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</si>
  <si>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</si>
  <si>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</si>
  <si>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</si>
  <si>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</si>
  <si>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</si>
  <si>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</si>
  <si>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</si>
  <si>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</si>
  <si>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</si>
  <si>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</si>
  <si>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</si>
  <si>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</si>
  <si>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</si>
  <si>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</si>
  <si>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</si>
  <si>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</si>
  <si>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</si>
  <si>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</si>
  <si>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</si>
  <si>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</si>
  <si>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</si>
  <si>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</si>
  <si>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</si>
  <si>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</si>
  <si>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</si>
  <si>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</si>
  <si>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</si>
  <si>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</si>
  <si>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</si>
  <si>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</si>
  <si>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</si>
  <si>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</si>
  <si>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</si>
  <si>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</si>
  <si>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</si>
  <si>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</si>
  <si>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</si>
  <si>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</si>
  <si>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</si>
  <si>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r>
      <t xml:space="preserve"> </t>
    </r>
    <r>
      <rPr>
        <sz val="10"/>
        <color theme="9" tint="-0.249977111117893"/>
        <rFont val="宋体"/>
        <family val="3"/>
        <charset val="134"/>
      </rPr>
      <t>怀柔区开放东路</t>
    </r>
    <r>
      <rPr>
        <sz val="10"/>
        <color theme="9" tint="-0.249977111117893"/>
        <rFont val="Arial"/>
        <family val="2"/>
      </rPr>
      <t>21</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4</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5</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6</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7-2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层全部</t>
    </r>
    <phoneticPr fontId="6" type="noConversion"/>
  </si>
  <si>
    <t>厂房</t>
  </si>
  <si>
    <t>厂房</t>
    <phoneticPr fontId="6" type="noConversion"/>
  </si>
  <si>
    <t>工业项目</t>
  </si>
  <si>
    <t>现房</t>
  </si>
  <si>
    <t>Ⅷ-怀1</t>
  </si>
  <si>
    <r>
      <t>3</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</si>
  <si>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t>是</t>
  </si>
  <si>
    <r>
      <t>4</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</si>
  <si>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5</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</si>
  <si>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6</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</si>
  <si>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7-2</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</si>
  <si>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t>地上</t>
  </si>
  <si>
    <t>成新度</t>
  </si>
  <si>
    <t>建成年代</t>
    <phoneticPr fontId="3" type="noConversion"/>
  </si>
  <si>
    <t>直线</t>
    <phoneticPr fontId="3" type="noConversion"/>
  </si>
  <si>
    <t>单层</t>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</si>
  <si>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</si>
  <si>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t>-</t>
    <phoneticPr fontId="247" type="noConversion"/>
  </si>
  <si>
    <t>收益法 (元)</t>
  </si>
  <si>
    <t>自定义容积率</t>
  </si>
  <si>
    <t>与级别开发程度一致</t>
  </si>
  <si>
    <t>通路</t>
  </si>
  <si>
    <t>通电</t>
  </si>
  <si>
    <t>通讯</t>
  </si>
  <si>
    <t>通上水</t>
  </si>
  <si>
    <t>通下水</t>
  </si>
  <si>
    <t>平整</t>
  </si>
  <si>
    <t>一般</t>
  </si>
  <si>
    <t>较好</t>
  </si>
  <si>
    <r>
      <rPr>
        <sz val="10"/>
        <color indexed="8"/>
        <rFont val="宋体"/>
        <family val="3"/>
        <charset val="134"/>
      </rPr>
      <t>土地面积</t>
    </r>
    <phoneticPr fontId="134" type="noConversion"/>
  </si>
  <si>
    <r>
      <rPr>
        <sz val="10"/>
        <color indexed="8"/>
        <rFont val="宋体"/>
        <family val="3"/>
        <charset val="134"/>
      </rPr>
      <t>合计</t>
    </r>
    <phoneticPr fontId="134" type="noConversion"/>
  </si>
  <si>
    <t>工业</t>
    <phoneticPr fontId="7" type="noConversion"/>
  </si>
  <si>
    <t>未包含在土地购买价格中</t>
  </si>
  <si>
    <t>已包含在土地取得成本中</t>
  </si>
  <si>
    <t>基准地价修正</t>
  </si>
  <si>
    <t>砖混</t>
  </si>
  <si>
    <t>非生产用房</t>
  </si>
  <si>
    <t>押一</t>
  </si>
  <si>
    <t>成本法 (元)</t>
  </si>
  <si>
    <t>全部缴纳</t>
  </si>
  <si>
    <t>观察</t>
    <phoneticPr fontId="3" type="noConversion"/>
  </si>
  <si>
    <t>综合</t>
    <phoneticPr fontId="3" type="noConversion"/>
  </si>
  <si>
    <t>租金</t>
  </si>
  <si>
    <t>正常</t>
  </si>
  <si>
    <t>挂牌</t>
  </si>
  <si>
    <t>挂牌</t>
    <phoneticPr fontId="31" type="noConversion"/>
  </si>
  <si>
    <t>厂房</t>
    <phoneticPr fontId="31" type="noConversion"/>
  </si>
  <si>
    <t>五通</t>
  </si>
  <si>
    <t>混合</t>
  </si>
  <si>
    <t>混合</t>
    <phoneticPr fontId="31" type="noConversion"/>
  </si>
  <si>
    <t>现状利用</t>
    <phoneticPr fontId="31" type="noConversion"/>
  </si>
  <si>
    <t>幼儿园</t>
    <phoneticPr fontId="31" type="noConversion"/>
  </si>
  <si>
    <t>幼儿园</t>
    <phoneticPr fontId="31" type="noConversion"/>
  </si>
  <si>
    <t>五通</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</si>
  <si>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</si>
  <si>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</si>
  <si>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</si>
  <si>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</si>
  <si>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</si>
  <si>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宿舍</t>
    <phoneticPr fontId="31" type="noConversion"/>
  </si>
  <si>
    <t>合同租金</t>
    <phoneticPr fontId="3" type="noConversion"/>
  </si>
  <si>
    <t>天数</t>
    <phoneticPr fontId="3" type="noConversion"/>
  </si>
  <si>
    <t>租金</t>
    <phoneticPr fontId="3" type="noConversion"/>
  </si>
  <si>
    <t>日租金</t>
    <phoneticPr fontId="3" type="noConversion"/>
  </si>
  <si>
    <t>年数</t>
    <phoneticPr fontId="3" type="noConversion"/>
  </si>
  <si>
    <t>直线</t>
    <phoneticPr fontId="3" type="noConversion"/>
  </si>
  <si>
    <t>租期外</t>
    <phoneticPr fontId="3" type="noConversion"/>
  </si>
  <si>
    <t>观察</t>
    <phoneticPr fontId="3" type="noConversion"/>
  </si>
  <si>
    <t>综合</t>
    <phoneticPr fontId="3" type="noConversion"/>
  </si>
  <si>
    <t>租期内平均租金</t>
    <phoneticPr fontId="3" type="noConversion"/>
  </si>
  <si>
    <t>建筑面积（㎡）</t>
    <phoneticPr fontId="134" type="noConversion"/>
  </si>
  <si>
    <t>楼号</t>
    <phoneticPr fontId="134" type="noConversion"/>
  </si>
  <si>
    <t>差</t>
  </si>
  <si>
    <t>约3.5</t>
    <phoneticPr fontId="134" type="noConversion"/>
  </si>
  <si>
    <t>约8</t>
    <phoneticPr fontId="134" type="noConversion"/>
  </si>
  <si>
    <t>层高（米）</t>
    <phoneticPr fontId="134" type="noConversion"/>
  </si>
  <si>
    <t>建造费用（元/㎡）</t>
    <phoneticPr fontId="134" type="noConversion"/>
  </si>
  <si>
    <t>剩余土地面积</t>
    <phoneticPr fontId="134" type="noConversion"/>
  </si>
  <si>
    <t>剩余土地租金</t>
    <phoneticPr fontId="134" type="noConversion"/>
  </si>
  <si>
    <t>租期内合同租金高于市场租金，根据谨慎原则采用市场租金</t>
    <phoneticPr fontId="134" type="noConversion"/>
  </si>
  <si>
    <r>
      <t>京怀国用（2</t>
    </r>
    <r>
      <rPr>
        <sz val="11"/>
        <color theme="1"/>
        <rFont val="宋体"/>
        <family val="3"/>
        <charset val="134"/>
        <scheme val="minor"/>
      </rPr>
      <t>013出）第00034号</t>
    </r>
    <phoneticPr fontId="134" type="noConversion"/>
  </si>
  <si>
    <t>工业用地</t>
    <phoneticPr fontId="134" type="noConversion"/>
  </si>
  <si>
    <t>不动产权证号</t>
    <phoneticPr fontId="134" type="noConversion"/>
  </si>
  <si>
    <t>房屋坐落</t>
    <phoneticPr fontId="134" type="noConversion"/>
  </si>
  <si>
    <t>规划用途</t>
    <phoneticPr fontId="134" type="noConversion"/>
  </si>
  <si>
    <t>幢号</t>
    <phoneticPr fontId="134" type="noConversion"/>
  </si>
  <si>
    <t>X京房权证怀字第019650号</t>
    <phoneticPr fontId="134" type="noConversion"/>
  </si>
  <si>
    <t>怀柔区开放东路21号3幢1层</t>
    <phoneticPr fontId="134" type="noConversion"/>
  </si>
  <si>
    <t>厂房</t>
    <phoneticPr fontId="134" type="noConversion"/>
  </si>
  <si>
    <t>建筑面积（㎡）</t>
    <phoneticPr fontId="134" type="noConversion"/>
  </si>
  <si>
    <t>土地面积（㎡）</t>
    <phoneticPr fontId="134" type="noConversion"/>
  </si>
  <si>
    <t>坐落</t>
    <phoneticPr fontId="134" type="noConversion"/>
  </si>
  <si>
    <t>土地证号</t>
    <phoneticPr fontId="134" type="noConversion"/>
  </si>
  <si>
    <r>
      <t>7</t>
    </r>
    <r>
      <rPr>
        <sz val="11"/>
        <color theme="1"/>
        <rFont val="宋体"/>
        <family val="3"/>
        <charset val="134"/>
        <scheme val="minor"/>
      </rPr>
      <t>-2</t>
    </r>
    <phoneticPr fontId="134" type="noConversion"/>
  </si>
  <si>
    <t>X京房权证怀字第019651号</t>
    <phoneticPr fontId="134" type="noConversion"/>
  </si>
  <si>
    <t>怀柔区开放东路21号4幢1层</t>
    <phoneticPr fontId="134" type="noConversion"/>
  </si>
  <si>
    <t>X京房权证怀字第019653号</t>
    <phoneticPr fontId="134" type="noConversion"/>
  </si>
  <si>
    <t>怀柔区开放东路21号5幢1层</t>
    <phoneticPr fontId="134" type="noConversion"/>
  </si>
  <si>
    <t>X京房权证怀字第019649号</t>
    <phoneticPr fontId="134" type="noConversion"/>
  </si>
  <si>
    <t>怀柔区开放东路21号6幢1层</t>
    <phoneticPr fontId="134" type="noConversion"/>
  </si>
  <si>
    <t>X京房权证怀字第019652号</t>
    <phoneticPr fontId="134" type="noConversion"/>
  </si>
  <si>
    <t>怀柔区开放东路21号7-2幢1层全部</t>
    <phoneticPr fontId="134" type="noConversion"/>
  </si>
  <si>
    <t>地类（用途）</t>
    <phoneticPr fontId="134" type="noConversion"/>
  </si>
  <si>
    <t>合计：</t>
    <phoneticPr fontId="134" type="noConversion"/>
  </si>
  <si>
    <t>混合</t>
    <phoneticPr fontId="134" type="noConversion"/>
  </si>
  <si>
    <t>砖混</t>
    <phoneticPr fontId="134" type="noConversion"/>
  </si>
  <si>
    <t>钢混</t>
    <phoneticPr fontId="134" type="noConversion"/>
  </si>
  <si>
    <t>建安总额</t>
    <phoneticPr fontId="134" type="noConversion"/>
  </si>
  <si>
    <r>
      <t>北京市怀柔区开放东路2</t>
    </r>
    <r>
      <rPr>
        <sz val="11"/>
        <color theme="1"/>
        <rFont val="宋体"/>
        <family val="3"/>
        <charset val="134"/>
        <scheme val="minor"/>
      </rPr>
      <t>1号</t>
    </r>
    <phoneticPr fontId="134" type="noConversion"/>
  </si>
  <si>
    <t>增长率</t>
    <phoneticPr fontId="134"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</si>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</sst>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
      <sz val="11"/>
      <color rgb="FFFF0000"/>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horizontal="center" vertical="center"/>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69"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95" fillId="0" borderId="0" xfId="0" applyFont="1">
      <alignment vertical="center"/>
    </xf>
    <xf numFmtId="176"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10" fontId="51" fillId="2" borderId="23"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179" fontId="44" fillId="0" borderId="3" xfId="0" applyNumberFormat="1" applyFont="1" applyBorder="1" applyAlignment="1" applyProtection="1">
      <alignment vertical="center"/>
      <protection locked="0"/>
    </xf>
    <xf numFmtId="0" fontId="47" fillId="0" borderId="1" xfId="0" applyFont="1" applyFill="1" applyBorder="1" applyAlignment="1" applyProtection="1">
      <alignment horizontal="center" vertical="center" wrapText="1"/>
      <protection locked="0"/>
    </xf>
    <xf numFmtId="176" fontId="0" fillId="0" borderId="1" xfId="0" applyNumberFormat="1" applyBorder="1">
      <alignment vertical="center"/>
    </xf>
    <xf numFmtId="176" fontId="47" fillId="0" borderId="1" xfId="0" applyNumberFormat="1" applyFont="1" applyFill="1" applyBorder="1" applyAlignment="1" applyProtection="1">
      <alignment vertical="center" wrapText="1"/>
      <protection locked="0"/>
    </xf>
    <xf numFmtId="0" fontId="95" fillId="0" borderId="1" xfId="0" applyFont="1" applyBorder="1" applyAlignment="1">
      <alignment horizontal="center" vertical="center"/>
    </xf>
    <xf numFmtId="179" fontId="0" fillId="0" borderId="0" xfId="0" applyNumberFormat="1">
      <alignment vertical="center"/>
    </xf>
    <xf numFmtId="0" fontId="0" fillId="0" borderId="0" xfId="0" applyAlignment="1">
      <alignment vertical="center" wrapText="1"/>
    </xf>
    <xf numFmtId="0" fontId="95" fillId="0" borderId="1" xfId="0" applyFont="1" applyBorder="1" applyAlignment="1">
      <alignment vertical="center" wrapText="1"/>
    </xf>
    <xf numFmtId="179" fontId="95" fillId="0" borderId="1" xfId="0" applyNumberFormat="1" applyFont="1" applyBorder="1" applyAlignment="1">
      <alignment vertical="center" wrapText="1"/>
    </xf>
    <xf numFmtId="49" fontId="95" fillId="0" borderId="1" xfId="0" applyNumberFormat="1" applyFont="1" applyBorder="1" applyAlignment="1">
      <alignment vertical="center" wrapText="1"/>
    </xf>
    <xf numFmtId="179" fontId="0" fillId="0" borderId="1" xfId="0" applyNumberFormat="1" applyBorder="1" applyAlignment="1">
      <alignment vertical="center" wrapText="1"/>
    </xf>
    <xf numFmtId="49" fontId="0" fillId="0" borderId="1" xfId="0" applyNumberFormat="1" applyBorder="1" applyAlignment="1">
      <alignment vertical="center" wrapText="1"/>
    </xf>
    <xf numFmtId="179" fontId="0" fillId="0" borderId="1" xfId="0" applyNumberFormat="1" applyBorder="1">
      <alignment vertical="center"/>
    </xf>
    <xf numFmtId="0" fontId="95" fillId="0" borderId="0" xfId="0" applyFont="1" applyAlignment="1">
      <alignment vertical="center" wrapText="1"/>
    </xf>
    <xf numFmtId="0" fontId="270" fillId="0" borderId="0" xfId="0" applyFont="1">
      <alignment vertical="center"/>
    </xf>
    <xf numFmtId="177" fontId="47" fillId="27" borderId="1" xfId="1" applyNumberFormat="1" applyFont="1" applyFill="1" applyBorder="1" applyAlignment="1" applyProtection="1">
      <alignment horizontal="center" vertical="center"/>
      <protection locked="0"/>
    </xf>
    <xf numFmtId="0" fontId="95" fillId="0" borderId="0" xfId="0" applyFont="1" applyAlignment="1">
      <alignment horizontal="right" vertical="center"/>
    </xf>
    <xf numFmtId="181" fontId="44" fillId="27" borderId="1" xfId="0" applyNumberFormat="1" applyFont="1" applyFill="1" applyBorder="1" applyAlignment="1" applyProtection="1">
      <alignment vertical="center"/>
      <protection locked="0"/>
    </xf>
    <xf numFmtId="9" fontId="0" fillId="0" borderId="0" xfId="17"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95" fillId="0" borderId="5" xfId="0" applyFont="1" applyBorder="1" applyAlignment="1">
      <alignment horizontal="center" vertical="center" wrapText="1"/>
    </xf>
    <xf numFmtId="0" fontId="95" fillId="0" borderId="54" xfId="0" applyFont="1" applyBorder="1" applyAlignment="1">
      <alignment horizontal="center" vertical="center" wrapText="1"/>
    </xf>
    <xf numFmtId="0" fontId="95" fillId="0" borderId="3"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358140</xdr:colOff>
      <xdr:row>0</xdr:row>
      <xdr:rowOff>0</xdr:rowOff>
    </xdr:from>
    <xdr:to>
      <xdr:col>6</xdr:col>
      <xdr:colOff>205991</xdr:colOff>
      <xdr:row>19</xdr:row>
      <xdr:rowOff>160335</xdr:rowOff>
    </xdr:to>
    <xdr:pic>
      <xdr:nvPicPr>
        <xdr:cNvPr id="3" name="图片 2"/>
        <xdr:cNvPicPr>
          <a:picLocks noChangeAspect="1"/>
        </xdr:cNvPicPr>
      </xdr:nvPicPr>
      <xdr:blipFill>
        <a:blip xmlns:r="http://schemas.openxmlformats.org/officeDocument/2006/relationships" r:embed="rId1"/>
        <a:stretch>
          <a:fillRect/>
        </a:stretch>
      </xdr:blipFill>
      <xdr:spPr>
        <a:xfrm>
          <a:off x="967740" y="0"/>
          <a:ext cx="2895851" cy="36350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 怀柔区开放东路21号3幢1层、4幢1层、5幢1层、6幢1层、7-2幢1层全部房地产抵押价值预评估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 怀柔区开放东路21号3幢1层、4幢1层、5幢1层、6幢1层、7-2幢1层全部房地产抵押价值进行了预评估。</v>
      </c>
    </row>
    <row r="7" spans="1:2" s="1199" customFormat="1">
      <c r="A7" s="1197" t="s">
        <v>566</v>
      </c>
      <c r="B7" s="1198" t="str">
        <f>'预评函-1'!A7</f>
        <v>估价对象为北京市 怀柔区开放东路21号3幢1层、4幢1层、5幢1层、6幢1层、7-2幢1层全部房地产，为所有。根据《国有土地使用证》[]，估价对象（分摊）出让国有建设用地使用权面积为5389.47平方米，建筑面积为2447.34平方米。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 怀柔区开放东路21号3幢1层、4幢1层、5幢1层、6幢1层、7-2幢1层全部房地产,属开发建设的工业项目，该项目尚在开发建设中。根据《国有土地使用证》[]，估价对象（分摊）出让国有建设用地使用权面积为5389.47平方米，规划建筑面积为2447.34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 怀柔区开放东路21号3幢1层、4幢1层、5幢1层、6幢1层、7-2幢1层全部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2024年5月9日（评估专业人员实地查勘之日）</v>
      </c>
    </row>
    <row r="13" spans="1:2" s="1199" customFormat="1">
      <c r="A13" s="1197" t="s">
        <v>529</v>
      </c>
      <c r="B13" s="1198" t="str">
        <f>'预评函-1'!A18</f>
        <v>本次估价的“房地产价值”是指在正常市场情况下，在价值时点2024年5月9日，估价对象规划用途为厂房，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1404</v>
      </c>
    </row>
    <row r="21" spans="1:2" s="1199" customFormat="1">
      <c r="A21" s="1197" t="s">
        <v>537</v>
      </c>
      <c r="B21" s="1198">
        <f ca="1">'预评函-2'!D7</f>
        <v>5737</v>
      </c>
    </row>
    <row r="22" spans="1:2" s="1199" customFormat="1">
      <c r="A22" s="1197" t="s">
        <v>538</v>
      </c>
      <c r="B22" s="1198" t="str">
        <f ca="1">'预评函-2'!D6</f>
        <v>壹仟肆佰零肆万元整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1404</v>
      </c>
    </row>
    <row r="31" spans="1:2" s="1199" customFormat="1">
      <c r="A31" s="1197" t="s">
        <v>576</v>
      </c>
      <c r="B31" s="1198">
        <f ca="1">'预评函-2'!D15</f>
        <v>5737</v>
      </c>
    </row>
    <row r="32" spans="1:2" s="1199" customFormat="1">
      <c r="A32" s="1197" t="s">
        <v>543</v>
      </c>
      <c r="B32" s="1198" t="str">
        <f ca="1">'预评函-2'!D14</f>
        <v>壹仟肆佰零肆万元整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 怀柔区开放东路21号3幢1层、4幢1层、5幢1层、6幢1层、7-2幢1层全部房地产</v>
      </c>
    </row>
    <row r="42" spans="1:2" s="1199" customFormat="1">
      <c r="A42" s="1197" t="s">
        <v>590</v>
      </c>
      <c r="B42" s="1198" t="str">
        <f>'预评函-3'!B2</f>
        <v>建筑面积</v>
      </c>
    </row>
    <row r="43" spans="1:2" s="1199" customFormat="1">
      <c r="A43" s="1197" t="s">
        <v>591</v>
      </c>
      <c r="B43" s="1198">
        <f>'预评函-3'!B4</f>
        <v>2447.34</v>
      </c>
    </row>
    <row r="44" spans="1:2" s="1199" customFormat="1">
      <c r="A44" s="1197" t="s">
        <v>575</v>
      </c>
      <c r="B44" s="1198" t="str">
        <f>'预评函-3'!C2</f>
        <v>(分摊)土地面积</v>
      </c>
    </row>
    <row r="45" spans="1:2" s="1199" customFormat="1">
      <c r="A45" s="1197" t="s">
        <v>547</v>
      </c>
      <c r="B45" s="1198">
        <f>'预评函-3'!C4</f>
        <v>5389.47</v>
      </c>
    </row>
    <row r="46" spans="1:2" s="1199" customFormat="1">
      <c r="A46" s="1197" t="s">
        <v>573</v>
      </c>
      <c r="B46" s="1198" t="str">
        <f>'预评函-3'!D2</f>
        <v>出让国有建设用地使用权价值</v>
      </c>
    </row>
    <row r="47" spans="1:2" s="1199" customFormat="1">
      <c r="A47" s="1197" t="s">
        <v>548</v>
      </c>
      <c r="B47" s="1198">
        <f ca="1">'预评函-3'!D4</f>
        <v>776</v>
      </c>
    </row>
    <row r="48" spans="1:2" s="1199" customFormat="1">
      <c r="A48" s="1197" t="s">
        <v>549</v>
      </c>
      <c r="B48" s="1198">
        <f ca="1">'预评函-3'!E4</f>
        <v>3171</v>
      </c>
    </row>
    <row r="49" spans="1:2" s="1199" customFormat="1">
      <c r="A49" s="1197" t="s">
        <v>550</v>
      </c>
      <c r="B49" s="1198" t="str">
        <f ca="1">'预评函-3'!D5</f>
        <v>柒佰柒拾陆万元整</v>
      </c>
    </row>
    <row r="50" spans="1:2" s="1199" customFormat="1">
      <c r="A50" s="1197" t="s">
        <v>574</v>
      </c>
      <c r="B50" s="1198" t="str">
        <f>'预评函-3'!F2</f>
        <v>在建建筑物价值</v>
      </c>
    </row>
    <row r="51" spans="1:2" s="1199" customFormat="1">
      <c r="A51" s="1197" t="s">
        <v>551</v>
      </c>
      <c r="B51" s="1198">
        <f ca="1">'预评函-3'!F4</f>
        <v>628</v>
      </c>
    </row>
    <row r="52" spans="1:2" s="1199" customFormat="1">
      <c r="A52" s="1197" t="s">
        <v>552</v>
      </c>
      <c r="B52" s="1198">
        <f ca="1">'预评函-3'!G4</f>
        <v>2566</v>
      </c>
    </row>
    <row r="53" spans="1:2" s="1199" customFormat="1">
      <c r="A53" s="1197" t="s">
        <v>580</v>
      </c>
      <c r="B53" s="1198" t="str">
        <f ca="1">'预评函-3'!F5</f>
        <v>陆佰贰拾捌万元整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 怀柔区开放东路21号3幢1层、4幢1层、5幢1层、6幢1层、7-2幢1层全部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28"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9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528"/>
      <c r="B54" s="1550" t="s">
        <v>385</v>
      </c>
      <c r="C54" s="1547" t="s">
        <v>583</v>
      </c>
    </row>
    <row r="55" spans="1:4">
      <c r="A55" s="3528"/>
      <c r="B55" s="1550" t="s">
        <v>386</v>
      </c>
      <c r="C55" s="1547" t="s">
        <v>584</v>
      </c>
    </row>
    <row r="56" spans="1:4">
      <c r="A56" s="3528"/>
      <c r="B56" s="1550" t="s">
        <v>387</v>
      </c>
      <c r="C56" s="1547" t="s">
        <v>588</v>
      </c>
    </row>
    <row r="57" spans="1:4">
      <c r="A57" s="3528"/>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2504</v>
      </c>
      <c r="B1" s="3010"/>
      <c r="C1" s="3010"/>
      <c r="D1" s="3010"/>
      <c r="E1" s="3010"/>
      <c r="F1" s="3011"/>
      <c r="I1" s="3433" t="s">
        <v>2597</v>
      </c>
      <c r="J1" s="3222"/>
      <c r="K1" s="3222"/>
      <c r="L1" s="3222"/>
      <c r="M1" s="3222"/>
      <c r="N1" s="3434"/>
      <c r="O1" s="3434"/>
      <c r="P1" s="3434"/>
      <c r="Q1" s="3434"/>
      <c r="R1" s="3434"/>
    </row>
    <row r="2" spans="1:18">
      <c r="A2" s="3013"/>
      <c r="B2" s="3014"/>
      <c r="C2" s="3014"/>
      <c r="D2" s="3014"/>
      <c r="E2" s="3014"/>
      <c r="F2" s="3015"/>
      <c r="I2" s="3529" t="s">
        <v>2584</v>
      </c>
      <c r="J2" s="3529"/>
      <c r="K2" s="3529"/>
      <c r="L2" s="3529"/>
      <c r="M2" s="3529"/>
      <c r="N2" s="3529"/>
      <c r="O2" s="3529"/>
      <c r="P2" s="3529"/>
      <c r="Q2" s="3529"/>
      <c r="R2" s="3529"/>
    </row>
    <row r="3" spans="1:18">
      <c r="A3" s="3016" t="s">
        <v>2505</v>
      </c>
      <c r="B3" s="3017">
        <f>项目基本情况!D3</f>
        <v>45421</v>
      </c>
      <c r="C3" s="3019"/>
      <c r="D3" s="3019"/>
      <c r="E3" s="3019"/>
      <c r="F3" s="3015"/>
      <c r="I3" s="3435"/>
      <c r="J3" s="3435" t="s">
        <v>2588</v>
      </c>
      <c r="K3" s="3435" t="s">
        <v>2589</v>
      </c>
      <c r="L3" s="3435" t="s">
        <v>2590</v>
      </c>
      <c r="M3" s="3435" t="s">
        <v>2591</v>
      </c>
      <c r="N3" s="3436" t="s">
        <v>2592</v>
      </c>
      <c r="O3" s="3436" t="s">
        <v>2593</v>
      </c>
      <c r="P3" s="3436" t="s">
        <v>2594</v>
      </c>
      <c r="Q3" s="3436" t="s">
        <v>2595</v>
      </c>
      <c r="R3" s="3436" t="s">
        <v>2596</v>
      </c>
    </row>
    <row r="4" spans="1:18">
      <c r="A4" s="3016" t="s">
        <v>2506</v>
      </c>
      <c r="B4" s="3019" t="s">
        <v>2507</v>
      </c>
      <c r="C4" s="3019" t="s">
        <v>2508</v>
      </c>
      <c r="D4" s="3019" t="s">
        <v>2509</v>
      </c>
      <c r="E4" s="3019" t="s">
        <v>2510</v>
      </c>
      <c r="F4" s="3015"/>
      <c r="I4" s="3435" t="s">
        <v>2585</v>
      </c>
      <c r="J4" s="3435">
        <v>80</v>
      </c>
      <c r="K4" s="3435">
        <v>70</v>
      </c>
      <c r="L4" s="3435">
        <v>20</v>
      </c>
      <c r="M4" s="3435">
        <v>30</v>
      </c>
      <c r="N4" s="3019">
        <v>45</v>
      </c>
      <c r="O4" s="3019">
        <v>60</v>
      </c>
      <c r="P4" s="3019">
        <v>50</v>
      </c>
      <c r="Q4" s="3019">
        <v>20</v>
      </c>
      <c r="R4" s="3019">
        <v>375</v>
      </c>
    </row>
    <row r="5" spans="1:18">
      <c r="A5" s="3020">
        <v>40</v>
      </c>
      <c r="B5" s="3017">
        <v>46375</v>
      </c>
      <c r="C5" s="3019">
        <f>ROUNDDOWN(MIN((B5-B3)/365,A5),2)</f>
        <v>2.61</v>
      </c>
      <c r="D5" s="3021">
        <f>IF(ISERROR(ROUND(POWER(1+E5,A5-C5)*(POWER(1+E5,C5)-1)/(POWER(1+E5,A5)-1),3)),0,ROUND(POWER(1+E5,A5-C5)*(POWER(1+E5,C5)-1)/(POWER(1+E5,A5)-1),4))</f>
        <v>0.1229</v>
      </c>
      <c r="E5" s="3022">
        <v>0.04</v>
      </c>
      <c r="F5" s="3015"/>
      <c r="I5" s="3435" t="s">
        <v>2586</v>
      </c>
      <c r="J5" s="3435">
        <v>70</v>
      </c>
      <c r="K5" s="3435">
        <v>60</v>
      </c>
      <c r="L5" s="3435">
        <v>15</v>
      </c>
      <c r="M5" s="3435">
        <v>25</v>
      </c>
      <c r="N5" s="3019">
        <v>40</v>
      </c>
      <c r="O5" s="3019">
        <v>50</v>
      </c>
      <c r="P5" s="3019">
        <v>40</v>
      </c>
      <c r="Q5" s="3019">
        <v>15</v>
      </c>
      <c r="R5" s="3019">
        <v>315</v>
      </c>
    </row>
    <row r="6" spans="1:18">
      <c r="A6" s="3020">
        <v>50</v>
      </c>
      <c r="B6" s="3017">
        <v>50028</v>
      </c>
      <c r="C6" s="3019">
        <f>ROUNDDOWN(MIN((B6-B3)/365,A6),2)</f>
        <v>12.62</v>
      </c>
      <c r="D6" s="3021">
        <f>IF(ISERROR(ROUND(POWER(1+E6,A6-C6)*(POWER(1+E6,C6)-1)/(POWER(1+E6,A6)-1),3)),0,ROUND(POWER(1+E6,A6-C6)*(POWER(1+E6,C6)-1)/(POWER(1+E6,A6)-1),4))</f>
        <v>0.45429999999999998</v>
      </c>
      <c r="E6" s="3022">
        <v>0.04</v>
      </c>
      <c r="F6" s="3015"/>
      <c r="I6" s="3435" t="s">
        <v>2587</v>
      </c>
      <c r="J6" s="3435">
        <v>60</v>
      </c>
      <c r="K6" s="3435">
        <v>50</v>
      </c>
      <c r="L6" s="3435">
        <v>10</v>
      </c>
      <c r="M6" s="3435">
        <v>20</v>
      </c>
      <c r="N6" s="3019">
        <v>35</v>
      </c>
      <c r="O6" s="3019">
        <v>40</v>
      </c>
      <c r="P6" s="3019">
        <v>30</v>
      </c>
      <c r="Q6" s="3019">
        <v>10</v>
      </c>
      <c r="R6" s="3019">
        <v>255</v>
      </c>
    </row>
    <row r="7" spans="1:18">
      <c r="A7" s="3020">
        <v>70</v>
      </c>
      <c r="B7" s="3017">
        <v>57333</v>
      </c>
      <c r="C7" s="3019">
        <f>ROUNDDOWN(MIN((B7-B3)/365,A7),2)</f>
        <v>32.630000000000003</v>
      </c>
      <c r="D7" s="3021">
        <f>IF(ISERROR(ROUND(POWER(1+E7,A7-C7)*(POWER(1+E7,C7)-1)/(POWER(1+E7,A7)-1),3)),0,ROUND(POWER(1+E7,A7-C7)*(POWER(1+E7,C7)-1)/(POWER(1+E7,A7)-1),4))</f>
        <v>0.77139999999999997</v>
      </c>
      <c r="E7" s="3022">
        <v>0.04</v>
      </c>
      <c r="F7" s="3015"/>
    </row>
    <row r="8" spans="1:18">
      <c r="A8" s="3013"/>
      <c r="B8" s="3014"/>
      <c r="C8" s="3014"/>
      <c r="D8" s="3014"/>
      <c r="E8" s="3014"/>
      <c r="F8" s="3015"/>
    </row>
    <row r="9" spans="1:18">
      <c r="A9" s="3016" t="s">
        <v>2511</v>
      </c>
      <c r="B9" s="3019"/>
      <c r="C9" s="3019"/>
      <c r="D9" s="3019"/>
      <c r="E9" s="3019"/>
      <c r="F9" s="3023"/>
    </row>
    <row r="10" spans="1:18">
      <c r="A10" s="3016" t="s">
        <v>2512</v>
      </c>
      <c r="B10" s="3019"/>
      <c r="C10" s="3019"/>
      <c r="D10" s="3019" t="s">
        <v>2510</v>
      </c>
      <c r="E10" s="3019"/>
      <c r="F10" s="3023" t="s">
        <v>2509</v>
      </c>
    </row>
    <row r="11" spans="1:18">
      <c r="A11" s="3016" t="s">
        <v>2513</v>
      </c>
      <c r="B11" s="3024">
        <v>70</v>
      </c>
      <c r="C11" s="3019" t="s">
        <v>2514</v>
      </c>
      <c r="D11" s="3025">
        <v>4.4999999999999998E-2</v>
      </c>
      <c r="E11" s="3019" t="s">
        <v>2515</v>
      </c>
      <c r="F11" s="3026">
        <f>ROUND(1-(1/(POWER(1+D11,B11))),4)</f>
        <v>0.95409999999999995</v>
      </c>
    </row>
    <row r="12" spans="1:18">
      <c r="A12" s="3016" t="s">
        <v>2516</v>
      </c>
      <c r="B12" s="3024">
        <v>40</v>
      </c>
      <c r="C12" s="3019" t="s">
        <v>2517</v>
      </c>
      <c r="D12" s="3025">
        <v>4.4999999999999998E-2</v>
      </c>
      <c r="E12" s="3019" t="s">
        <v>2518</v>
      </c>
      <c r="F12" s="3026">
        <f>ROUND(1-(1/(POWER(1+D12,B12))),4)</f>
        <v>0.82809999999999995</v>
      </c>
    </row>
    <row r="13" spans="1:18">
      <c r="A13" s="3016" t="s">
        <v>2519</v>
      </c>
      <c r="B13" s="3019"/>
      <c r="C13" s="3019"/>
      <c r="D13" s="3014"/>
      <c r="E13" s="3014"/>
      <c r="F13" s="3015"/>
    </row>
    <row r="14" spans="1:18">
      <c r="A14" s="3016" t="s">
        <v>2520</v>
      </c>
      <c r="B14" s="3024">
        <v>5000</v>
      </c>
      <c r="C14" s="3018"/>
      <c r="D14" s="3014"/>
      <c r="E14" s="3014"/>
      <c r="F14" s="3015"/>
    </row>
    <row r="15" spans="1:18">
      <c r="A15" s="3016" t="s">
        <v>2521</v>
      </c>
      <c r="B15" s="3019">
        <f>ROUND(B14*F12/F11,2)</f>
        <v>4339.6899999999996</v>
      </c>
      <c r="C15" s="3019">
        <f>ROUND(F12/F11,4)</f>
        <v>0.8679</v>
      </c>
      <c r="D15" s="3014"/>
      <c r="E15" s="3014"/>
      <c r="F15" s="3015"/>
    </row>
    <row r="16" spans="1:18">
      <c r="A16" s="3016" t="s">
        <v>2522</v>
      </c>
      <c r="B16" s="3019"/>
      <c r="C16" s="3019"/>
      <c r="D16" s="3014"/>
      <c r="E16" s="3014"/>
      <c r="F16" s="3015"/>
    </row>
    <row r="17" spans="1:13">
      <c r="A17" s="3016" t="s">
        <v>2521</v>
      </c>
      <c r="B17" s="3025">
        <v>4810</v>
      </c>
      <c r="C17" s="3018"/>
      <c r="D17" s="3014"/>
      <c r="E17" s="3014"/>
      <c r="F17" s="3015"/>
    </row>
    <row r="18" spans="1:13" ht="14.25" thickBot="1">
      <c r="A18" s="3027" t="s">
        <v>2520</v>
      </c>
      <c r="B18" s="3028">
        <f>ROUND(B17*F11/F12,2)</f>
        <v>5541.87</v>
      </c>
      <c r="C18" s="3028">
        <f>ROUND(F11/F12,4)</f>
        <v>1.1521999999999999</v>
      </c>
      <c r="D18" s="3029"/>
      <c r="E18" s="3029"/>
      <c r="F18" s="3030"/>
    </row>
    <row r="19" spans="1:13" ht="14.25" thickBot="1"/>
    <row r="20" spans="1:13" s="3065" customFormat="1" ht="14.25" thickTop="1">
      <c r="A20" s="3062" t="s">
        <v>2523</v>
      </c>
      <c r="B20" s="3063"/>
      <c r="C20" s="3063"/>
      <c r="D20" s="3063"/>
      <c r="E20" s="3063"/>
      <c r="F20" s="3063"/>
      <c r="G20" s="3064"/>
      <c r="I20" s="3066" t="s">
        <v>2568</v>
      </c>
      <c r="J20" s="3066" t="s">
        <v>2573</v>
      </c>
      <c r="K20" s="3066"/>
      <c r="L20" s="3066"/>
      <c r="M20" s="3066"/>
    </row>
    <row r="21" spans="1:13">
      <c r="A21" s="3031"/>
      <c r="B21" s="3032" t="s">
        <v>2524</v>
      </c>
      <c r="C21" s="3032" t="s">
        <v>2525</v>
      </c>
      <c r="D21" s="3032" t="s">
        <v>2526</v>
      </c>
      <c r="E21" s="3032" t="s">
        <v>2527</v>
      </c>
      <c r="F21" s="3032" t="s">
        <v>2528</v>
      </c>
      <c r="G21" s="3033" t="s">
        <v>2529</v>
      </c>
      <c r="I21" s="3054">
        <v>5</v>
      </c>
      <c r="J21" s="3054">
        <v>54.2</v>
      </c>
    </row>
    <row r="22" spans="1:13">
      <c r="A22" s="3031" t="s">
        <v>2530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2571</v>
      </c>
      <c r="M23" s="3054" t="s">
        <v>2572</v>
      </c>
    </row>
    <row r="24" spans="1:13">
      <c r="A24" s="3031" t="s">
        <v>2532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2570</v>
      </c>
      <c r="M24" s="3054">
        <v>10</v>
      </c>
    </row>
    <row r="25" spans="1:13">
      <c r="A25" s="3031" t="s">
        <v>2533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2574</v>
      </c>
      <c r="M25" s="3054">
        <v>8</v>
      </c>
    </row>
    <row r="26" spans="1:13">
      <c r="A26" s="3036"/>
      <c r="B26" s="3037"/>
      <c r="C26" s="3037"/>
      <c r="D26" s="3037"/>
      <c r="E26" s="3037"/>
      <c r="F26" s="3037"/>
      <c r="G26" s="3038"/>
      <c r="I26" s="3054">
        <v>30</v>
      </c>
      <c r="J26" s="3054">
        <v>90.5</v>
      </c>
      <c r="K26" s="3054">
        <f t="shared" si="2"/>
        <v>4.2000000000000028</v>
      </c>
      <c r="L26" s="3054" t="s">
        <v>2575</v>
      </c>
      <c r="M26" s="3054">
        <v>5</v>
      </c>
    </row>
    <row r="27" spans="1:13">
      <c r="A27" s="3036" t="s">
        <v>2534</v>
      </c>
      <c r="B27" s="3037"/>
      <c r="C27" s="3037"/>
      <c r="D27" s="3037"/>
      <c r="E27" s="3037"/>
      <c r="F27" s="3037"/>
      <c r="G27" s="3038"/>
      <c r="I27" s="3054">
        <v>35</v>
      </c>
      <c r="J27" s="3054">
        <v>93.8</v>
      </c>
      <c r="K27" s="3054">
        <f t="shared" si="2"/>
        <v>3.2999999999999972</v>
      </c>
      <c r="L27" s="3054" t="s">
        <v>2576</v>
      </c>
      <c r="M27" s="3054">
        <v>3</v>
      </c>
    </row>
    <row r="28" spans="1:13">
      <c r="A28" s="3036" t="s">
        <v>2535</v>
      </c>
      <c r="B28" s="3037"/>
      <c r="C28" s="3037"/>
      <c r="D28" s="3037"/>
      <c r="E28" s="3037"/>
      <c r="F28" s="3037"/>
      <c r="G28" s="3038"/>
      <c r="I28" s="3054">
        <v>40</v>
      </c>
      <c r="J28" s="3054">
        <v>96.4</v>
      </c>
      <c r="K28" s="3054">
        <f t="shared" si="2"/>
        <v>2.6000000000000085</v>
      </c>
      <c r="L28" s="3054" t="s">
        <v>2577</v>
      </c>
      <c r="M28" s="3054">
        <v>2</v>
      </c>
    </row>
    <row r="29" spans="1:13">
      <c r="A29" s="3036" t="s">
        <v>2536</v>
      </c>
      <c r="B29" s="3037"/>
      <c r="C29" s="3037"/>
      <c r="D29" s="3037"/>
      <c r="E29" s="3037"/>
      <c r="F29" s="3037"/>
      <c r="G29" s="3038"/>
      <c r="I29" s="3054">
        <v>45</v>
      </c>
      <c r="J29" s="3054">
        <v>98.4</v>
      </c>
      <c r="K29" s="3054">
        <f t="shared" si="2"/>
        <v>2</v>
      </c>
    </row>
    <row r="30" spans="1:13">
      <c r="A30" s="3036" t="s">
        <v>2537</v>
      </c>
      <c r="B30" s="3037"/>
      <c r="C30" s="3037"/>
      <c r="D30" s="3037"/>
      <c r="E30" s="3037"/>
      <c r="F30" s="3037"/>
      <c r="G30" s="3038"/>
      <c r="I30" s="3054">
        <v>50</v>
      </c>
      <c r="J30" s="3054">
        <v>100</v>
      </c>
      <c r="K30" s="3054">
        <f t="shared" si="2"/>
        <v>1.5999999999999943</v>
      </c>
    </row>
    <row r="31" spans="1:13">
      <c r="A31" s="3036" t="s">
        <v>2538</v>
      </c>
      <c r="B31" s="3037"/>
      <c r="C31" s="3037"/>
      <c r="D31" s="3037"/>
      <c r="E31" s="3037"/>
      <c r="F31" s="3037"/>
      <c r="G31" s="3038"/>
      <c r="I31" s="3054" t="s">
        <v>2569</v>
      </c>
    </row>
    <row r="32" spans="1:13">
      <c r="A32" s="3036" t="s">
        <v>2539</v>
      </c>
      <c r="B32" s="3037"/>
      <c r="C32" s="3037"/>
      <c r="D32" s="3037"/>
      <c r="E32" s="3037"/>
      <c r="F32" s="3037"/>
      <c r="G32" s="3038"/>
    </row>
    <row r="33" spans="1:13">
      <c r="A33" s="3036" t="s">
        <v>2540</v>
      </c>
      <c r="B33" s="3037"/>
      <c r="C33" s="3037"/>
      <c r="D33" s="3037"/>
      <c r="E33" s="3037"/>
      <c r="F33" s="3037"/>
      <c r="G33" s="3038"/>
      <c r="I33" s="3054" t="s">
        <v>2568</v>
      </c>
      <c r="J33" s="3054" t="s">
        <v>2578</v>
      </c>
    </row>
    <row r="34" spans="1:13">
      <c r="A34" s="3036" t="s">
        <v>2541</v>
      </c>
      <c r="B34" s="3037"/>
      <c r="C34" s="3037"/>
      <c r="D34" s="3037"/>
      <c r="E34" s="3037"/>
      <c r="F34" s="3037"/>
      <c r="G34" s="3038"/>
      <c r="I34" s="3054">
        <v>5</v>
      </c>
      <c r="J34" s="3054">
        <v>55.1</v>
      </c>
    </row>
    <row r="35" spans="1:13">
      <c r="A35" s="3036" t="s">
        <v>2542</v>
      </c>
      <c r="B35" s="3037"/>
      <c r="C35" s="3037"/>
      <c r="D35" s="3037"/>
      <c r="E35" s="3037"/>
      <c r="F35" s="3037"/>
      <c r="G35" s="3038"/>
      <c r="I35" s="3054">
        <v>10</v>
      </c>
      <c r="J35" s="3054">
        <v>67</v>
      </c>
      <c r="K35" s="3054">
        <f>J35-J34</f>
        <v>11.899999999999999</v>
      </c>
    </row>
    <row r="36" spans="1:13">
      <c r="A36" s="3036" t="s">
        <v>2543</v>
      </c>
      <c r="B36" s="3037"/>
      <c r="C36" s="3037"/>
      <c r="D36" s="3037"/>
      <c r="E36" s="3037"/>
      <c r="F36" s="3037"/>
      <c r="G36" s="3038"/>
      <c r="I36" s="3054">
        <v>15</v>
      </c>
      <c r="J36" s="3054">
        <v>76.3</v>
      </c>
      <c r="K36" s="3054">
        <f t="shared" ref="K36:K41" si="3">J36-J35</f>
        <v>9.2999999999999972</v>
      </c>
      <c r="L36" s="3054" t="s">
        <v>2571</v>
      </c>
      <c r="M36" s="3054" t="s">
        <v>2572</v>
      </c>
    </row>
    <row r="37" spans="1:13">
      <c r="A37" s="3036" t="s">
        <v>2544</v>
      </c>
      <c r="B37" s="3037"/>
      <c r="C37" s="3037"/>
      <c r="D37" s="3037"/>
      <c r="E37" s="3037"/>
      <c r="F37" s="3037"/>
      <c r="G37" s="3038"/>
      <c r="I37" s="3054">
        <v>20</v>
      </c>
      <c r="J37" s="3054">
        <v>83.6</v>
      </c>
      <c r="K37" s="3054">
        <f t="shared" si="3"/>
        <v>7.2999999999999972</v>
      </c>
      <c r="L37" s="3054" t="s">
        <v>2570</v>
      </c>
      <c r="M37" s="3054">
        <v>10</v>
      </c>
    </row>
    <row r="38" spans="1:13">
      <c r="A38" s="3036" t="s">
        <v>2545</v>
      </c>
      <c r="B38" s="3037"/>
      <c r="C38" s="3037"/>
      <c r="D38" s="3037"/>
      <c r="E38" s="3037"/>
      <c r="F38" s="3037"/>
      <c r="G38" s="3038"/>
      <c r="I38" s="3054">
        <v>25</v>
      </c>
      <c r="J38" s="3054">
        <v>89.3</v>
      </c>
      <c r="K38" s="3054">
        <f t="shared" si="3"/>
        <v>5.7000000000000028</v>
      </c>
      <c r="L38" s="3054" t="s">
        <v>2574</v>
      </c>
      <c r="M38" s="3054">
        <v>8</v>
      </c>
    </row>
    <row r="39" spans="1:13">
      <c r="A39" s="3036"/>
      <c r="B39" s="3037"/>
      <c r="C39" s="3037"/>
      <c r="D39" s="3037"/>
      <c r="E39" s="3037"/>
      <c r="F39" s="3037"/>
      <c r="G39" s="3038"/>
      <c r="I39" s="3054">
        <v>30</v>
      </c>
      <c r="J39" s="3054">
        <v>93.8</v>
      </c>
      <c r="K39" s="3054">
        <f t="shared" si="3"/>
        <v>4.5</v>
      </c>
      <c r="L39" s="3054" t="s">
        <v>2575</v>
      </c>
      <c r="M39" s="3054">
        <v>6</v>
      </c>
    </row>
    <row r="40" spans="1:13">
      <c r="A40" s="3039" t="s">
        <v>2546</v>
      </c>
      <c r="B40" s="3040"/>
      <c r="C40" s="3040"/>
      <c r="D40" s="3040"/>
      <c r="E40" s="3040"/>
      <c r="F40" s="3040"/>
      <c r="G40" s="3041"/>
      <c r="I40" s="3054">
        <v>35</v>
      </c>
      <c r="J40" s="3054">
        <v>97.2</v>
      </c>
      <c r="K40" s="3054">
        <f t="shared" si="3"/>
        <v>3.4000000000000057</v>
      </c>
      <c r="L40" s="3054" t="s">
        <v>2576</v>
      </c>
      <c r="M40" s="3054">
        <v>3</v>
      </c>
    </row>
    <row r="41" spans="1:13">
      <c r="A41" s="3042" t="s">
        <v>2547</v>
      </c>
      <c r="B41" s="3043" t="s">
        <v>2548</v>
      </c>
      <c r="C41" s="3044" t="s">
        <v>2549</v>
      </c>
      <c r="D41" s="3044" t="s">
        <v>2550</v>
      </c>
      <c r="E41" s="3045"/>
      <c r="F41" s="3046"/>
      <c r="G41" s="3047"/>
      <c r="I41" s="3054">
        <v>40</v>
      </c>
      <c r="J41" s="3054">
        <v>100</v>
      </c>
      <c r="K41" s="3054">
        <f t="shared" si="3"/>
        <v>2.7999999999999972</v>
      </c>
    </row>
    <row r="42" spans="1:13">
      <c r="A42" s="3042" t="s">
        <v>2551</v>
      </c>
      <c r="B42" s="3043" t="s">
        <v>2552</v>
      </c>
      <c r="C42" s="3044" t="s">
        <v>2553</v>
      </c>
      <c r="D42" s="3048" t="s">
        <v>2554</v>
      </c>
      <c r="E42" s="3040" t="s">
        <v>2555</v>
      </c>
      <c r="F42" s="3040"/>
      <c r="G42" s="3041"/>
    </row>
    <row r="43" spans="1:13">
      <c r="A43" s="3042" t="s">
        <v>2556</v>
      </c>
      <c r="B43" s="3043" t="s">
        <v>2557</v>
      </c>
      <c r="C43" s="3044" t="s">
        <v>2558</v>
      </c>
      <c r="D43" s="3044" t="s">
        <v>2559</v>
      </c>
      <c r="E43" s="3045" t="s">
        <v>2560</v>
      </c>
      <c r="F43" s="3046"/>
      <c r="G43" s="3047"/>
      <c r="I43" s="3054" t="s">
        <v>2568</v>
      </c>
      <c r="J43" s="3054" t="s">
        <v>2579</v>
      </c>
    </row>
    <row r="44" spans="1:13">
      <c r="A44" s="3042" t="s">
        <v>2561</v>
      </c>
      <c r="B44" s="3043" t="s">
        <v>2562</v>
      </c>
      <c r="C44" s="3044" t="s">
        <v>2563</v>
      </c>
      <c r="D44" s="3048">
        <v>0.5</v>
      </c>
      <c r="E44" s="3045" t="s">
        <v>2564</v>
      </c>
      <c r="F44" s="3046"/>
      <c r="G44" s="3047"/>
      <c r="I44" s="3054">
        <v>30</v>
      </c>
      <c r="J44" s="3054">
        <v>81.7</v>
      </c>
    </row>
    <row r="45" spans="1:13" ht="14.25" thickBot="1">
      <c r="A45" s="3049" t="s">
        <v>2565</v>
      </c>
      <c r="B45" s="3050" t="s">
        <v>2552</v>
      </c>
      <c r="C45" s="3051" t="s">
        <v>2552</v>
      </c>
      <c r="D45" s="3051" t="s">
        <v>2566</v>
      </c>
      <c r="E45" s="3052" t="s">
        <v>2567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E37" sqref="E37"/>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2168</v>
      </c>
      <c r="B1" s="3530" t="str">
        <f>IF(B10="北京市","北京市",C10)&amp;F10&amp;IF(结果表!G1="在建","出让国有建设用地使用权及在建建筑物",IF(结果表!G1="土地","出让国有建设用地使用权",))&amp;B9&amp;"预评估"</f>
        <v>北京市 怀柔区开放东路21号3幢1层、4幢1层、5幢1层、6幢1层、7-2幢1层全部房地产抵押价值预评估</v>
      </c>
      <c r="C1" s="3531"/>
      <c r="D1" s="3531"/>
      <c r="E1" s="3531"/>
      <c r="F1" s="3531"/>
      <c r="G1" s="3531"/>
      <c r="H1" s="3531"/>
      <c r="I1" s="3532"/>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 怀柔区开放东路21号3幢1层、4幢1层、5幢1层、6幢1层、7-2幢1层全部房地产抵押价值</v>
      </c>
      <c r="T1" s="1741"/>
      <c r="U1" s="1741"/>
      <c r="V1" s="1741"/>
      <c r="W1" s="1741"/>
      <c r="X1" s="1741"/>
      <c r="Y1" s="1741"/>
      <c r="Z1" s="1741"/>
      <c r="AA1" s="1741"/>
      <c r="AB1" s="1741"/>
    </row>
    <row r="2" spans="1:30">
      <c r="A2" s="2363" t="s">
        <v>2169</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 怀柔区开放东路21号3幢1层、4幢1层、5幢1层、6幢1层、7-2幢1层全部房地产</v>
      </c>
      <c r="T2" s="1741"/>
      <c r="U2" s="1741"/>
      <c r="V2" s="1741"/>
      <c r="W2" s="1741"/>
      <c r="X2" s="1741"/>
      <c r="Y2" s="1741"/>
      <c r="Z2" s="1741"/>
      <c r="AA2" s="1741"/>
      <c r="AB2" s="1741"/>
    </row>
    <row r="3" spans="1:30">
      <c r="A3" s="302" t="s">
        <v>2170</v>
      </c>
      <c r="B3" s="2369">
        <v>45421</v>
      </c>
      <c r="C3" s="2370" t="s">
        <v>2171</v>
      </c>
      <c r="D3" s="2369">
        <v>45421</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3380</v>
      </c>
      <c r="C8" s="2386"/>
      <c r="D8" s="3533" t="s">
        <v>2177</v>
      </c>
      <c r="E8" s="2387" t="s">
        <v>3384</v>
      </c>
      <c r="F8" s="2388"/>
      <c r="G8" s="2659"/>
      <c r="H8" s="2659"/>
      <c r="I8" s="2659"/>
      <c r="J8" s="2435"/>
      <c r="K8" s="2610"/>
      <c r="L8" s="2609"/>
      <c r="M8" s="2609"/>
      <c r="N8" s="2435"/>
      <c r="O8" s="2446"/>
      <c r="P8" s="2435"/>
      <c r="Q8" s="2435"/>
      <c r="R8" s="2435"/>
    </row>
    <row r="9" spans="1:30" ht="13.5" thickBot="1">
      <c r="A9" s="2389" t="s">
        <v>2178</v>
      </c>
      <c r="B9" s="2390" t="s">
        <v>3384</v>
      </c>
      <c r="C9" s="2391"/>
      <c r="D9" s="3534"/>
      <c r="E9" s="2390" t="s">
        <v>43</v>
      </c>
      <c r="F9" s="2392"/>
      <c r="G9" s="2661"/>
      <c r="H9" s="2661"/>
      <c r="I9" s="2661"/>
      <c r="J9" s="2435"/>
      <c r="K9" s="2612"/>
      <c r="L9" s="2609"/>
      <c r="M9" s="2609"/>
      <c r="N9" s="2435"/>
      <c r="O9" s="2446"/>
      <c r="P9" s="2435"/>
      <c r="Q9" s="2435"/>
      <c r="R9" s="2435"/>
    </row>
    <row r="10" spans="1:30" ht="13.5" thickTop="1">
      <c r="A10" s="2393" t="s">
        <v>2179</v>
      </c>
      <c r="B10" s="2394" t="s">
        <v>3385</v>
      </c>
      <c r="C10" s="2395"/>
      <c r="D10" s="2378"/>
      <c r="E10" s="2396" t="s">
        <v>2180</v>
      </c>
      <c r="F10" s="2662" t="s">
        <v>3387</v>
      </c>
      <c r="G10" s="2663"/>
      <c r="H10" s="2664"/>
      <c r="I10" s="2665"/>
      <c r="J10" s="2435"/>
      <c r="K10" s="2612"/>
      <c r="L10" s="2609"/>
      <c r="M10" s="2609"/>
      <c r="N10" s="2435"/>
      <c r="O10" s="2446"/>
      <c r="P10" s="2435"/>
      <c r="Q10" s="2435"/>
      <c r="R10" s="2435"/>
    </row>
    <row r="11" spans="1:30">
      <c r="A11" s="2397" t="s">
        <v>2181</v>
      </c>
      <c r="B11" s="2398" t="s">
        <v>3386</v>
      </c>
      <c r="C11" s="2399"/>
      <c r="D11" s="2400"/>
      <c r="E11" s="2366"/>
      <c r="F11" s="2366"/>
      <c r="G11" s="2366"/>
      <c r="H11" s="2366"/>
      <c r="I11" s="2366"/>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2580</v>
      </c>
      <c r="J12" s="3058"/>
      <c r="K12" s="2609"/>
      <c r="L12" s="2609"/>
      <c r="M12" s="2435"/>
      <c r="N12" s="2446"/>
      <c r="O12" s="2435"/>
      <c r="P12" s="2435"/>
      <c r="Q12" s="2435"/>
      <c r="AD12" s="1741"/>
    </row>
    <row r="13" spans="1:30">
      <c r="A13" s="3419" t="s">
        <v>3336</v>
      </c>
      <c r="B13" s="2403" t="s">
        <v>2190</v>
      </c>
      <c r="C13" s="852"/>
      <c r="D13" s="852"/>
      <c r="E13" s="852"/>
      <c r="F13" s="852"/>
      <c r="G13" s="852"/>
      <c r="H13" s="852">
        <v>54266</v>
      </c>
      <c r="I13" s="852">
        <v>49618</v>
      </c>
      <c r="J13" s="3058"/>
      <c r="K13" s="2609"/>
      <c r="L13" s="2609"/>
      <c r="M13" s="2435"/>
      <c r="N13" s="2446"/>
      <c r="O13" s="2435"/>
      <c r="P13" s="2435"/>
      <c r="Q13" s="2435"/>
      <c r="AD13" s="1741"/>
    </row>
    <row r="14" spans="1:30">
      <c r="A14" s="1077"/>
      <c r="B14" s="2403" t="s">
        <v>2191</v>
      </c>
      <c r="C14" s="2404"/>
      <c r="D14" s="2404"/>
      <c r="E14" s="2404"/>
      <c r="F14" s="2404"/>
      <c r="G14" s="2404"/>
      <c r="H14" s="2404">
        <v>50</v>
      </c>
      <c r="I14" s="2404"/>
      <c r="J14" s="3059"/>
      <c r="K14" s="2609"/>
      <c r="L14" s="2609"/>
      <c r="M14" s="2435"/>
      <c r="N14" s="2446"/>
      <c r="O14" s="2435"/>
      <c r="P14" s="2435"/>
      <c r="Q14" s="2435"/>
      <c r="AD14" s="1741"/>
    </row>
    <row r="15" spans="1:30">
      <c r="A15" s="320"/>
      <c r="B15" s="2405" t="s">
        <v>2192</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24.23</v>
      </c>
      <c r="I15" s="2406">
        <f>IF(A13="出让",IF(I13="","",ROUNDDOWN(MIN((I13-$D$3)/365,I14),2)),I14)</f>
        <v>11.49</v>
      </c>
      <c r="J15" s="3060"/>
      <c r="K15" s="2447"/>
      <c r="L15" s="2447"/>
      <c r="M15" s="2505"/>
      <c r="N15" s="2447"/>
      <c r="O15" s="2505"/>
      <c r="P15" s="2435"/>
      <c r="Q15" s="2435"/>
      <c r="AD15" s="1741"/>
    </row>
    <row r="16" spans="1:30">
      <c r="A16" s="2396" t="s">
        <v>2193</v>
      </c>
      <c r="B16" s="3540" t="s">
        <v>3389</v>
      </c>
      <c r="C16" s="3541"/>
      <c r="D16" s="3542"/>
      <c r="E16" s="2409" t="s">
        <v>2194</v>
      </c>
      <c r="F16" s="3543"/>
      <c r="G16" s="3544"/>
      <c r="H16" s="3544"/>
      <c r="I16" s="3545"/>
      <c r="J16" s="2435"/>
      <c r="K16" s="2613"/>
      <c r="L16" s="2447"/>
      <c r="M16" s="2447"/>
      <c r="N16" s="2505"/>
      <c r="O16" s="2447"/>
      <c r="P16" s="2505"/>
      <c r="Q16" s="2435"/>
      <c r="R16" s="2435"/>
    </row>
    <row r="17" spans="1:28">
      <c r="A17" s="313" t="s">
        <v>2195</v>
      </c>
      <c r="B17" s="302" t="s">
        <v>2196</v>
      </c>
      <c r="C17" s="8">
        <f>'数据-汇总表'!E3</f>
        <v>2447.34</v>
      </c>
      <c r="D17" s="2318" t="s">
        <v>2197</v>
      </c>
      <c r="E17" s="3546" t="s">
        <v>2198</v>
      </c>
      <c r="F17" s="3547"/>
      <c r="G17" s="3547"/>
      <c r="H17" s="3547"/>
      <c r="I17" s="3548"/>
      <c r="J17" s="2435"/>
      <c r="K17" s="2614"/>
      <c r="L17" s="2447"/>
      <c r="M17" s="2447"/>
      <c r="N17" s="2505"/>
      <c r="O17" s="2447"/>
      <c r="P17" s="2505"/>
      <c r="Q17" s="2435"/>
      <c r="R17" s="2435"/>
      <c r="S17" s="2435"/>
      <c r="T17" s="2435"/>
      <c r="U17" s="2435"/>
      <c r="V17" s="2435"/>
    </row>
    <row r="18" spans="1:28" ht="24.75" thickBot="1">
      <c r="A18" s="2410" t="s">
        <v>2199</v>
      </c>
      <c r="B18" s="1086" t="s">
        <v>2200</v>
      </c>
      <c r="C18" s="2411">
        <f>'数据-汇总表'!D3</f>
        <v>5389.47</v>
      </c>
      <c r="D18" s="1088" t="s">
        <v>2201</v>
      </c>
      <c r="E18" s="3549" t="s">
        <v>2202</v>
      </c>
      <c r="F18" s="3550"/>
      <c r="G18" s="3550"/>
      <c r="H18" s="3550"/>
      <c r="I18" s="3551"/>
      <c r="J18" s="2435"/>
      <c r="K18" s="2614"/>
      <c r="L18" s="2447"/>
      <c r="M18" s="2447"/>
      <c r="N18" s="2505"/>
      <c r="O18" s="2447"/>
      <c r="P18" s="2505"/>
      <c r="Q18" s="2435"/>
      <c r="R18" s="2435"/>
      <c r="S18" s="2435"/>
      <c r="T18" s="2435"/>
      <c r="U18" s="2435"/>
      <c r="V18" s="2435"/>
    </row>
    <row r="19" spans="1:28" ht="37.5" thickTop="1" thickBot="1">
      <c r="A19" s="327" t="s">
        <v>1055</v>
      </c>
      <c r="B19" s="307" t="s">
        <v>2203</v>
      </c>
      <c r="C19" s="1559"/>
      <c r="D19" s="1560" t="s">
        <v>2204</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2205</v>
      </c>
      <c r="B20" s="3536" t="s">
        <v>2206</v>
      </c>
      <c r="C20" s="3537"/>
      <c r="D20" s="3538" t="s">
        <v>2207</v>
      </c>
      <c r="E20" s="3539"/>
      <c r="F20" s="2643" t="s">
        <v>1056</v>
      </c>
      <c r="G20" s="2660"/>
      <c r="H20" s="2660"/>
      <c r="I20" s="2660"/>
      <c r="J20" s="2435"/>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2209</v>
      </c>
      <c r="C21" s="2630" t="s">
        <v>1057</v>
      </c>
      <c r="D21" s="1564" t="s">
        <v>2210</v>
      </c>
      <c r="E21" s="2631" t="s">
        <v>1057</v>
      </c>
      <c r="F21" s="2644"/>
      <c r="G21" s="2660"/>
      <c r="H21" s="2660"/>
      <c r="I21" s="2660"/>
      <c r="J21" s="2435"/>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2211</v>
      </c>
      <c r="C22" s="2630" t="s">
        <v>1058</v>
      </c>
      <c r="D22" s="2659"/>
      <c r="E22" s="2659"/>
      <c r="F22" s="2659"/>
      <c r="G22" s="2660"/>
      <c r="H22" s="2660"/>
      <c r="I22" s="2660"/>
      <c r="J22" s="2435"/>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53" t="s">
        <v>2214</v>
      </c>
      <c r="B27" s="320" t="s">
        <v>2215</v>
      </c>
      <c r="C27" s="2412" t="s">
        <v>3390</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53"/>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53"/>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54"/>
      <c r="B30" s="302" t="s">
        <v>2218</v>
      </c>
      <c r="C30" s="3555"/>
      <c r="D30" s="3556"/>
      <c r="E30" s="2660"/>
      <c r="F30" s="2660"/>
      <c r="G30" s="2660"/>
      <c r="H30" s="2660"/>
      <c r="I30" s="2660"/>
      <c r="J30" s="2435"/>
      <c r="K30" s="2612"/>
      <c r="L30" s="2609"/>
      <c r="M30" s="2609"/>
      <c r="N30" s="2435"/>
      <c r="O30" s="2446"/>
      <c r="P30" s="2435"/>
      <c r="Q30" s="2435"/>
      <c r="R30" s="2435"/>
      <c r="S30" s="2435"/>
      <c r="T30" s="2435"/>
      <c r="U30" s="2435"/>
      <c r="V30" s="2435"/>
    </row>
    <row r="31" spans="1:28">
      <c r="A31" s="3557" t="s">
        <v>2219</v>
      </c>
      <c r="B31" s="2418" t="s">
        <v>3391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58"/>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58"/>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52" t="s">
        <v>2228</v>
      </c>
      <c r="T34" s="2424" t="str">
        <f>NUMBERSTRING(7-K34,1)&amp;"通"</f>
        <v>七通</v>
      </c>
      <c r="U34" s="2435"/>
      <c r="V34" s="2435"/>
    </row>
    <row r="35" spans="1:30">
      <c r="A35" s="2425"/>
      <c r="B35" s="3559" t="s">
        <v>2229</v>
      </c>
      <c r="C35" s="3559"/>
      <c r="D35" s="3559"/>
      <c r="E35" s="3559"/>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2"/>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2583</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c r="E37" s="2427" t="s">
        <v>305</v>
      </c>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c r="C38" s="2428"/>
      <c r="D38" s="2428"/>
      <c r="E38" s="2428" t="s">
        <v>3392</v>
      </c>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2233</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5389.47</v>
      </c>
      <c r="B3" s="11">
        <f>IF(C3="否",G5-AT5,G5)</f>
        <v>2447.34</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2447.34</v>
      </c>
      <c r="H5" s="13">
        <f t="shared" ref="H5:AT5" si="0">SUM(H13:H656)</f>
        <v>2447.34</v>
      </c>
      <c r="I5" s="13">
        <f t="shared" si="0"/>
        <v>2447.34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2447.34</v>
      </c>
      <c r="BA5" s="15">
        <f t="shared" si="1"/>
        <v>2447.34</v>
      </c>
      <c r="BB5" s="15">
        <f t="shared" si="1"/>
        <v>2447.34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5389.47</v>
      </c>
      <c r="F6" s="13" t="s">
        <v>0</v>
      </c>
      <c r="G6" s="13" t="s">
        <v>1</v>
      </c>
      <c r="H6" s="17">
        <f>SUMIF(I$12:AB$12,"总值",I6:AB6)</f>
        <v>5389.47</v>
      </c>
      <c r="I6" s="13">
        <f t="shared" ref="I6:AB6" si="2">ROUND($A$3*I5/$B$3,2)</f>
        <v>5389.47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5389.47</v>
      </c>
      <c r="AZ6" s="13" t="s">
        <v>2</v>
      </c>
      <c r="BA6" s="13">
        <f>ROUND($AY$6*BA5/$AZ$5,2)</f>
        <v>5389.47</v>
      </c>
      <c r="BB6" s="13">
        <f>ROUND($AY$6*BB5/$AZ$5,2)</f>
        <v>5389.47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3399</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3</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工业</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3394</v>
      </c>
      <c r="E13" s="13">
        <f>IF($C$3="是",ROUND($A$3*G13/$B$3,2),ROUND($A$3*(G13-AT13)/$B$3,2))</f>
        <v>5389.47</v>
      </c>
      <c r="F13" s="29"/>
      <c r="G13" s="30">
        <f>H13+AC13+AT13</f>
        <v>2447.34</v>
      </c>
      <c r="H13" s="17">
        <f>SUMIF(I$12:AB$12,"总值",I13:AB13)</f>
        <v>2447.34</v>
      </c>
      <c r="I13" s="1622">
        <f>面积表!B7</f>
        <v>2447.34</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5389.47</v>
      </c>
      <c r="AZ13" s="13">
        <f>BA13+BL13</f>
        <v>2447.34</v>
      </c>
      <c r="BA13" s="13">
        <f>SUM(BB13:BK13)</f>
        <v>2447.34</v>
      </c>
      <c r="BB13" s="13">
        <f>IF($D13="是",I13-J13,0)</f>
        <v>2447.34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047"/>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047"/>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047"/>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047"/>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00"/>
  </sheetPr>
  <dimension ref="A1:J28"/>
  <sheetViews>
    <sheetView workbookViewId="0">
      <selection activeCell="F36" sqref="F36"/>
    </sheetView>
  </sheetViews>
  <sheetFormatPr defaultRowHeight="13.5"/>
  <cols>
    <col min="1" max="1" width="14.75" customWidth="1"/>
    <col min="2" max="2" width="14.5" customWidth="1"/>
    <col min="3" max="3" width="9.5" customWidth="1"/>
    <col min="4" max="4" width="9.125" customWidth="1"/>
    <col min="5" max="5" width="9.5" customWidth="1"/>
    <col min="6" max="6" width="24.875" customWidth="1"/>
    <col min="7" max="7" width="32.5" customWidth="1"/>
    <col min="8" max="8" width="8.375" customWidth="1"/>
    <col min="9" max="9" width="9.125" style="3474" customWidth="1"/>
  </cols>
  <sheetData>
    <row r="1" spans="1:6">
      <c r="A1" s="3473" t="s">
        <v>3459</v>
      </c>
      <c r="B1" s="3473" t="s">
        <v>3458</v>
      </c>
      <c r="C1" s="3456" t="s">
        <v>3464</v>
      </c>
      <c r="D1" s="3485" t="s">
        <v>3495</v>
      </c>
      <c r="E1" s="3456" t="s">
        <v>3463</v>
      </c>
      <c r="F1" s="3456"/>
    </row>
    <row r="2" spans="1:6">
      <c r="A2" s="1047" t="s">
        <v>3393</v>
      </c>
      <c r="B2" s="1622">
        <v>212</v>
      </c>
      <c r="C2">
        <v>2500</v>
      </c>
      <c r="D2" s="3485">
        <f>ROUND(C2*B2/10000,0)</f>
        <v>53</v>
      </c>
      <c r="E2" s="3456" t="s">
        <v>3461</v>
      </c>
      <c r="F2" s="3456" t="s">
        <v>3493</v>
      </c>
    </row>
    <row r="3" spans="1:6">
      <c r="A3" s="1047" t="s">
        <v>3395</v>
      </c>
      <c r="B3" s="1622">
        <v>232.59</v>
      </c>
      <c r="C3">
        <v>2500</v>
      </c>
      <c r="D3" s="3485">
        <f>ROUND(C3*B3/10000,0)</f>
        <v>58</v>
      </c>
      <c r="E3" s="3456" t="s">
        <v>3461</v>
      </c>
      <c r="F3" s="3456" t="s">
        <v>3493</v>
      </c>
    </row>
    <row r="4" spans="1:6">
      <c r="A4" s="1047" t="s">
        <v>3396</v>
      </c>
      <c r="B4" s="1622">
        <v>777.22</v>
      </c>
      <c r="C4">
        <v>2800</v>
      </c>
      <c r="D4" s="3485">
        <f>ROUND(C4*B4/10000,0)</f>
        <v>218</v>
      </c>
      <c r="E4" s="3456" t="s">
        <v>3462</v>
      </c>
      <c r="F4" s="3483" t="s">
        <v>3494</v>
      </c>
    </row>
    <row r="5" spans="1:6">
      <c r="A5" s="1047" t="s">
        <v>3397</v>
      </c>
      <c r="B5" s="1622">
        <v>193.44</v>
      </c>
      <c r="C5">
        <v>2500</v>
      </c>
      <c r="D5" s="3485">
        <f>ROUND(C5*B5/10000,0)</f>
        <v>48</v>
      </c>
      <c r="E5" s="3456" t="s">
        <v>3461</v>
      </c>
      <c r="F5" s="3456" t="s">
        <v>3493</v>
      </c>
    </row>
    <row r="6" spans="1:6">
      <c r="A6" s="1047" t="s">
        <v>3398</v>
      </c>
      <c r="B6" s="1622">
        <v>1032.0899999999999</v>
      </c>
      <c r="C6">
        <v>2800</v>
      </c>
      <c r="D6" s="3485">
        <f>ROUND(C6*B6/10000,0)</f>
        <v>289</v>
      </c>
      <c r="E6" s="3456" t="s">
        <v>3462</v>
      </c>
      <c r="F6" s="3483" t="s">
        <v>3494</v>
      </c>
    </row>
    <row r="7" spans="1:6">
      <c r="A7" s="3470" t="s">
        <v>3418</v>
      </c>
      <c r="B7" s="3471">
        <f>B2+B3+B4+B5+B6</f>
        <v>2447.34</v>
      </c>
      <c r="C7">
        <f>(B2*C2+B3*C3+B4*C4+B5*C5+B6*C6)/B7</f>
        <v>2721.7889627105346</v>
      </c>
      <c r="D7" s="3485">
        <f>SUM(D2:D6)</f>
        <v>666</v>
      </c>
    </row>
    <row r="8" spans="1:6">
      <c r="D8" s="3456"/>
    </row>
    <row r="9" spans="1:6">
      <c r="A9" s="3470" t="s">
        <v>3417</v>
      </c>
      <c r="B9" s="3472">
        <v>5389.47</v>
      </c>
    </row>
    <row r="13" spans="1:6">
      <c r="A13" s="3456" t="s">
        <v>3465</v>
      </c>
      <c r="B13" s="3456"/>
      <c r="C13" s="3456" t="s">
        <v>3466</v>
      </c>
    </row>
    <row r="14" spans="1:6">
      <c r="A14" s="3457">
        <f>B9-B7</f>
        <v>2942.13</v>
      </c>
      <c r="B14">
        <v>0.1</v>
      </c>
      <c r="C14">
        <f>A14*B14/B7</f>
        <v>0.12021746058986492</v>
      </c>
    </row>
    <row r="22" spans="1:10" s="3475" customFormat="1" ht="27">
      <c r="A22" s="3476" t="s">
        <v>3480</v>
      </c>
      <c r="B22" s="3476" t="s">
        <v>3479</v>
      </c>
      <c r="C22" s="3476" t="s">
        <v>3478</v>
      </c>
      <c r="D22" s="3476" t="s">
        <v>3490</v>
      </c>
      <c r="E22" s="3476" t="s">
        <v>3473</v>
      </c>
      <c r="F22" s="3476" t="s">
        <v>3470</v>
      </c>
      <c r="G22" s="3476" t="s">
        <v>3471</v>
      </c>
      <c r="H22" s="3476" t="s">
        <v>3472</v>
      </c>
      <c r="I22" s="3477" t="s">
        <v>3477</v>
      </c>
    </row>
    <row r="23" spans="1:10" s="3475" customFormat="1">
      <c r="A23" s="3560" t="s">
        <v>3468</v>
      </c>
      <c r="B23" s="3560" t="s">
        <v>3496</v>
      </c>
      <c r="C23" s="3561">
        <v>5389.47</v>
      </c>
      <c r="D23" s="3560" t="s">
        <v>3469</v>
      </c>
      <c r="E23" s="3478">
        <v>3</v>
      </c>
      <c r="F23" s="3476" t="s">
        <v>3474</v>
      </c>
      <c r="G23" s="3476" t="s">
        <v>3475</v>
      </c>
      <c r="H23" s="3476" t="s">
        <v>3476</v>
      </c>
      <c r="I23" s="3479">
        <v>212</v>
      </c>
      <c r="J23" s="3482" t="s">
        <v>3492</v>
      </c>
    </row>
    <row r="24" spans="1:10" s="3475" customFormat="1">
      <c r="A24" s="3560"/>
      <c r="B24" s="3560"/>
      <c r="C24" s="3561"/>
      <c r="D24" s="3560"/>
      <c r="E24" s="3480">
        <v>4</v>
      </c>
      <c r="F24" s="3476" t="s">
        <v>3482</v>
      </c>
      <c r="G24" s="3476" t="s">
        <v>3483</v>
      </c>
      <c r="H24" s="3476" t="s">
        <v>3476</v>
      </c>
      <c r="I24" s="3479">
        <v>232.59</v>
      </c>
      <c r="J24" s="3482" t="s">
        <v>3492</v>
      </c>
    </row>
    <row r="25" spans="1:10" s="3475" customFormat="1">
      <c r="A25" s="3560"/>
      <c r="B25" s="3560"/>
      <c r="C25" s="3561"/>
      <c r="D25" s="3560"/>
      <c r="E25" s="3480">
        <v>5</v>
      </c>
      <c r="F25" s="3476" t="s">
        <v>3484</v>
      </c>
      <c r="G25" s="3476" t="s">
        <v>3485</v>
      </c>
      <c r="H25" s="3476" t="s">
        <v>3476</v>
      </c>
      <c r="I25" s="3479">
        <v>777.22</v>
      </c>
      <c r="J25" s="3482" t="s">
        <v>3492</v>
      </c>
    </row>
    <row r="26" spans="1:10" s="3475" customFormat="1">
      <c r="A26" s="3560"/>
      <c r="B26" s="3560"/>
      <c r="C26" s="3561"/>
      <c r="D26" s="3560"/>
      <c r="E26" s="3480">
        <v>6</v>
      </c>
      <c r="F26" s="3476" t="s">
        <v>3486</v>
      </c>
      <c r="G26" s="3476" t="s">
        <v>3487</v>
      </c>
      <c r="H26" s="3476" t="s">
        <v>3476</v>
      </c>
      <c r="I26" s="3479">
        <v>193.44</v>
      </c>
      <c r="J26" s="3482" t="s">
        <v>3492</v>
      </c>
    </row>
    <row r="27" spans="1:10" s="3475" customFormat="1">
      <c r="A27" s="3560"/>
      <c r="B27" s="3560"/>
      <c r="C27" s="3561"/>
      <c r="D27" s="3560"/>
      <c r="E27" s="3478" t="s">
        <v>3481</v>
      </c>
      <c r="F27" s="3476" t="s">
        <v>3488</v>
      </c>
      <c r="G27" s="3476" t="s">
        <v>3489</v>
      </c>
      <c r="H27" s="3476" t="s">
        <v>3476</v>
      </c>
      <c r="I27" s="3479">
        <v>1032.0899999999999</v>
      </c>
      <c r="J27" s="3482" t="s">
        <v>3492</v>
      </c>
    </row>
    <row r="28" spans="1:10">
      <c r="A28" s="3562" t="s">
        <v>3491</v>
      </c>
      <c r="B28" s="3563"/>
      <c r="C28" s="3563"/>
      <c r="D28" s="3563"/>
      <c r="E28" s="3563"/>
      <c r="F28" s="3563"/>
      <c r="G28" s="3563"/>
      <c r="H28" s="3564"/>
      <c r="I28" s="3481">
        <f>SUM(I23:I27)</f>
        <v>2447.34</v>
      </c>
    </row>
  </sheetData>
  <mergeCells count="5">
    <mergeCell ref="A23:A27"/>
    <mergeCell ref="B23:B27"/>
    <mergeCell ref="C23:C27"/>
    <mergeCell ref="D23:D27"/>
    <mergeCell ref="A28:H28"/>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59" sqref="D5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74" t="s">
        <v>1131</v>
      </c>
      <c r="B2" s="3574"/>
      <c r="C2" s="3574"/>
      <c r="D2" s="792" t="s">
        <v>1107</v>
      </c>
      <c r="E2" s="1635" t="s">
        <v>1108</v>
      </c>
      <c r="F2" s="2655"/>
      <c r="G2" s="2646"/>
      <c r="H2" s="2647"/>
      <c r="I2" s="2321" t="s">
        <v>1132</v>
      </c>
      <c r="J2" s="2655"/>
      <c r="K2" s="2655"/>
      <c r="L2" s="2655"/>
      <c r="M2" s="2655"/>
      <c r="N2" s="2657"/>
      <c r="O2" s="2655"/>
      <c r="P2" s="2655"/>
    </row>
    <row r="3" spans="1:16" ht="15.75" thickBot="1">
      <c r="A3" s="3575" t="s">
        <v>1105</v>
      </c>
      <c r="B3" s="3575"/>
      <c r="C3" s="3575"/>
      <c r="D3" s="43">
        <f>'数据-基础表'!AY6</f>
        <v>5389.47</v>
      </c>
      <c r="E3" s="43">
        <f>'数据-基础表'!AZ5</f>
        <v>2447.34</v>
      </c>
      <c r="F3" s="2655"/>
      <c r="G3" s="1141"/>
      <c r="H3" s="1022" t="s">
        <v>1106</v>
      </c>
      <c r="I3" s="851">
        <f>ROUND('数据-基础表'!B3/'数据-基础表'!A3,2)</f>
        <v>0.45</v>
      </c>
      <c r="J3" s="2655"/>
      <c r="K3" s="2655"/>
      <c r="L3" s="2655"/>
      <c r="M3" s="2655"/>
      <c r="N3" s="2657"/>
      <c r="O3" s="2655"/>
      <c r="P3" s="2655"/>
    </row>
    <row r="4" spans="1:16" ht="15">
      <c r="A4" s="3576"/>
      <c r="B4" s="3577"/>
      <c r="C4" s="3578"/>
      <c r="D4" s="1637" t="s">
        <v>1107</v>
      </c>
      <c r="E4" s="1638" t="s">
        <v>1108</v>
      </c>
      <c r="F4" s="2655"/>
      <c r="G4" s="2648" t="s">
        <v>1133</v>
      </c>
      <c r="H4" s="1022" t="s">
        <v>1113</v>
      </c>
      <c r="I4" s="851">
        <f>ROUND(SUMIF('数据-基础表'!I9:AS9,"地上",'数据-基础表'!I5:AS5)/'数据-基础表'!A3,2)</f>
        <v>0.45</v>
      </c>
      <c r="J4" s="2655"/>
      <c r="K4" s="2655"/>
      <c r="L4" s="2655"/>
      <c r="M4" s="2655"/>
      <c r="N4" s="2657"/>
      <c r="O4" s="2655"/>
      <c r="P4" s="2655"/>
    </row>
    <row r="5" spans="1:16">
      <c r="A5" s="44" t="s">
        <v>1109</v>
      </c>
      <c r="B5" s="3579" t="s">
        <v>1110</v>
      </c>
      <c r="C5" s="3579"/>
      <c r="D5" s="45">
        <f>ROUND($D$3*E5/$E$3,2)</f>
        <v>0</v>
      </c>
      <c r="E5" s="46">
        <f>SUMIF('数据-基础表'!$11:$11,"住宅",'数据-基础表'!$5:$5)</f>
        <v>0</v>
      </c>
      <c r="F5" s="2655"/>
      <c r="G5" s="1141"/>
      <c r="H5" s="1022" t="s">
        <v>1106</v>
      </c>
      <c r="I5" s="851">
        <f>ROUND(E31/D31,2)</f>
        <v>0.45</v>
      </c>
      <c r="J5" s="2655"/>
      <c r="K5" s="2655"/>
      <c r="L5" s="2655"/>
      <c r="M5" s="2655"/>
      <c r="N5" s="2655"/>
      <c r="O5" s="2655"/>
      <c r="P5" s="2655"/>
    </row>
    <row r="6" spans="1:16" ht="15" thickBot="1">
      <c r="A6" s="1640"/>
      <c r="B6" s="3579" t="s">
        <v>1111</v>
      </c>
      <c r="C6" s="3579"/>
      <c r="D6" s="45">
        <f>ROUND($D$3*E6/$E$3,2)</f>
        <v>5389.47</v>
      </c>
      <c r="E6" s="46">
        <f>E3-E5</f>
        <v>2447.34</v>
      </c>
      <c r="F6" s="2655"/>
      <c r="G6" s="2649" t="s">
        <v>1112</v>
      </c>
      <c r="H6" s="1142" t="s">
        <v>1113</v>
      </c>
      <c r="I6" s="2650">
        <f>ROUND(F31/D31,2)</f>
        <v>0.45</v>
      </c>
      <c r="J6" s="2655"/>
      <c r="K6" s="2655"/>
      <c r="L6" s="2655"/>
      <c r="M6" s="2655"/>
      <c r="N6" s="2655"/>
      <c r="O6" s="2655"/>
      <c r="P6" s="2655"/>
    </row>
    <row r="7" spans="1:16" ht="15.75" thickBot="1">
      <c r="A7" s="3571"/>
      <c r="B7" s="3572"/>
      <c r="C7" s="3573"/>
      <c r="D7" s="1637" t="s">
        <v>1107</v>
      </c>
      <c r="E7" s="1641"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5389.47</v>
      </c>
      <c r="E8" s="48">
        <f>SUMIF('数据-基础表'!BB10:BK10,"地上",'数据-基础表'!BB5:BK5)</f>
        <v>2447.34</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5389.47</v>
      </c>
      <c r="E16" s="50">
        <f>SUM(E8:E15)</f>
        <v>2447.34</v>
      </c>
      <c r="F16" s="2655"/>
      <c r="G16" s="2656"/>
      <c r="H16" s="1644" t="s">
        <v>1135</v>
      </c>
      <c r="I16" s="1645"/>
      <c r="J16" s="1135"/>
      <c r="K16" s="3568" t="s">
        <v>1135</v>
      </c>
      <c r="L16" s="3569"/>
      <c r="M16" s="3569"/>
      <c r="N16" s="3569"/>
      <c r="O16" s="3569"/>
      <c r="P16" s="3570"/>
    </row>
    <row r="17" spans="1:19" ht="15">
      <c r="A17" s="1646" t="s">
        <v>1136</v>
      </c>
      <c r="B17" s="1647" t="s">
        <v>1137</v>
      </c>
      <c r="C17" s="1648" t="s">
        <v>1138</v>
      </c>
      <c r="D17" s="1649" t="s">
        <v>1126</v>
      </c>
      <c r="E17" s="1650" t="s">
        <v>1127</v>
      </c>
      <c r="F17" s="1651"/>
      <c r="G17" s="1652"/>
      <c r="H17" s="1653" t="s">
        <v>1139</v>
      </c>
      <c r="I17" s="1654" t="s">
        <v>1124</v>
      </c>
      <c r="J17" s="1135"/>
      <c r="K17" s="3565" t="s">
        <v>1140</v>
      </c>
      <c r="L17" s="3566"/>
      <c r="M17" s="3567"/>
      <c r="N17" s="3565" t="s">
        <v>1141</v>
      </c>
      <c r="O17" s="3566"/>
      <c r="P17" s="3567"/>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13" t="s">
        <v>3419</v>
      </c>
      <c r="D19" s="45">
        <f>ROUND($D$3*E19/$E$3,2)</f>
        <v>5389.47</v>
      </c>
      <c r="E19" s="53">
        <f t="shared" ref="E19:E26" si="1">SUM(F19:G19)</f>
        <v>2447.34</v>
      </c>
      <c r="F19" s="2791">
        <f>'数据-基础表'!I13</f>
        <v>2447.34</v>
      </c>
      <c r="G19" s="2792"/>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5389.47</v>
      </c>
      <c r="S19" s="1023">
        <f t="shared" si="5"/>
        <v>2447.34</v>
      </c>
    </row>
    <row r="20" spans="1:19">
      <c r="A20" s="1666"/>
      <c r="B20" s="47" t="s">
        <v>1153</v>
      </c>
      <c r="C20" s="3413"/>
      <c r="D20" s="45">
        <f t="shared" ref="D20:D26" si="6">ROUND($D$3*E20/$E$3,2)</f>
        <v>0</v>
      </c>
      <c r="E20" s="53">
        <f t="shared" si="1"/>
        <v>0</v>
      </c>
      <c r="F20" s="2791"/>
      <c r="G20" s="2792"/>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13"/>
      <c r="D21" s="45">
        <f t="shared" si="6"/>
        <v>0</v>
      </c>
      <c r="E21" s="53">
        <f t="shared" si="1"/>
        <v>0</v>
      </c>
      <c r="F21" s="2791"/>
      <c r="G21" s="2792"/>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4"/>
      <c r="D22" s="45">
        <f t="shared" si="6"/>
        <v>0</v>
      </c>
      <c r="E22" s="53">
        <f t="shared" si="1"/>
        <v>0</v>
      </c>
      <c r="F22" s="2793"/>
      <c r="G22" s="2794"/>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4"/>
      <c r="D23" s="45">
        <f>ROUND($D$3*E23/$E$3,2)</f>
        <v>0</v>
      </c>
      <c r="E23" s="53">
        <f>SUM(F23:G23)</f>
        <v>0</v>
      </c>
      <c r="F23" s="2793"/>
      <c r="G23" s="2794"/>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4"/>
      <c r="D24" s="45">
        <f>ROUND($D$3*E24/$E$3,2)</f>
        <v>0</v>
      </c>
      <c r="E24" s="53">
        <f>SUM(F24:G24)</f>
        <v>0</v>
      </c>
      <c r="F24" s="2793"/>
      <c r="G24" s="2794"/>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5389.47</v>
      </c>
      <c r="E27" s="1137">
        <f>IF(SUM(E19:E26)='数据-基础表'!BA5,SUM(E19:E26),IF(F27="地上面积有误","面积有误","地下面积有误"))</f>
        <v>2447.34</v>
      </c>
      <c r="F27" s="1136">
        <f>IF(SUM(F19:F26)=E8,SUM(F19:F26),"地上面积有误")</f>
        <v>2447.34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5389.47</v>
      </c>
      <c r="S27" s="1022">
        <f>IF(SUM(S19:S26)=$E$3,SUM(S19:S26),SUM(S19:S26)&amp;"误差"&amp;ROUND(SUM(S19:S26)-E3,2))</f>
        <v>2447.34</v>
      </c>
    </row>
    <row r="28" spans="1:19">
      <c r="A28" s="1666"/>
      <c r="B28" s="47" t="s">
        <v>1155</v>
      </c>
      <c r="C28" s="1034"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1158</v>
      </c>
      <c r="D31" s="676">
        <f>D27+D30</f>
        <v>5389.47</v>
      </c>
      <c r="E31" s="676">
        <f>E27+E30</f>
        <v>2447.34</v>
      </c>
      <c r="F31" s="677">
        <f>F27+F30</f>
        <v>2447.34</v>
      </c>
      <c r="G31" s="678">
        <f>G27+G30</f>
        <v>0</v>
      </c>
      <c r="H31" s="2655"/>
      <c r="I31" s="2655"/>
      <c r="J31" s="2655"/>
      <c r="K31" s="2655"/>
      <c r="L31" s="2655"/>
      <c r="M31" s="2655"/>
      <c r="N31" s="2655"/>
      <c r="O31" s="2655"/>
      <c r="P31" s="2655"/>
    </row>
    <row r="32" spans="1:19">
      <c r="A32" s="1639"/>
      <c r="B32" s="1639" t="s">
        <v>1159</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29" sqref="Q29"/>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9.87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1">
        <f>项目基本情况!D3</f>
        <v>45421</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3400</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工业</v>
      </c>
      <c r="B6" s="1709" t="str">
        <f>IF(A6=0,"","经营性")</f>
        <v>经营性</v>
      </c>
      <c r="C6" s="1710" t="s">
        <v>3</v>
      </c>
      <c r="D6" s="854">
        <f>SUMIF(项目基本情况!C$12:I$12,C6,项目基本情况!C$14:I$14)</f>
        <v>50</v>
      </c>
      <c r="E6" s="853">
        <f>IF(B6="","",SUMIF(项目基本情况!C$12:I$12,C6,项目基本情况!C$13:I$13))</f>
        <v>54266</v>
      </c>
      <c r="F6" s="64">
        <f>SUMIF(项目基本情况!C$12:I$12,C6,项目基本情况!C$15:I$15)</f>
        <v>24.23</v>
      </c>
      <c r="G6" s="65">
        <f>IF(ISERROR(ROUND(POWER(1+H6,D6-F6)*(POWER(1+H6,F6)-1)/(POWER(1+H6,D6)-1),3)),0,ROUND(POWER(1+H6,D6-F6)*(POWER(1+H6,F6)-1)/(POWER(1+H6,D6)-1),3))</f>
        <v>0.76</v>
      </c>
      <c r="H6" s="732">
        <v>0.05</v>
      </c>
      <c r="I6" s="732">
        <v>5.5E-2</v>
      </c>
      <c r="J6" s="66">
        <v>7.0000000000000007E-2</v>
      </c>
      <c r="K6" s="1026">
        <f>SUMIF('数据-汇总表'!C$19:C$33,A6,'数据-汇总表'!E$19:E$33)</f>
        <v>2447.34</v>
      </c>
      <c r="L6" s="3484">
        <v>2721</v>
      </c>
      <c r="M6" s="67">
        <f t="shared" ref="M6:M14" si="0">ROUND(K6*L6/10000,0)</f>
        <v>666</v>
      </c>
      <c r="N6" s="731">
        <v>0.7</v>
      </c>
      <c r="O6" s="67" t="str">
        <f>IF($N$5="成新度","——",ROUND(M6*N6,0))</f>
        <v>——</v>
      </c>
      <c r="P6" s="68" t="str">
        <f>IF($N$5="成新度","——",M6-O6)</f>
        <v>——</v>
      </c>
      <c r="Q6" s="734">
        <v>0.08</v>
      </c>
      <c r="R6" s="69">
        <f ca="1">SUMIF('数据-汇总表'!C$19:C$33,A6,'数据-汇总表'!R$19:R$27)</f>
        <v>5389.47</v>
      </c>
      <c r="S6" s="51">
        <f>IF('数据-汇总表'!$I$17="按面积比例",SUMIF('数据-汇总表'!C$19:C$33,A6,'数据-汇总表'!K$19:K$33),SUMIF('数据-汇总表'!C$19:C$33,A6,'数据-汇总表'!N$19:N$33))</f>
        <v>0</v>
      </c>
      <c r="T6" s="1168">
        <f>ROUND($L$14*S6/10000,0)</f>
        <v>0</v>
      </c>
      <c r="U6" s="3424">
        <v>1.2</v>
      </c>
      <c r="V6" s="3486">
        <v>2.5000000000000001E-2</v>
      </c>
      <c r="W6" s="3486">
        <v>0.05</v>
      </c>
      <c r="X6" s="1036"/>
      <c r="Y6" s="71">
        <f>N6</f>
        <v>0.7</v>
      </c>
      <c r="Z6" s="3469"/>
      <c r="AA6" s="66"/>
      <c r="AB6" s="66"/>
      <c r="AC6" s="1036"/>
      <c r="AD6" s="73"/>
      <c r="AE6" s="1037">
        <f ca="1">IF(AN6="",0,SUMIF(INDIRECT("'"&amp;AN6&amp;"'"&amp;"!E:E"),$AE$5,INDIRECT("'"&amp;AN6&amp;"'"&amp;"!F:F")))</f>
        <v>24.23</v>
      </c>
      <c r="AF6" s="1344"/>
      <c r="AG6" s="138">
        <f>IF(AF6="",0,AE6-AF6)</f>
        <v>0</v>
      </c>
      <c r="AH6" s="74"/>
      <c r="AI6" s="76">
        <v>365</v>
      </c>
      <c r="AJ6" s="77"/>
      <c r="AK6" s="78">
        <v>3.0000000000000001E-3</v>
      </c>
      <c r="AL6" s="79">
        <v>1E-3</v>
      </c>
      <c r="AM6" s="80">
        <v>3.0000000000000001E-3</v>
      </c>
      <c r="AN6" s="1711" t="s">
        <v>3406</v>
      </c>
      <c r="AO6" s="52">
        <f ca="1">SUMIF(INDIRECT("'"&amp;AN6&amp;"'"&amp;"!A:A"),"总价",INDIRECT("'"&amp;AN6&amp;"'"&amp;"!B:B"))</f>
        <v>1348.3255999999999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6">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4"/>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32"/>
      <c r="I8" s="732"/>
      <c r="J8" s="66"/>
      <c r="K8" s="1026">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8">
        <f t="shared" si="5"/>
        <v>0</v>
      </c>
      <c r="U8" s="3425"/>
      <c r="V8" s="70"/>
      <c r="W8" s="70"/>
      <c r="X8" s="1036"/>
      <c r="Y8" s="71"/>
      <c r="Z8" s="72"/>
      <c r="AA8" s="66"/>
      <c r="AB8" s="66"/>
      <c r="AC8" s="1036"/>
      <c r="AD8" s="73"/>
      <c r="AE8" s="1037">
        <f t="shared" ca="1" si="6"/>
        <v>0</v>
      </c>
      <c r="AF8" s="1344"/>
      <c r="AG8" s="138">
        <f t="shared" si="7"/>
        <v>0</v>
      </c>
      <c r="AH8" s="735"/>
      <c r="AI8" s="76"/>
      <c r="AJ8" s="77"/>
      <c r="AK8" s="78"/>
      <c r="AL8" s="79"/>
      <c r="AM8" s="80"/>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732"/>
      <c r="I9" s="732"/>
      <c r="J9" s="66"/>
      <c r="K9" s="1026">
        <f>SUMIF('数据-汇总表'!C$19:C$33,A9,'数据-汇总表'!E$19:E$33)</f>
        <v>0</v>
      </c>
      <c r="L9" s="733"/>
      <c r="M9" s="67">
        <f t="shared" si="0"/>
        <v>0</v>
      </c>
      <c r="N9" s="731"/>
      <c r="O9" s="67" t="str">
        <f t="shared" si="3"/>
        <v>——</v>
      </c>
      <c r="P9" s="68" t="str">
        <f t="shared" si="4"/>
        <v>——</v>
      </c>
      <c r="Q9" s="734"/>
      <c r="R9" s="69">
        <f ca="1">SUMIF('数据-汇总表'!C$19:C$33,A9,'数据-汇总表'!R$19:R$27)</f>
        <v>0</v>
      </c>
      <c r="S9" s="51">
        <f>IF('数据-汇总表'!$I$17="按面积比例",SUMIF('数据-汇总表'!C$19:C$33,A9,'数据-汇总表'!K$19:K$33),SUMIF('数据-汇总表'!C$19:C$33,A9,'数据-汇总表'!N$19:N$33))</f>
        <v>0</v>
      </c>
      <c r="T9" s="1168">
        <f t="shared" si="5"/>
        <v>0</v>
      </c>
      <c r="U9" s="3424"/>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732"/>
      <c r="I10" s="732"/>
      <c r="J10" s="66"/>
      <c r="K10" s="1026">
        <f>SUMIF('数据-汇总表'!C$19:C$33,A10,'数据-汇总表'!E$19:E$33)</f>
        <v>0</v>
      </c>
      <c r="L10" s="733"/>
      <c r="M10" s="67">
        <f t="shared" si="0"/>
        <v>0</v>
      </c>
      <c r="N10" s="731"/>
      <c r="O10" s="67" t="str">
        <f t="shared" si="3"/>
        <v>——</v>
      </c>
      <c r="P10" s="68" t="str">
        <f t="shared" si="4"/>
        <v>——</v>
      </c>
      <c r="Q10" s="734"/>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732"/>
      <c r="I11" s="732"/>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0.76</v>
      </c>
      <c r="H16" s="90">
        <f>ROUND(SUMPRODUCT(H6:H13,K6:K13)/SUMPRODUCT((H6:H13&gt;0)*(K6:K13)),3)</f>
        <v>0.05</v>
      </c>
      <c r="I16" s="91"/>
      <c r="J16" s="91"/>
      <c r="K16" s="92">
        <f>SUM(K6:K15)</f>
        <v>2447.34</v>
      </c>
      <c r="L16" s="93">
        <f>ROUND(M16*10000/SUM(K6:K14),0)</f>
        <v>2721</v>
      </c>
      <c r="M16" s="93">
        <f>SUM(M6:M14)</f>
        <v>666</v>
      </c>
      <c r="N16" s="94">
        <f>ROUND(SUMPRODUCT(M6:M14,N6:N14)/M16,3)</f>
        <v>0.7</v>
      </c>
      <c r="O16" s="93">
        <f>SUM(O6:O14)</f>
        <v>0</v>
      </c>
      <c r="P16" s="93">
        <f>SUM(P6:P14)</f>
        <v>0</v>
      </c>
      <c r="Q16" s="95">
        <f>ROUND(SUMPRODUCT(Q6:Q13,K6:K13)/SUMPRODUCT((Q6:Q13&gt;0)*(K6:K13)),2)</f>
        <v>0.08</v>
      </c>
      <c r="R16" s="1030">
        <f ca="1">SUM(R6:R13)</f>
        <v>5389.47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3445" t="s">
        <v>3401</v>
      </c>
      <c r="L18" s="2668">
        <v>1999</v>
      </c>
      <c r="M18" s="3467"/>
      <c r="N18" s="2667"/>
      <c r="O18" s="3467"/>
      <c r="P18" s="3467"/>
      <c r="Q18" s="3467"/>
      <c r="R18" s="34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5" t="s">
        <v>2305</v>
      </c>
      <c r="D19" s="2672"/>
      <c r="E19" s="2669"/>
      <c r="F19" s="2669"/>
      <c r="G19" s="2669"/>
      <c r="H19" s="2669"/>
      <c r="I19" s="2669"/>
      <c r="J19" s="2669"/>
      <c r="K19" s="3445" t="s">
        <v>3402</v>
      </c>
      <c r="L19" s="2668">
        <f>1-(1-2%)*(2024-L18)/50</f>
        <v>0.51</v>
      </c>
      <c r="M19" s="2667"/>
      <c r="N19" s="3468"/>
      <c r="O19" s="3468"/>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1</v>
      </c>
      <c r="C20" s="2796" t="s">
        <v>2303</v>
      </c>
      <c r="D20" s="2672"/>
      <c r="E20" s="2669"/>
      <c r="F20" s="2669"/>
      <c r="G20" s="2669"/>
      <c r="H20" s="2669"/>
      <c r="I20" s="2669"/>
      <c r="J20" s="2669"/>
      <c r="K20" s="3445" t="s">
        <v>3428</v>
      </c>
      <c r="L20" s="2668">
        <v>0.9</v>
      </c>
      <c r="M20" s="2667"/>
      <c r="N20" s="3468"/>
      <c r="O20" s="3468"/>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1</v>
      </c>
      <c r="C21" s="2669"/>
      <c r="D21" s="2672"/>
      <c r="E21" s="2669"/>
      <c r="F21" s="2669"/>
      <c r="G21" s="2669"/>
      <c r="H21" s="2669"/>
      <c r="I21" s="2669"/>
      <c r="J21" s="2669"/>
      <c r="K21" s="3445" t="s">
        <v>3429</v>
      </c>
      <c r="L21" s="2668">
        <f>(L19+L20)/2</f>
        <v>0.70500000000000007</v>
      </c>
      <c r="M21" s="2667"/>
      <c r="N21" s="3468"/>
      <c r="O21" s="3468"/>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1</v>
      </c>
      <c r="C22" s="2669"/>
      <c r="D22" s="2672"/>
      <c r="E22" s="2669"/>
      <c r="F22" s="2669"/>
      <c r="G22" s="2669"/>
      <c r="H22" s="2669"/>
      <c r="I22" s="2669"/>
      <c r="J22" s="2669"/>
      <c r="K22" s="2668"/>
      <c r="L22" s="2668"/>
      <c r="M22" s="2667"/>
      <c r="N22" s="3468"/>
      <c r="O22" s="3468"/>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1</v>
      </c>
      <c r="C23" s="2669"/>
      <c r="D23" s="2672"/>
      <c r="E23" s="2669"/>
      <c r="F23" s="2669"/>
      <c r="G23" s="2669"/>
      <c r="H23" s="2669"/>
      <c r="I23" s="2669"/>
      <c r="J23" s="2669"/>
      <c r="K23" s="3445" t="s">
        <v>3454</v>
      </c>
      <c r="L23" s="2668"/>
      <c r="M23" s="2667"/>
      <c r="N23" s="3468"/>
      <c r="O23" s="3468"/>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3446" t="s">
        <v>3403</v>
      </c>
      <c r="J24" s="3446" t="s">
        <v>3403</v>
      </c>
      <c r="K24" s="3445" t="s">
        <v>3453</v>
      </c>
      <c r="L24" s="2668">
        <f>1-(1-2%)*(2035-L18)/50</f>
        <v>0.2944</v>
      </c>
      <c r="M24" s="2667"/>
      <c r="N24" s="3468"/>
      <c r="O24" s="3468"/>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29.25" thickBot="1">
      <c r="A25" s="1553"/>
      <c r="B25" s="1683"/>
      <c r="C25" s="2669"/>
      <c r="D25" s="2672"/>
      <c r="E25" s="2669"/>
      <c r="F25" s="2669"/>
      <c r="G25" s="2669"/>
      <c r="H25" s="2669"/>
      <c r="I25" s="3447" t="s">
        <v>3404</v>
      </c>
      <c r="J25" s="3447" t="s">
        <v>3404</v>
      </c>
      <c r="K25" s="3445" t="s">
        <v>3455</v>
      </c>
      <c r="L25" s="2668">
        <v>0.8</v>
      </c>
      <c r="M25" s="2667"/>
      <c r="N25" s="3468"/>
      <c r="O25" s="3468"/>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3447">
        <v>0</v>
      </c>
      <c r="J26" s="3447">
        <v>0</v>
      </c>
      <c r="K26" s="3445" t="s">
        <v>3456</v>
      </c>
      <c r="L26" s="2668">
        <f>(L24+L25)/2</f>
        <v>0.54720000000000002</v>
      </c>
      <c r="M26" s="2667"/>
      <c r="N26" s="3468"/>
      <c r="O26" s="3468"/>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120</v>
      </c>
      <c r="C27" s="2797" t="s">
        <v>2307</v>
      </c>
      <c r="D27" s="2675"/>
      <c r="E27" s="2657"/>
      <c r="F27" s="2657"/>
      <c r="G27" s="2669"/>
      <c r="H27" s="2669"/>
      <c r="I27" s="3447">
        <v>12000</v>
      </c>
      <c r="J27" s="3447">
        <v>15000</v>
      </c>
      <c r="K27" s="2668"/>
      <c r="L27" s="2668"/>
      <c r="M27" s="2667"/>
      <c r="N27" s="3468"/>
      <c r="O27" s="3468"/>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v>160</v>
      </c>
      <c r="C28" s="2676"/>
      <c r="D28" s="2675"/>
      <c r="E28" s="2657"/>
      <c r="F28" s="2657"/>
      <c r="G28" s="2669"/>
      <c r="H28" s="2669"/>
      <c r="I28" s="3448">
        <v>12000</v>
      </c>
      <c r="J28" s="3448">
        <v>15000</v>
      </c>
      <c r="K28" s="2668"/>
      <c r="L28" s="2668"/>
      <c r="M28" s="2667"/>
      <c r="N28" s="3468"/>
      <c r="O28" s="3468"/>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c r="C29" s="2798" t="s">
        <v>2294</v>
      </c>
      <c r="D29" s="2675"/>
      <c r="E29" s="2657"/>
      <c r="F29" s="2657"/>
      <c r="G29" s="2669"/>
      <c r="H29" s="2669"/>
      <c r="I29" s="3448" t="s">
        <v>3405</v>
      </c>
      <c r="J29" s="3448" t="s">
        <v>3405</v>
      </c>
      <c r="K29" s="2668"/>
      <c r="L29" s="2668"/>
      <c r="M29" s="2667"/>
      <c r="N29" s="3468"/>
      <c r="O29" s="3468"/>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71">
        <v>200</v>
      </c>
      <c r="C30" s="2676"/>
      <c r="D30" s="2675"/>
      <c r="E30" s="2657"/>
      <c r="F30" s="2657"/>
      <c r="G30" s="2669"/>
      <c r="H30" s="2669"/>
      <c r="I30" s="3449">
        <f t="shared" ref="I30:J30" si="12">I31+I35+I34</f>
        <v>2202</v>
      </c>
      <c r="J30" s="3449">
        <f t="shared" si="12"/>
        <v>2572</v>
      </c>
      <c r="K30" s="2668"/>
      <c r="L30" s="2668"/>
      <c r="M30" s="2667"/>
      <c r="N30" s="3468"/>
      <c r="O30" s="3468"/>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4"/>
      <c r="D31" s="2675"/>
      <c r="E31" s="2657"/>
      <c r="F31" s="2657"/>
      <c r="G31" s="2669"/>
      <c r="H31" s="2669"/>
      <c r="I31" s="3450">
        <v>1520</v>
      </c>
      <c r="J31" s="3450">
        <v>1800</v>
      </c>
      <c r="K31" s="2668"/>
      <c r="L31" s="2668"/>
      <c r="M31" s="2667"/>
      <c r="N31" s="3468"/>
      <c r="O31" s="3468"/>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72"/>
      <c r="C32" s="2676"/>
      <c r="D32" s="2672"/>
      <c r="E32" s="2669"/>
      <c r="F32" s="2669"/>
      <c r="G32" s="2669"/>
      <c r="H32" s="2669"/>
      <c r="I32" s="3448">
        <v>1520</v>
      </c>
      <c r="J32" s="3448">
        <v>1800</v>
      </c>
      <c r="K32" s="2668"/>
      <c r="L32" s="2668"/>
      <c r="M32" s="2667"/>
      <c r="N32" s="3468"/>
      <c r="O32" s="3468"/>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673">
        <v>0.05</v>
      </c>
      <c r="C33" s="2799" t="s">
        <v>2295</v>
      </c>
      <c r="D33" s="2672"/>
      <c r="E33" s="2669"/>
      <c r="F33" s="2669"/>
      <c r="G33" s="2669"/>
      <c r="H33" s="2669"/>
      <c r="I33" s="3448"/>
      <c r="J33" s="3448"/>
      <c r="K33" s="2668"/>
      <c r="L33" s="2668"/>
      <c r="M33" s="2667"/>
      <c r="N33" s="3468"/>
      <c r="O33" s="3468"/>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113">
        <v>0</v>
      </c>
      <c r="C34" s="2799" t="s">
        <v>2296</v>
      </c>
      <c r="D34" s="2680" t="s">
        <v>2304</v>
      </c>
      <c r="E34" s="2678"/>
      <c r="F34" s="2669"/>
      <c r="G34" s="2669"/>
      <c r="H34" s="2669"/>
      <c r="I34" s="3451">
        <v>100</v>
      </c>
      <c r="J34" s="3451">
        <v>100</v>
      </c>
      <c r="K34" s="2668"/>
      <c r="L34" s="2668"/>
      <c r="M34" s="2667"/>
      <c r="N34" s="3468"/>
      <c r="O34" s="3468"/>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110">
        <v>200</v>
      </c>
      <c r="C35" s="2799" t="s">
        <v>2297</v>
      </c>
      <c r="D35" s="2675"/>
      <c r="E35" s="2657"/>
      <c r="F35" s="2657"/>
      <c r="G35" s="2669"/>
      <c r="H35" s="2669"/>
      <c r="I35" s="3452">
        <v>582</v>
      </c>
      <c r="J35" s="3452">
        <v>672</v>
      </c>
      <c r="K35" s="2668"/>
      <c r="L35" s="2668"/>
      <c r="M35" s="2667"/>
      <c r="N35" s="2667"/>
      <c r="O35" s="3468"/>
      <c r="P35" s="2667"/>
      <c r="Q35" s="34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4">
        <v>0.02</v>
      </c>
      <c r="C36" s="2799" t="s">
        <v>2298</v>
      </c>
      <c r="D36" s="2672"/>
      <c r="E36" s="2669"/>
      <c r="F36" s="2669"/>
      <c r="G36" s="2669"/>
      <c r="H36" s="2669"/>
      <c r="I36" s="3453"/>
      <c r="J36" s="3453"/>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2.5000000000000001E-2</v>
      </c>
      <c r="C37" s="2799" t="s">
        <v>2299</v>
      </c>
      <c r="D37" s="2672"/>
      <c r="E37" s="2669"/>
      <c r="F37" s="2669"/>
      <c r="G37" s="2669"/>
      <c r="H37" s="2669"/>
      <c r="I37" s="3453"/>
      <c r="J37" s="3453"/>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2.5000000000000001E-2</v>
      </c>
      <c r="C38" s="2799" t="s">
        <v>2299</v>
      </c>
      <c r="D38" s="2672"/>
      <c r="E38" s="2669"/>
      <c r="F38" s="2669"/>
      <c r="G38" s="2669"/>
      <c r="H38" s="2669"/>
      <c r="I38" s="3453"/>
      <c r="J38" s="3453"/>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7">
        <f ca="1">存贷款利率!I1</f>
        <v>1.4999999999999999E-2</v>
      </c>
      <c r="C39" s="2677"/>
      <c r="D39" s="2672"/>
      <c r="E39" s="2669"/>
      <c r="F39" s="2669"/>
      <c r="G39" s="2669"/>
      <c r="H39" s="2669"/>
      <c r="I39" s="3453"/>
      <c r="J39" s="3453"/>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2314</v>
      </c>
      <c r="B40" s="1074">
        <f ca="1">IF(A40="利息：取LPR",存贷款利率!G1,存贷款利率!G1+C40)</f>
        <v>3.4500000000000003E-2</v>
      </c>
      <c r="C40" s="2810">
        <v>5.0000000000000001E-3</v>
      </c>
      <c r="D40" s="2667"/>
      <c r="E40" s="2672"/>
      <c r="F40" s="2669"/>
      <c r="G40" s="2669"/>
      <c r="H40" s="2669"/>
      <c r="I40" s="3454">
        <f t="shared" ref="I40:J40" si="13">I31/I30</f>
        <v>0.6902815622161671</v>
      </c>
      <c r="J40" s="3454">
        <f t="shared" si="13"/>
        <v>0.69984447900466562</v>
      </c>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5.5000000000000007E-2</v>
      </c>
      <c r="C41" s="2674"/>
      <c r="D41" s="2667"/>
      <c r="E41" s="2672"/>
      <c r="F41" s="2669"/>
      <c r="G41" s="2669"/>
      <c r="H41" s="2669"/>
      <c r="I41" s="3454">
        <f t="shared" ref="I41:J41" si="14">I34/I30</f>
        <v>4.5413260672116255E-2</v>
      </c>
      <c r="J41" s="3454">
        <f t="shared" si="14"/>
        <v>3.8880248833592534E-2</v>
      </c>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3454">
        <f t="shared" ref="I42:J42" si="15">I35/I30</f>
        <v>0.26430517711171664</v>
      </c>
      <c r="J42" s="3454">
        <f t="shared" si="15"/>
        <v>0.26127527216174184</v>
      </c>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5.000000000000001E-3</v>
      </c>
      <c r="C43" s="2674"/>
      <c r="D43" s="2672"/>
      <c r="E43" s="2669"/>
      <c r="F43" s="2669"/>
      <c r="G43" s="2669"/>
      <c r="H43" s="2669"/>
      <c r="I43" s="3453"/>
      <c r="J43" s="3453"/>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0.05</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29</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580" t="s">
        <v>2286</v>
      </c>
      <c r="B1" s="3581"/>
      <c r="C1" s="3581"/>
      <c r="D1" s="3581"/>
      <c r="E1" s="3581"/>
      <c r="F1" s="3581"/>
      <c r="G1" s="3581"/>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5"/>
      <c r="I2" s="795"/>
      <c r="J2" s="795"/>
      <c r="K2" s="795"/>
      <c r="L2" s="795"/>
      <c r="M2" s="795"/>
      <c r="N2" s="795"/>
      <c r="O2" s="795"/>
      <c r="P2" s="795"/>
      <c r="Q2" s="795"/>
      <c r="R2" s="795"/>
    </row>
    <row r="3" spans="1:29" ht="48">
      <c r="A3" s="2437" t="s">
        <v>2283</v>
      </c>
      <c r="B3" s="2459" t="s">
        <v>2252</v>
      </c>
      <c r="C3" s="2460" t="s">
        <v>2284</v>
      </c>
      <c r="D3" s="2461"/>
      <c r="E3" s="2438" t="s">
        <v>2283</v>
      </c>
      <c r="F3" s="2462" t="s">
        <v>2253</v>
      </c>
      <c r="G3" s="2463" t="s">
        <v>2285</v>
      </c>
      <c r="H3" s="795"/>
      <c r="I3" s="795"/>
      <c r="J3" s="795"/>
      <c r="K3" s="795"/>
      <c r="L3" s="795"/>
      <c r="M3" s="795"/>
      <c r="N3" s="795"/>
      <c r="O3" s="795"/>
      <c r="P3" s="795"/>
      <c r="Q3" s="795"/>
      <c r="R3" s="795"/>
    </row>
    <row r="4" spans="1:29" ht="36.75">
      <c r="A4" s="2438"/>
      <c r="B4" s="323" t="s">
        <v>2254</v>
      </c>
      <c r="C4" s="2464" t="s">
        <v>2255</v>
      </c>
      <c r="D4" s="2461"/>
      <c r="E4" s="2465"/>
      <c r="F4" s="1369" t="s">
        <v>2256</v>
      </c>
      <c r="G4" s="2466" t="s">
        <v>2257</v>
      </c>
      <c r="H4" s="795"/>
      <c r="I4" s="795"/>
      <c r="J4" s="795"/>
      <c r="K4" s="795"/>
      <c r="L4" s="795"/>
      <c r="M4" s="795"/>
      <c r="N4" s="795"/>
      <c r="O4" s="795"/>
      <c r="P4" s="795"/>
      <c r="Q4" s="795"/>
      <c r="R4" s="795"/>
    </row>
    <row r="5" spans="1:29" ht="36.75">
      <c r="A5" s="2438"/>
      <c r="B5" s="323" t="s">
        <v>2258</v>
      </c>
      <c r="C5" s="2464" t="s">
        <v>2259</v>
      </c>
      <c r="D5" s="2461"/>
      <c r="E5" s="2465"/>
      <c r="F5" s="323" t="s">
        <v>2260</v>
      </c>
      <c r="G5" s="2466" t="s">
        <v>2261</v>
      </c>
      <c r="H5" s="795"/>
      <c r="I5" s="795"/>
      <c r="J5" s="795"/>
      <c r="K5" s="795"/>
      <c r="L5" s="795"/>
      <c r="M5" s="795"/>
      <c r="N5" s="795"/>
      <c r="O5" s="795"/>
      <c r="P5" s="795"/>
      <c r="Q5" s="795"/>
      <c r="R5" s="795"/>
    </row>
    <row r="6" spans="1:29" ht="36">
      <c r="A6" s="2438"/>
      <c r="B6" s="323" t="s">
        <v>2262</v>
      </c>
      <c r="C6" s="2466" t="s">
        <v>2257</v>
      </c>
      <c r="D6" s="2461"/>
      <c r="E6" s="2465"/>
      <c r="F6" s="323" t="s">
        <v>2263</v>
      </c>
      <c r="G6" s="2466" t="s">
        <v>2264</v>
      </c>
      <c r="H6" s="795"/>
      <c r="I6" s="795"/>
      <c r="J6" s="795"/>
      <c r="K6" s="795"/>
      <c r="L6" s="795"/>
      <c r="M6" s="795"/>
      <c r="N6" s="795"/>
      <c r="O6" s="795"/>
      <c r="P6" s="795"/>
      <c r="Q6" s="795"/>
      <c r="R6" s="795"/>
    </row>
    <row r="7" spans="1:29" ht="24.75" thickBot="1">
      <c r="A7" s="2438"/>
      <c r="B7" s="323" t="s">
        <v>2260</v>
      </c>
      <c r="C7" s="2466" t="s">
        <v>2261</v>
      </c>
      <c r="D7" s="2467"/>
      <c r="E7" s="2468"/>
      <c r="F7" s="2469" t="s">
        <v>2265</v>
      </c>
      <c r="G7" s="2470" t="s">
        <v>2266</v>
      </c>
      <c r="H7" s="795"/>
      <c r="I7" s="795"/>
      <c r="J7" s="795"/>
      <c r="K7" s="795"/>
      <c r="L7" s="795"/>
      <c r="M7" s="795"/>
      <c r="N7" s="795"/>
      <c r="O7" s="795"/>
      <c r="P7" s="795"/>
      <c r="Q7" s="795"/>
      <c r="R7" s="795"/>
    </row>
    <row r="8" spans="1:29">
      <c r="A8" s="2438"/>
      <c r="B8" s="323" t="s">
        <v>2263</v>
      </c>
      <c r="C8" s="2466" t="s">
        <v>2264</v>
      </c>
      <c r="D8" s="2467"/>
      <c r="E8" s="2467"/>
      <c r="F8" s="2471"/>
      <c r="G8" s="2471"/>
      <c r="H8" s="795"/>
      <c r="I8" s="795"/>
      <c r="J8" s="795"/>
      <c r="K8" s="795"/>
      <c r="L8" s="795"/>
      <c r="M8" s="795"/>
      <c r="N8" s="795"/>
      <c r="O8" s="795"/>
      <c r="P8" s="795"/>
      <c r="Q8" s="795"/>
      <c r="R8" s="795"/>
    </row>
    <row r="9" spans="1:29" ht="24">
      <c r="A9" s="2438"/>
      <c r="B9" s="323" t="s">
        <v>2267</v>
      </c>
      <c r="C9" s="2464" t="s">
        <v>2268</v>
      </c>
      <c r="D9" s="2461"/>
      <c r="E9" s="2467"/>
      <c r="F9" s="2471"/>
      <c r="G9" s="2471"/>
      <c r="H9" s="795"/>
      <c r="I9" s="795"/>
      <c r="J9" s="795"/>
      <c r="K9" s="795"/>
      <c r="L9" s="795"/>
      <c r="M9" s="795"/>
      <c r="N9" s="795"/>
      <c r="O9" s="795"/>
      <c r="P9" s="795"/>
      <c r="Q9" s="795"/>
      <c r="R9" s="795"/>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3"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3" t="s">
        <v>2263</v>
      </c>
      <c r="G20" s="2499" t="str">
        <f>G6</f>
        <v>估价对象所在区域基础设施水平</v>
      </c>
    </row>
    <row r="21" spans="1:18" ht="25.5">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5" customFormat="1" ht="15" thickBot="1">
      <c r="A23" s="2442"/>
      <c r="B23" s="2498" t="s">
        <v>2278</v>
      </c>
      <c r="C23" s="2501"/>
      <c r="D23" s="1737"/>
      <c r="E23" s="2444"/>
      <c r="F23" s="2502" t="s">
        <v>2279</v>
      </c>
      <c r="G23" s="2503"/>
      <c r="H23" s="2487"/>
      <c r="I23" s="2488"/>
      <c r="J23" s="2487"/>
      <c r="K23" s="2487"/>
      <c r="L23" s="2488"/>
      <c r="M23" s="2487"/>
      <c r="N23" s="2487"/>
      <c r="O23" s="2488"/>
      <c r="P23" s="2487"/>
      <c r="Q23" s="2487"/>
      <c r="R23" s="2489"/>
    </row>
    <row r="24" spans="1:18" s="795" customFormat="1" ht="15" thickBot="1">
      <c r="A24" s="2445"/>
      <c r="B24" s="2502" t="s">
        <v>2280</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Layout" topLeftCell="A2" zoomScaleNormal="80" zoomScaleSheetLayoutView="80" workbookViewId="0">
      <selection activeCell="D14" sqref="D1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2447.34</v>
      </c>
      <c r="C1" s="2682"/>
      <c r="D1" s="2682"/>
      <c r="E1" s="2682"/>
      <c r="F1" s="2682"/>
      <c r="G1" s="2683"/>
      <c r="H1" s="2684"/>
      <c r="I1" s="2684"/>
      <c r="J1" s="2684"/>
      <c r="K1" s="2684"/>
    </row>
    <row r="2" spans="1:11" ht="16.5">
      <c r="A2" s="2508" t="s">
        <v>653</v>
      </c>
      <c r="B2" s="2508">
        <f>SUM(C14:C23)</f>
        <v>5389.47</v>
      </c>
      <c r="C2" s="2682"/>
      <c r="D2" s="2682"/>
      <c r="E2" s="2682"/>
      <c r="F2" s="2682"/>
      <c r="G2" s="2683"/>
      <c r="H2" s="2684"/>
      <c r="I2" s="2684"/>
      <c r="J2" s="2684"/>
      <c r="K2" s="2684"/>
    </row>
    <row r="3" spans="1:11" ht="16.5">
      <c r="A3" s="2508" t="s">
        <v>662</v>
      </c>
      <c r="B3" s="2510">
        <f>项目基本情况!D3</f>
        <v>45421</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1404</v>
      </c>
      <c r="C5" s="2508">
        <f ca="1">IF(B5=D14,结果表!H102,ROUND(B5*10000/$B$1,0))</f>
        <v>5737</v>
      </c>
      <c r="D5" s="2508">
        <f ca="1">ROUND(B5*10000/$B$2,0)</f>
        <v>2605</v>
      </c>
      <c r="E5" s="2682"/>
      <c r="F5" s="2683"/>
      <c r="G5" s="2683"/>
      <c r="H5" s="2684"/>
      <c r="I5" s="2684"/>
      <c r="J5" s="2684"/>
      <c r="K5" s="2684"/>
    </row>
    <row r="6" spans="1:11" ht="16.5">
      <c r="A6" s="2508" t="s">
        <v>656</v>
      </c>
      <c r="B6" s="2508">
        <f>SUM(G14:G23)</f>
        <v>0</v>
      </c>
      <c r="C6" s="2508">
        <f ca="1">IF(B6=G14,结果表!H108,ROUND(B6*10000/$B$1,0))</f>
        <v>5737</v>
      </c>
      <c r="D6" s="2508">
        <f>ROUND(B6*10000/$B$2,0)</f>
        <v>0</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3360</v>
      </c>
      <c r="D10" s="2508" t="s">
        <v>3361</v>
      </c>
      <c r="E10" s="3437"/>
      <c r="F10" s="3441" t="s">
        <v>3362</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'数据-基础表'!I13</f>
        <v>2447.34</v>
      </c>
      <c r="C14" s="2514">
        <f>'数据-汇总表'!D3</f>
        <v>5389.47</v>
      </c>
      <c r="D14" s="2514">
        <f ca="1">结果表!H101</f>
        <v>1404</v>
      </c>
      <c r="E14" s="2514">
        <f ca="1">结果表!H102</f>
        <v>5737</v>
      </c>
      <c r="F14" s="2514">
        <f ca="1">ROUND(D14*10000/C14,0)</f>
        <v>2605</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25" sqref="L25"/>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1262</v>
      </c>
      <c r="B1" s="1743"/>
      <c r="C1" s="1744" t="s">
        <v>3</v>
      </c>
      <c r="D1" s="1743"/>
      <c r="E1" s="1743"/>
      <c r="F1" s="1745" t="s">
        <v>1263</v>
      </c>
      <c r="G1" s="1557" t="s">
        <v>3391</v>
      </c>
      <c r="H1" s="1746" t="str">
        <f>IF(G1="现房","——","估价对象范围")</f>
        <v>——</v>
      </c>
      <c r="I1" s="1747"/>
    </row>
    <row r="2" spans="1:12" ht="21.75" customHeight="1" thickBot="1">
      <c r="A2" s="3649" t="str">
        <f>项目基本情况!S2</f>
        <v>北京市 怀柔区开放东路21号3幢1层、4幢1层、5幢1层、6幢1层、7-2幢1层全部房地产</v>
      </c>
      <c r="B2" s="3650"/>
      <c r="C2" s="3650"/>
      <c r="D2" s="3650"/>
      <c r="E2" s="3650"/>
      <c r="F2" s="3650"/>
      <c r="G2" s="3650"/>
      <c r="H2" s="3650"/>
      <c r="I2" s="3651"/>
    </row>
    <row r="3" spans="1:12" ht="12.75">
      <c r="A3" s="3653" t="s">
        <v>1264</v>
      </c>
      <c r="B3" s="3654"/>
      <c r="C3" s="3654"/>
      <c r="D3" s="3654"/>
      <c r="E3" s="3654"/>
      <c r="F3" s="3654"/>
      <c r="G3" s="3654"/>
      <c r="H3" s="3654"/>
      <c r="I3" s="3654"/>
    </row>
    <row r="4" spans="1:12" ht="14.25">
      <c r="A4" s="1750" t="s">
        <v>1265</v>
      </c>
      <c r="B4" s="1751" t="s">
        <v>1266</v>
      </c>
      <c r="C4" s="1752" t="s">
        <v>3426</v>
      </c>
      <c r="D4" s="1752" t="s">
        <v>3406</v>
      </c>
      <c r="E4" s="3658" t="s">
        <v>1267</v>
      </c>
      <c r="F4" s="3659"/>
      <c r="G4" s="3659"/>
      <c r="H4" s="3659"/>
      <c r="I4" s="366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7" t="s">
        <v>1268</v>
      </c>
      <c r="B5" s="3652">
        <v>25</v>
      </c>
      <c r="C5" s="3655"/>
      <c r="D5" s="3643"/>
      <c r="E5" s="131" t="s">
        <v>1269</v>
      </c>
      <c r="F5" s="1753"/>
      <c r="G5" s="1753"/>
      <c r="H5" s="1753"/>
      <c r="I5" s="1369"/>
    </row>
    <row r="6" spans="1:12" ht="12.75">
      <c r="A6" s="3597"/>
      <c r="B6" s="3652"/>
      <c r="C6" s="3657"/>
      <c r="D6" s="3643"/>
      <c r="E6" s="131" t="s">
        <v>1270</v>
      </c>
      <c r="F6" s="1753"/>
      <c r="G6" s="1753"/>
      <c r="H6" s="1753"/>
      <c r="I6" s="1369"/>
    </row>
    <row r="7" spans="1:12" ht="12.75">
      <c r="A7" s="3597"/>
      <c r="B7" s="3652"/>
      <c r="C7" s="3656"/>
      <c r="D7" s="3643"/>
      <c r="E7" s="131" t="s">
        <v>1271</v>
      </c>
      <c r="F7" s="1753"/>
      <c r="G7" s="1753"/>
      <c r="H7" s="1753"/>
      <c r="I7" s="1369"/>
    </row>
    <row r="8" spans="1:12" ht="12.75">
      <c r="A8" s="3597" t="s">
        <v>1272</v>
      </c>
      <c r="B8" s="3652">
        <v>15</v>
      </c>
      <c r="C8" s="3655"/>
      <c r="D8" s="3643"/>
      <c r="E8" s="131" t="s">
        <v>1273</v>
      </c>
      <c r="F8" s="1753"/>
      <c r="G8" s="1753"/>
      <c r="H8" s="1753"/>
      <c r="I8" s="1369"/>
    </row>
    <row r="9" spans="1:12" ht="12.75">
      <c r="A9" s="3597"/>
      <c r="B9" s="3652"/>
      <c r="C9" s="3656"/>
      <c r="D9" s="3643"/>
      <c r="E9" s="131" t="s">
        <v>1274</v>
      </c>
      <c r="F9" s="1753"/>
      <c r="G9" s="1753"/>
      <c r="H9" s="1753"/>
      <c r="I9" s="1369"/>
    </row>
    <row r="10" spans="1:12" ht="12.75">
      <c r="A10" s="3597" t="s">
        <v>1275</v>
      </c>
      <c r="B10" s="3652">
        <v>15</v>
      </c>
      <c r="C10" s="3655"/>
      <c r="D10" s="3643"/>
      <c r="E10" s="131" t="s">
        <v>1276</v>
      </c>
      <c r="F10" s="1753"/>
      <c r="G10" s="1753"/>
      <c r="H10" s="1753"/>
      <c r="I10" s="1369"/>
    </row>
    <row r="11" spans="1:12" ht="12.75">
      <c r="A11" s="3597"/>
      <c r="B11" s="3652"/>
      <c r="C11" s="3656"/>
      <c r="D11" s="3643"/>
      <c r="E11" s="131" t="s">
        <v>1277</v>
      </c>
      <c r="F11" s="1753"/>
      <c r="G11" s="1753"/>
      <c r="H11" s="1753"/>
      <c r="I11" s="1369"/>
    </row>
    <row r="12" spans="1:12" ht="12.75">
      <c r="A12" s="3597" t="s">
        <v>1278</v>
      </c>
      <c r="B12" s="3652">
        <v>15</v>
      </c>
      <c r="C12" s="3655"/>
      <c r="D12" s="3643"/>
      <c r="E12" s="131" t="s">
        <v>1279</v>
      </c>
      <c r="F12" s="1753"/>
      <c r="G12" s="1753"/>
      <c r="H12" s="1753"/>
      <c r="I12" s="1369"/>
    </row>
    <row r="13" spans="1:12" ht="12.75">
      <c r="A13" s="3597"/>
      <c r="B13" s="3652"/>
      <c r="C13" s="3656"/>
      <c r="D13" s="3643"/>
      <c r="E13" s="131" t="s">
        <v>1280</v>
      </c>
      <c r="F13" s="1753"/>
      <c r="G13" s="1753"/>
      <c r="H13" s="1753"/>
      <c r="I13" s="1369"/>
    </row>
    <row r="14" spans="1:12" ht="12.75">
      <c r="A14" s="3597" t="s">
        <v>1281</v>
      </c>
      <c r="B14" s="3652">
        <v>30</v>
      </c>
      <c r="C14" s="3655">
        <v>5</v>
      </c>
      <c r="D14" s="3643">
        <v>5</v>
      </c>
      <c r="E14" s="131" t="s">
        <v>1282</v>
      </c>
      <c r="F14" s="1753"/>
      <c r="G14" s="1753"/>
      <c r="H14" s="1753"/>
      <c r="I14" s="1369"/>
    </row>
    <row r="15" spans="1:12" ht="12.75">
      <c r="A15" s="3597"/>
      <c r="B15" s="3652"/>
      <c r="C15" s="3657"/>
      <c r="D15" s="3643"/>
      <c r="E15" s="131" t="s">
        <v>1283</v>
      </c>
      <c r="F15" s="1753"/>
      <c r="G15" s="1753"/>
      <c r="H15" s="1753"/>
      <c r="I15" s="1369"/>
    </row>
    <row r="16" spans="1:12" ht="12.75">
      <c r="A16" s="3597"/>
      <c r="B16" s="3652"/>
      <c r="C16" s="3656"/>
      <c r="D16" s="3643"/>
      <c r="E16" s="131" t="s">
        <v>1284</v>
      </c>
      <c r="F16" s="1753"/>
      <c r="G16" s="1753"/>
      <c r="H16" s="1753"/>
      <c r="I16" s="1369"/>
    </row>
    <row r="17" spans="1:36" ht="15">
      <c r="A17" s="1754" t="s">
        <v>1285</v>
      </c>
      <c r="B17" s="56"/>
      <c r="C17" s="132">
        <f>SUM(C5:C16)</f>
        <v>5</v>
      </c>
      <c r="D17" s="132">
        <f>SUM(D5:D16)</f>
        <v>5</v>
      </c>
      <c r="E17" s="129"/>
      <c r="F17" s="129"/>
      <c r="G17" s="129"/>
      <c r="H17" s="129"/>
      <c r="I17" s="129"/>
      <c r="K17" s="302"/>
      <c r="L17" s="302" t="s">
        <v>1286</v>
      </c>
      <c r="M17" s="302" t="s">
        <v>1287</v>
      </c>
    </row>
    <row r="18" spans="1:36" ht="31.9" customHeight="1" thickBot="1">
      <c r="A18" s="1755" t="s">
        <v>1288</v>
      </c>
      <c r="B18" s="1756"/>
      <c r="C18" s="133">
        <f>ROUND(C17/SUM(C17:D17),2)</f>
        <v>0.5</v>
      </c>
      <c r="D18" s="133">
        <f>1-C18</f>
        <v>0.5</v>
      </c>
      <c r="E18" s="3674" t="s">
        <v>2131</v>
      </c>
      <c r="F18" s="3675"/>
      <c r="G18" s="3675"/>
      <c r="H18" s="3675"/>
      <c r="I18" s="3675"/>
      <c r="K18" s="302" t="s">
        <v>1289</v>
      </c>
      <c r="L18" s="302">
        <f>IF(C1="",'数据-汇总表'!E3,SUMIF(项目类型,C1,'数据-汇总表'!E17:E26)+SUMIF(项目类型,C1,'数据-汇总表'!I17:I26))</f>
        <v>2447.34</v>
      </c>
      <c r="M18" s="302">
        <f>IF(C1="",'数据-汇总表'!E3,SUMIF(项目类型,C1,'数据-汇总表'!E17:E26))</f>
        <v>2447.34</v>
      </c>
    </row>
    <row r="19" spans="1:36" ht="15">
      <c r="A19" s="1757" t="s">
        <v>1290</v>
      </c>
      <c r="B19" s="1758" t="s">
        <v>1291</v>
      </c>
      <c r="C19" s="134">
        <f ca="1">SUMIF(INDIRECT("'"&amp;C4&amp;"'"&amp;"!A:A"),结果表!B19,INDIRECT("'"&amp;C4&amp;"'"&amp;"!B:B"))</f>
        <v>1458.8995</v>
      </c>
      <c r="D19" s="135">
        <f ca="1">SUMIF(INDIRECT("'"&amp;D4&amp;"'"&amp;"!A:A"),结果表!B19,INDIRECT("'"&amp;D4&amp;"'"&amp;"!B:B"))</f>
        <v>1348.3255999999999</v>
      </c>
      <c r="E19" s="1757" t="s">
        <v>1292</v>
      </c>
      <c r="F19" s="1758" t="s">
        <v>1291</v>
      </c>
      <c r="G19" s="136">
        <f ca="1">ROUND(C19*$C$18+D19*$D$18,0)</f>
        <v>1404</v>
      </c>
      <c r="H19" s="1759" t="s">
        <v>1293</v>
      </c>
      <c r="I19" s="129"/>
      <c r="K19" s="302" t="s">
        <v>1294</v>
      </c>
      <c r="L19" s="302">
        <f>IF(C1="",'数据-汇总表'!D3,SUMIF(项目类型,C1,'数据-汇总表'!D17:D26)+SUMIF(项目类型,C1,'数据-汇总表'!H17:H27))</f>
        <v>5389.47</v>
      </c>
      <c r="M19" s="302">
        <f>IF(C1="",'数据-汇总表'!D3,SUMIF(项目类型,C1,'数据-汇总表'!D17:D26))</f>
        <v>5389.47</v>
      </c>
    </row>
    <row r="20" spans="1:36" ht="15">
      <c r="A20" s="1760"/>
      <c r="B20" s="1022" t="s">
        <v>1295</v>
      </c>
      <c r="C20" s="137">
        <f ca="1">SUMIF(INDIRECT("'"&amp;C4&amp;"'"&amp;"!A:A"),结果表!B20,INDIRECT("'"&amp;C4&amp;"'"&amp;"!B:B"))</f>
        <v>5961</v>
      </c>
      <c r="D20" s="138">
        <f ca="1">SUMIF(INDIRECT("'"&amp;D4&amp;"'"&amp;"!A:A"),结果表!B20,INDIRECT("'"&amp;D4&amp;"'"&amp;"!B:B"))</f>
        <v>5509</v>
      </c>
      <c r="E20" s="1760"/>
      <c r="F20" s="1022" t="s">
        <v>1295</v>
      </c>
      <c r="G20" s="139">
        <f ca="1">ROUND(C20*$C$18+D20*$D$18,0)</f>
        <v>5735</v>
      </c>
      <c r="H20" s="804" t="s">
        <v>1296</v>
      </c>
      <c r="I20" s="129"/>
    </row>
    <row r="21" spans="1:36" ht="15" customHeight="1" thickBot="1">
      <c r="A21" s="824"/>
      <c r="B21" s="1761" t="s">
        <v>1297</v>
      </c>
      <c r="C21" s="719">
        <f ca="1">ROUND(C19*10000/L19,0)</f>
        <v>2707</v>
      </c>
      <c r="D21" s="720">
        <f ca="1">ROUND(D19*10000/L19,0)</f>
        <v>2502</v>
      </c>
      <c r="E21" s="824"/>
      <c r="F21" s="1761" t="s">
        <v>1297</v>
      </c>
      <c r="G21" s="140">
        <f ca="1">ROUND(G19*10000/L19,0)</f>
        <v>2605</v>
      </c>
      <c r="H21" s="1762" t="s">
        <v>1296</v>
      </c>
      <c r="I21" s="129"/>
    </row>
    <row r="22" spans="1:36" ht="15" thickBot="1">
      <c r="A22" s="1684" t="s">
        <v>1298</v>
      </c>
      <c r="B22" s="1763"/>
      <c r="C22" s="1764"/>
      <c r="D22" s="721">
        <f ca="1">IF(C19&lt;D19,D19/C19-1,C19/D19-1)</f>
        <v>8.2008307192268814E-2</v>
      </c>
      <c r="E22" s="129"/>
      <c r="F22" s="129"/>
      <c r="G22" s="129"/>
      <c r="H22" s="129"/>
      <c r="I22" s="129"/>
    </row>
    <row r="23" spans="1:36" ht="13.5" thickBot="1">
      <c r="A23" s="1743"/>
      <c r="B23" s="1743"/>
      <c r="C23" s="1743"/>
      <c r="D23" s="1743"/>
      <c r="E23" s="129"/>
      <c r="F23" s="129"/>
      <c r="G23" s="129"/>
      <c r="H23" s="129"/>
      <c r="I23" s="129"/>
    </row>
    <row r="24" spans="1:36" ht="14.25">
      <c r="A24" s="3667" t="s">
        <v>1299</v>
      </c>
      <c r="B24" s="1758" t="s">
        <v>1291</v>
      </c>
      <c r="C24" s="136">
        <f>IF(B30=0,0,D30)</f>
        <v>0</v>
      </c>
      <c r="D24" s="1765"/>
      <c r="E24" s="129"/>
      <c r="F24" s="129"/>
      <c r="G24" s="129"/>
      <c r="H24" s="129"/>
      <c r="I24" s="129"/>
    </row>
    <row r="25" spans="1:36" ht="14.25">
      <c r="A25" s="3668"/>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1404</v>
      </c>
      <c r="D32" s="1771" t="s">
        <v>3498</v>
      </c>
      <c r="E32" s="129"/>
      <c r="F32" s="129"/>
      <c r="G32" s="129"/>
      <c r="H32" s="129"/>
      <c r="I32" s="129"/>
    </row>
    <row r="33" spans="1:15" ht="15">
      <c r="A33" s="782" t="s">
        <v>1306</v>
      </c>
      <c r="B33" s="1772"/>
      <c r="C33" s="1773" t="s">
        <v>3499</v>
      </c>
      <c r="D33" s="1774" t="s">
        <v>3426</v>
      </c>
      <c r="E33" s="1775" t="s">
        <v>1307</v>
      </c>
      <c r="F33" s="1776" t="str">
        <f>IF(D32="楼面单价","取值（单价）","取值（总价）")</f>
        <v>取值（总价）</v>
      </c>
      <c r="G33" s="129"/>
      <c r="H33" s="129"/>
      <c r="I33" s="129"/>
    </row>
    <row r="34" spans="1:15" ht="15">
      <c r="A34" s="1777"/>
      <c r="B34" s="1778" t="s">
        <v>1308</v>
      </c>
      <c r="C34" s="148">
        <f ca="1">IF(C33="自定义",F34,C32-C35)</f>
        <v>776</v>
      </c>
      <c r="D34" s="857">
        <f ca="1">IF(C33="自定义",ROUND(C34/C32,3),IF(C33="收益比率",SUMIF(INDIRECT("'"&amp;D33&amp;"'"&amp;"!b:b"),"土地收益比率",INDIRECT("'"&amp;D33&amp;"'"&amp;"!c:c")),SUMIF(INDIRECT("'"&amp;D33&amp;"'"&amp;"!b:b"),"土地成本比率",INDIRECT("'"&amp;D33&amp;"'"&amp;"!c:c"))))</f>
        <v>0.55299999999999994</v>
      </c>
      <c r="E34" s="1779" t="s">
        <v>1309</v>
      </c>
      <c r="F34" s="1326"/>
      <c r="G34" s="129"/>
      <c r="H34" s="129"/>
      <c r="I34" s="129"/>
    </row>
    <row r="35" spans="1:15" ht="15.75" thickBot="1">
      <c r="A35" s="1780"/>
      <c r="B35" s="1781" t="s">
        <v>1310</v>
      </c>
      <c r="C35" s="1166">
        <f ca="1">IF(C33="自定义",F35,ROUND(C32*D35,0))</f>
        <v>628</v>
      </c>
      <c r="D35" s="1167">
        <f ca="1">IF(C33="自定义",ROUND(C35/C32,3),IF(C33="收益比率",SUMIF(INDIRECT("'"&amp;D33&amp;"'"&amp;"!b:b"),"建筑物收益比率",INDIRECT("'"&amp;D33&amp;"'"&amp;"!c:c")),SUMIF(INDIRECT("'"&amp;D33&amp;"'"&amp;"!b:b"),"建筑物成本比率",INDIRECT("'"&amp;D33&amp;"'"&amp;"!c:c"))))</f>
        <v>0.44700000000000001</v>
      </c>
      <c r="E35" s="1782" t="s">
        <v>1311</v>
      </c>
      <c r="F35" s="154"/>
      <c r="G35" s="129"/>
      <c r="H35" s="129"/>
      <c r="I35" s="129"/>
    </row>
    <row r="36" spans="1:15" ht="15.75" thickBot="1">
      <c r="A36" s="3644" t="s">
        <v>1312</v>
      </c>
      <c r="B36" s="1783" t="s">
        <v>1313</v>
      </c>
      <c r="C36" s="145"/>
      <c r="D36" s="1784"/>
      <c r="E36" s="1785"/>
      <c r="F36" s="1786"/>
      <c r="G36" s="129"/>
      <c r="H36" s="129"/>
      <c r="I36" s="129"/>
    </row>
    <row r="37" spans="1:15" ht="15.75" thickBot="1">
      <c r="A37" s="3645"/>
      <c r="B37" s="1670" t="s">
        <v>1314</v>
      </c>
      <c r="C37" s="147"/>
      <c r="D37" s="1135"/>
      <c r="E37" s="1135"/>
      <c r="F37" s="1786"/>
      <c r="G37" s="129"/>
      <c r="H37" s="129"/>
      <c r="I37" s="129"/>
    </row>
    <row r="38" spans="1:15" ht="15.75" thickBot="1">
      <c r="A38" s="3646"/>
      <c r="B38" s="1787" t="s">
        <v>1315</v>
      </c>
      <c r="C38" s="674"/>
      <c r="D38" s="1788" t="s">
        <v>1316</v>
      </c>
      <c r="E38" s="1135"/>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64" t="s">
        <v>1326</v>
      </c>
      <c r="B45" s="3665"/>
      <c r="C45" s="3666"/>
      <c r="D45" s="155">
        <f ca="1">ROUND(H101*F45,0)</f>
        <v>1404</v>
      </c>
      <c r="E45" s="156" t="s">
        <v>1327</v>
      </c>
      <c r="F45" s="157">
        <v>1</v>
      </c>
      <c r="G45" s="158" t="s">
        <v>1328</v>
      </c>
      <c r="H45" s="129"/>
      <c r="I45" s="129"/>
      <c r="J45" s="3584" t="s">
        <v>1329</v>
      </c>
      <c r="K45" s="3584"/>
      <c r="L45" s="3584"/>
      <c r="M45" s="3584"/>
      <c r="N45" s="3584"/>
      <c r="O45" s="3584"/>
    </row>
    <row r="46" spans="1:15" ht="14.25" customHeight="1">
      <c r="A46" s="3661" t="s">
        <v>1330</v>
      </c>
      <c r="B46" s="3662"/>
      <c r="C46" s="3662"/>
      <c r="D46" s="3662"/>
      <c r="E46" s="3662"/>
      <c r="F46" s="3662"/>
      <c r="G46" s="3663"/>
      <c r="H46" s="1802"/>
      <c r="I46" s="159"/>
      <c r="J46" s="2519">
        <v>1</v>
      </c>
      <c r="K46" s="3585" t="s">
        <v>1331</v>
      </c>
      <c r="L46" s="3585"/>
      <c r="M46" s="3586"/>
      <c r="N46" s="3586"/>
      <c r="O46" s="3586"/>
    </row>
    <row r="47" spans="1:15" ht="12" customHeight="1">
      <c r="A47" s="160" t="s">
        <v>1332</v>
      </c>
      <c r="B47" s="161"/>
      <c r="C47" s="162"/>
      <c r="D47" s="1083" t="s">
        <v>1333</v>
      </c>
      <c r="E47" s="302" t="s">
        <v>1334</v>
      </c>
      <c r="F47" s="163" t="s">
        <v>1335</v>
      </c>
      <c r="G47" s="2542" t="s">
        <v>1336</v>
      </c>
      <c r="H47" s="2543"/>
      <c r="I47" s="159"/>
      <c r="J47" s="2519">
        <v>2</v>
      </c>
      <c r="K47" s="3585" t="s">
        <v>1337</v>
      </c>
      <c r="L47" s="3585"/>
      <c r="M47" s="3587">
        <f>'数据-取费表'!B2</f>
        <v>45421</v>
      </c>
      <c r="N47" s="3587"/>
      <c r="O47" s="3587"/>
    </row>
    <row r="48" spans="1:15" ht="25.5">
      <c r="A48" s="3647" t="s">
        <v>1338</v>
      </c>
      <c r="B48" s="3648"/>
      <c r="C48" s="3648"/>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2"/>
      <c r="J48" s="2519">
        <v>3</v>
      </c>
      <c r="K48" s="3585" t="s">
        <v>1340</v>
      </c>
      <c r="L48" s="3585"/>
      <c r="M48" s="3588">
        <f ca="1">H101</f>
        <v>1404</v>
      </c>
      <c r="N48" s="3588"/>
      <c r="O48" s="3588"/>
    </row>
    <row r="49" spans="1:35" ht="25.5" customHeight="1">
      <c r="A49" s="2329" t="s">
        <v>1341</v>
      </c>
      <c r="B49" s="3633" t="s">
        <v>1342</v>
      </c>
      <c r="C49" s="3633"/>
      <c r="D49" s="1586">
        <v>0</v>
      </c>
      <c r="E49" s="324" t="s">
        <v>1343</v>
      </c>
      <c r="F49" s="2420" t="s">
        <v>28</v>
      </c>
      <c r="G49" s="3616"/>
      <c r="H49" s="2306" t="s">
        <v>2134</v>
      </c>
      <c r="I49" s="2307"/>
      <c r="J49" s="2519">
        <v>4</v>
      </c>
      <c r="K49" s="3585" t="str">
        <f>IF(项目基本情况!E8="房地产抵押价值","房地产抵押价值","抵押担保权已注销时的房地产抵押价值")</f>
        <v>房地产抵押价值</v>
      </c>
      <c r="L49" s="3585"/>
      <c r="M49" s="3588">
        <f ca="1">IF(项目基本情况!E8="房地产抵押价值",H107,H109)</f>
        <v>1404</v>
      </c>
      <c r="N49" s="3588"/>
      <c r="O49" s="3588"/>
    </row>
    <row r="50" spans="1:35" ht="25.5" customHeight="1">
      <c r="A50" s="2547"/>
      <c r="B50" s="3633" t="s">
        <v>1344</v>
      </c>
      <c r="C50" s="3633"/>
      <c r="D50" s="2548"/>
      <c r="E50" s="332"/>
      <c r="F50" s="2420"/>
      <c r="G50" s="3617"/>
      <c r="H50" s="2308" t="s">
        <v>2135</v>
      </c>
      <c r="I50" s="2307"/>
      <c r="J50" s="3584" t="s">
        <v>1345</v>
      </c>
      <c r="K50" s="3584"/>
      <c r="L50" s="3584"/>
      <c r="M50" s="3584"/>
      <c r="N50" s="3584"/>
      <c r="O50" s="3584"/>
    </row>
    <row r="51" spans="1:35" ht="20.45" customHeight="1">
      <c r="A51" s="2549"/>
      <c r="B51" s="3633" t="s">
        <v>1346</v>
      </c>
      <c r="C51" s="3633"/>
      <c r="D51" s="1083"/>
      <c r="E51" s="327"/>
      <c r="F51" s="2420"/>
      <c r="G51" s="3618"/>
      <c r="H51" s="2308" t="s">
        <v>2136</v>
      </c>
      <c r="I51" s="2307"/>
      <c r="J51" s="2520" t="s">
        <v>1347</v>
      </c>
      <c r="K51" s="3585" t="s">
        <v>1348</v>
      </c>
      <c r="L51" s="3585"/>
      <c r="M51" s="2520" t="s">
        <v>1349</v>
      </c>
      <c r="N51" s="2520" t="s">
        <v>1350</v>
      </c>
      <c r="O51" s="2520" t="s">
        <v>1351</v>
      </c>
    </row>
    <row r="52" spans="1:35" ht="24" customHeight="1">
      <c r="A52" s="2331" t="s">
        <v>1352</v>
      </c>
      <c r="B52" s="3633" t="s">
        <v>1353</v>
      </c>
      <c r="C52" s="3633"/>
      <c r="D52" s="1083">
        <f ca="1">ROUND(D45*'数据-取费表'!B41/(1+'数据-取费表'!C42),0)</f>
        <v>74</v>
      </c>
      <c r="E52" s="2330" t="s">
        <v>1354</v>
      </c>
      <c r="F52" s="2550">
        <f>'数据-取费表'!B41</f>
        <v>5.5000000000000007E-2</v>
      </c>
      <c r="G52" s="2551"/>
      <c r="H52" s="2540"/>
      <c r="I52" s="1803"/>
      <c r="J52" s="2519">
        <v>1</v>
      </c>
      <c r="K52" s="3610" t="s">
        <v>1355</v>
      </c>
      <c r="L52" s="3610"/>
      <c r="M52" s="2521" t="b">
        <f>D48</f>
        <v>0</v>
      </c>
      <c r="N52" s="2519" t="str">
        <f>E48</f>
        <v>销售额×税（费）率</v>
      </c>
      <c r="O52" s="2522">
        <f>F48</f>
        <v>5.5000000000000007E-2</v>
      </c>
    </row>
    <row r="53" spans="1:35" ht="12" customHeight="1">
      <c r="A53" s="2331" t="s">
        <v>1356</v>
      </c>
      <c r="B53" s="3634" t="s">
        <v>2291</v>
      </c>
      <c r="C53" s="3635"/>
      <c r="D53" s="1083">
        <f ca="1">ROUND(D45*'数据-取费表'!B41/(1+'数据-取费表'!C42),0)</f>
        <v>74</v>
      </c>
      <c r="E53" s="2330" t="s">
        <v>1354</v>
      </c>
      <c r="F53" s="2550">
        <f>'数据-取费表'!B41</f>
        <v>5.5000000000000007E-2</v>
      </c>
      <c r="G53" s="2551"/>
      <c r="H53" s="2540"/>
      <c r="I53" s="1803"/>
      <c r="J53" s="2519">
        <v>2</v>
      </c>
      <c r="K53" s="3610" t="s">
        <v>1357</v>
      </c>
      <c r="L53" s="3610"/>
      <c r="M53" s="2521">
        <f t="shared" ref="M53:O54" ca="1" si="0">D55</f>
        <v>1</v>
      </c>
      <c r="N53" s="2519" t="str">
        <f t="shared" si="0"/>
        <v>销售额×税（费）率</v>
      </c>
      <c r="O53" s="2522" t="str">
        <f t="shared" si="0"/>
        <v>免征</v>
      </c>
    </row>
    <row r="54" spans="1:35" ht="12" customHeight="1">
      <c r="A54" s="2331" t="s">
        <v>1358</v>
      </c>
      <c r="B54" s="3634" t="s">
        <v>2292</v>
      </c>
      <c r="C54" s="3635"/>
      <c r="D54" s="1083">
        <f ca="1">C68</f>
        <v>74</v>
      </c>
      <c r="E54" s="327" t="s">
        <v>1359</v>
      </c>
      <c r="F54" s="2550">
        <f>'数据-取费表'!B41</f>
        <v>5.5000000000000007E-2</v>
      </c>
      <c r="G54" s="2551"/>
      <c r="H54" s="2552"/>
      <c r="I54" s="1803"/>
      <c r="J54" s="2519">
        <v>3</v>
      </c>
      <c r="K54" s="3610" t="s">
        <v>1360</v>
      </c>
      <c r="L54" s="3610"/>
      <c r="M54" s="2521">
        <f t="shared" ca="1" si="0"/>
        <v>796</v>
      </c>
      <c r="N54" s="2519" t="str">
        <f t="shared" si="0"/>
        <v>增值额×税（费）率</v>
      </c>
      <c r="O54" s="2523" t="str">
        <f t="shared" si="0"/>
        <v>免征</v>
      </c>
    </row>
    <row r="55" spans="1:35" ht="24" customHeight="1">
      <c r="A55" s="3670" t="s">
        <v>1361</v>
      </c>
      <c r="B55" s="3648"/>
      <c r="C55" s="3648"/>
      <c r="D55" s="2320">
        <f ca="1">IF(H55="个人住宅",0,ROUND(D45*I55,0))</f>
        <v>1</v>
      </c>
      <c r="E55" s="2330" t="s">
        <v>1362</v>
      </c>
      <c r="F55" s="2550" t="str">
        <f>IF(H55="正常",I55,"免征")</f>
        <v>免征</v>
      </c>
      <c r="G55" s="2551"/>
      <c r="H55" s="2546"/>
      <c r="I55" s="165">
        <f>'数据-取费表'!B49</f>
        <v>5.0000000000000001E-4</v>
      </c>
      <c r="J55" s="2519">
        <f>IF(H59="非个人房产","",4)</f>
        <v>4</v>
      </c>
      <c r="K55" s="3610" t="str">
        <f>IF(H59="非个人房产","——","个人所得税")</f>
        <v>个人所得税</v>
      </c>
      <c r="L55" s="3610"/>
      <c r="M55" s="2524">
        <f ca="1">D59</f>
        <v>13</v>
      </c>
      <c r="N55" s="2036" t="str">
        <f>E59</f>
        <v>差额计税</v>
      </c>
      <c r="O55" s="2525">
        <f>F59</f>
        <v>0.01</v>
      </c>
    </row>
    <row r="56" spans="1:35" ht="24.75">
      <c r="A56" s="3670" t="s">
        <v>1363</v>
      </c>
      <c r="B56" s="3648"/>
      <c r="C56" s="3648"/>
      <c r="D56" s="2320">
        <f ca="1">IF(H56="个人住宅",D57,D58)</f>
        <v>796</v>
      </c>
      <c r="E56" s="2330" t="s">
        <v>1364</v>
      </c>
      <c r="F56" s="2550" t="str">
        <f>IF(H56="正常",F58,"免征")</f>
        <v>免征</v>
      </c>
      <c r="G56" s="2553" t="s">
        <v>1365</v>
      </c>
      <c r="H56" s="2554"/>
      <c r="I56" s="1804"/>
      <c r="J56" s="2519" t="str">
        <f>IF(项目基本情况!K6="上海银行",IF(J55="",4,J55+1),"")</f>
        <v/>
      </c>
      <c r="K56" s="3591" t="str">
        <f>IF(项目基本情况!K6="上海银行","其他处置费用","")</f>
        <v/>
      </c>
      <c r="L56" s="3592"/>
      <c r="M56" s="2521" t="str">
        <f>IF(项目基本情况!K6="上海银行",M69,"")</f>
        <v/>
      </c>
      <c r="N56" s="3591" t="str">
        <f>IF(项目基本情况!K6="上海银行","包含处置中涉及的律师、诉讼、拍卖、评估等费用","")</f>
        <v/>
      </c>
      <c r="O56" s="3594"/>
    </row>
    <row r="57" spans="1:35" ht="12.75">
      <c r="A57" s="2331" t="s">
        <v>1341</v>
      </c>
      <c r="B57" s="3634" t="s">
        <v>1366</v>
      </c>
      <c r="C57" s="3635"/>
      <c r="D57" s="1586">
        <v>0</v>
      </c>
      <c r="E57" s="324" t="s">
        <v>1343</v>
      </c>
      <c r="F57" s="302"/>
      <c r="G57" s="2551"/>
      <c r="H57" s="2555"/>
      <c r="I57" s="1804"/>
      <c r="J57" s="3610">
        <f>IF(AND(J55="",J56=""),4,IF(项目基本情况!K6="上海银行",结果表!J56+1,结果表!J55+1))</f>
        <v>5</v>
      </c>
      <c r="K57" s="3610" t="s">
        <v>1367</v>
      </c>
      <c r="L57" s="2526" t="s">
        <v>1368</v>
      </c>
      <c r="M57" s="2527"/>
      <c r="N57" s="2528">
        <f ca="1">SUMIF(M52:M56,"&lt;9e307")</f>
        <v>810</v>
      </c>
      <c r="O57" s="2529"/>
      <c r="P57" s="2686">
        <f ca="1">N57/M49</f>
        <v>0.57692307692307687</v>
      </c>
    </row>
    <row r="58" spans="1:35" ht="24.75">
      <c r="A58" s="2331" t="s">
        <v>1352</v>
      </c>
      <c r="B58" s="3634" t="s">
        <v>1369</v>
      </c>
      <c r="C58" s="3633"/>
      <c r="D58" s="2320">
        <f ca="1">IF(H58="转让取得",C81,C97)</f>
        <v>796</v>
      </c>
      <c r="E58" s="2330" t="s">
        <v>1364</v>
      </c>
      <c r="F58" s="302" t="s">
        <v>28</v>
      </c>
      <c r="G58" s="2551"/>
      <c r="H58" s="2554"/>
      <c r="I58" s="1804"/>
      <c r="J58" s="3610"/>
      <c r="K58" s="3610"/>
      <c r="L58" s="2526" t="s">
        <v>1370</v>
      </c>
      <c r="M58" s="2530"/>
      <c r="N58" s="2531" t="str">
        <f ca="1">NUMBERSTRING(INT(N57*10000),2)&amp;"元整"</f>
        <v>捌佰壹拾万元整</v>
      </c>
      <c r="O58" s="2532"/>
    </row>
    <row r="59" spans="1:35" ht="24.75" thickBot="1">
      <c r="A59" s="3614" t="s">
        <v>1371</v>
      </c>
      <c r="B59" s="3615"/>
      <c r="C59" s="3615"/>
      <c r="D59" s="2556">
        <f ca="1">IF(H59="非个人房产","——",IF(H59="个人住宅（满五唯一有凭证）",0,IF(H59="个人其他（无凭证）",ROUND(D45*F59,0),ROUND(C67*F59,0))))</f>
        <v>13</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12">
        <f>J57+1</f>
        <v>6</v>
      </c>
      <c r="K59" s="3610" t="s">
        <v>1372</v>
      </c>
      <c r="L59" s="2519" t="s">
        <v>1368</v>
      </c>
      <c r="M59" s="2533"/>
      <c r="N59" s="2534">
        <f ca="1">M49-N57</f>
        <v>594</v>
      </c>
      <c r="O59" s="2535"/>
    </row>
    <row r="60" spans="1:35" ht="12" customHeight="1">
      <c r="A60" s="1805"/>
      <c r="B60" s="1743"/>
      <c r="C60" s="1743"/>
      <c r="D60" s="1743"/>
      <c r="E60" s="1574"/>
      <c r="F60" s="1804"/>
      <c r="G60" s="1804"/>
      <c r="H60" s="1806"/>
      <c r="I60" s="129"/>
      <c r="J60" s="3613"/>
      <c r="K60" s="3610"/>
      <c r="L60" s="2526" t="s">
        <v>1370</v>
      </c>
      <c r="M60" s="2530"/>
      <c r="N60" s="2531" t="str">
        <f ca="1">NUMBERSTRING(INT(N59*10000),2)&amp;"元整"</f>
        <v>伍佰玖拾肆万元整</v>
      </c>
      <c r="O60" s="2532"/>
    </row>
    <row r="61" spans="1:35" ht="13.5" thickBot="1">
      <c r="A61" s="3669" t="s">
        <v>1373</v>
      </c>
      <c r="B61" s="3669"/>
      <c r="C61" s="3669"/>
      <c r="D61" s="3669"/>
      <c r="E61" s="3669"/>
      <c r="F61" s="1804"/>
      <c r="G61" s="1804"/>
      <c r="H61" s="1806"/>
      <c r="I61" s="129"/>
      <c r="J61" s="2519">
        <f>J59+1</f>
        <v>7</v>
      </c>
      <c r="K61" s="3610" t="s">
        <v>1374</v>
      </c>
      <c r="L61" s="3610"/>
      <c r="M61" s="2536"/>
      <c r="N61" s="2537">
        <f ca="1">ROUND(N59*10000/'数据-汇总表'!E3,0)</f>
        <v>2427</v>
      </c>
      <c r="O61" s="2538"/>
    </row>
    <row r="62" spans="1:35" ht="12.75">
      <c r="A62" s="3629" t="s">
        <v>1375</v>
      </c>
      <c r="B62" s="3630"/>
      <c r="C62" s="2017"/>
      <c r="D62" s="2017" t="s">
        <v>1376</v>
      </c>
      <c r="E62" s="166" t="s">
        <v>1377</v>
      </c>
      <c r="F62" s="1804"/>
      <c r="G62" s="1804"/>
      <c r="H62" s="1806"/>
      <c r="I62" s="129"/>
    </row>
    <row r="63" spans="1:35" ht="12.75">
      <c r="A63" s="173" t="s">
        <v>330</v>
      </c>
      <c r="B63" s="167" t="s">
        <v>1378</v>
      </c>
      <c r="C63" s="2560">
        <f ca="1">ROUND((C64+C65)/(1+'数据-取费表'!C42),0)</f>
        <v>1337</v>
      </c>
      <c r="D63" s="167"/>
      <c r="E63" s="168"/>
      <c r="F63" s="1804"/>
      <c r="G63" s="1804"/>
      <c r="H63" s="1806"/>
      <c r="I63" s="129"/>
      <c r="J63" s="3593" t="s">
        <v>1379</v>
      </c>
      <c r="K63" s="1328" t="s">
        <v>1380</v>
      </c>
      <c r="L63" s="1328">
        <f ca="1">IF(M49&gt;10000,M49*0.5%,IF(AND(M49&gt;1000,M49&lt;=10000),M49*1%,IF(AND(M49&gt;100,M49&lt;=1000),M49*3%,IF(AND(M49&gt;10,M49&lt;=100),M49*5%,M49*8%))))</f>
        <v>14.040000000000001</v>
      </c>
      <c r="M63" s="302">
        <f ca="1">ROUND(L63,1)</f>
        <v>14</v>
      </c>
      <c r="N63" s="2539"/>
      <c r="Z63" s="1748"/>
      <c r="AI63" s="1749"/>
    </row>
    <row r="64" spans="1:35" ht="14.25" customHeight="1">
      <c r="A64" s="169" t="s">
        <v>325</v>
      </c>
      <c r="B64" s="170" t="s">
        <v>1381</v>
      </c>
      <c r="C64" s="2561">
        <f ca="1">D45</f>
        <v>1404</v>
      </c>
      <c r="D64" s="170" t="s">
        <v>26</v>
      </c>
      <c r="E64" s="172"/>
      <c r="F64" s="1804"/>
      <c r="G64" s="1804"/>
      <c r="H64" s="1806"/>
      <c r="I64" s="129"/>
      <c r="J64" s="3593"/>
      <c r="K64" s="1328" t="s">
        <v>1382</v>
      </c>
      <c r="L64" s="1328">
        <f ca="1">IF(M49&gt;2000,M49*0.5%,IF(AND(M49&gt;1000,M49&lt;=2000),M49*0.6%,IF(AND(M49&gt;500,M49&lt;=1000),M49*0.7%,IF(AND(M49&gt;200,M49&lt;=500),M49*0.8%,IF(AND(M49&gt;100,M49&lt;=200),M49*0.9%,IF(AND(M49&gt;50,M49&lt;=100),M49*1%,IF(AND(M49&gt;20,M49&lt;=50),M49*1.5%,IF(AND(M49&gt;10,M49&lt;=20),M49*2%,IF(AND(M49&gt;1,M49&lt;=10),M49*2.5%)))))))))</f>
        <v>8.4239999999999995</v>
      </c>
      <c r="M64" s="302">
        <f t="shared" ref="M64:M65" ca="1" si="1">ROUND(L64,1)</f>
        <v>8.4</v>
      </c>
      <c r="N64" s="2540" t="s">
        <v>1383</v>
      </c>
      <c r="Z64" s="1748"/>
      <c r="AI64" s="1749"/>
    </row>
    <row r="65" spans="1:35" ht="14.25" customHeight="1">
      <c r="A65" s="169" t="s">
        <v>326</v>
      </c>
      <c r="B65" s="170" t="s">
        <v>1384</v>
      </c>
      <c r="C65" s="2562"/>
      <c r="D65" s="170"/>
      <c r="E65" s="172"/>
      <c r="F65" s="1804"/>
      <c r="G65" s="1804"/>
      <c r="H65" s="1806"/>
      <c r="I65" s="129"/>
      <c r="J65" s="3593"/>
      <c r="K65" s="1328" t="s">
        <v>1385</v>
      </c>
      <c r="L65" s="1328">
        <f ca="1">IF(M49&gt;1000,M49*0.1%,IF(AND(M49&gt;500,M49&lt;=1000),M49*0.5%,IF(AND(M49&gt;50,M49&lt;=500),M49*1%,IF(AND(M49&gt;1,M49&lt;=50),M49*1.5%))))</f>
        <v>1.4040000000000001</v>
      </c>
      <c r="M65" s="302">
        <f t="shared" ca="1" si="1"/>
        <v>1.4</v>
      </c>
      <c r="N65" s="2540" t="s">
        <v>1383</v>
      </c>
      <c r="Z65" s="1748"/>
      <c r="AI65" s="1749"/>
    </row>
    <row r="66" spans="1:35" ht="14.25" customHeight="1">
      <c r="A66" s="173" t="s">
        <v>327</v>
      </c>
      <c r="B66" s="174" t="s">
        <v>1386</v>
      </c>
      <c r="C66" s="2563"/>
      <c r="D66" s="174" t="s">
        <v>26</v>
      </c>
      <c r="E66" s="1334" t="s">
        <v>671</v>
      </c>
      <c r="F66" s="1804"/>
      <c r="G66" s="1804"/>
      <c r="H66" s="1806"/>
      <c r="I66" s="129"/>
      <c r="J66" s="3593"/>
      <c r="K66" s="1328" t="s">
        <v>1387</v>
      </c>
      <c r="L66" s="1328">
        <f ca="1">M49*0.5%</f>
        <v>7.0200000000000005</v>
      </c>
      <c r="M66" s="302">
        <f ca="1">IF(L66&gt;0.5,0.5,ROUND(L66,0))</f>
        <v>0.5</v>
      </c>
      <c r="N66" s="2540" t="s">
        <v>1388</v>
      </c>
      <c r="Z66" s="1748"/>
      <c r="AI66" s="1749"/>
    </row>
    <row r="67" spans="1:35" ht="14.25" customHeight="1">
      <c r="A67" s="173" t="s">
        <v>328</v>
      </c>
      <c r="B67" s="174" t="s">
        <v>1389</v>
      </c>
      <c r="C67" s="2564">
        <f ca="1">C63-C66</f>
        <v>1337</v>
      </c>
      <c r="D67" s="170" t="s">
        <v>26</v>
      </c>
      <c r="E67" s="172"/>
      <c r="F67" s="1804"/>
      <c r="G67" s="1804"/>
      <c r="H67" s="1806"/>
      <c r="I67" s="129"/>
      <c r="J67" s="3593"/>
      <c r="K67" s="1328" t="s">
        <v>1390</v>
      </c>
      <c r="L67" s="1328">
        <f ca="1">IF(M49&gt;=10000,(8.25+(M49-10000)*0.01%),IF(AND(M49&gt;=8000,M49&lt;10000),(7.85+(M49-8000)*0.02%),IF(AND(M49&gt;=5000,M49&lt;8000),(6.65+(M49-5000)*0.04%),IF(AND(M49&gt;=2000,M49&lt;5000),(4.25+(PM49-2000)*0.08%),IF(AND(M49&gt;=1000,M49&lt;2000),(2.75+(M49-1000)*0.15%),IF(AND(M49&gt;=100,M49&lt;1000),(0.5+(M49-100)*0.25%),IF(AND(M49&gt;0,M49&lt;100),M49*0.5%)))))))</f>
        <v>3.3559999999999999</v>
      </c>
      <c r="M67" s="302">
        <f ca="1">ROUND(L67*0.9,1)</f>
        <v>3</v>
      </c>
      <c r="N67" s="2539"/>
      <c r="Z67" s="1748"/>
      <c r="AI67" s="1749"/>
    </row>
    <row r="68" spans="1:35" ht="14.25" customHeight="1" thickBot="1">
      <c r="A68" s="176" t="s">
        <v>329</v>
      </c>
      <c r="B68" s="177" t="s">
        <v>1391</v>
      </c>
      <c r="C68" s="2565">
        <f ca="1">IF(C67&lt;=0,0,ROUND(C67*D68,0))</f>
        <v>74</v>
      </c>
      <c r="D68" s="2566">
        <f>'数据-取费表'!B41</f>
        <v>5.5000000000000007E-2</v>
      </c>
      <c r="E68" s="178"/>
      <c r="F68" s="1804"/>
      <c r="G68" s="1804"/>
      <c r="H68" s="1806"/>
      <c r="I68" s="129"/>
      <c r="J68" s="3593"/>
      <c r="K68" s="1328" t="s">
        <v>1392</v>
      </c>
      <c r="L68" s="1328">
        <f ca="1">IF(M49&gt;10000,M49*0.5%,IF(AND(M49&gt;5000,M49&lt;=10000),M49*1%,IF(AND(M49&gt;1000,M49&lt;=5000),M49*2%,IF(AND(M49&gt;200,M49&lt;=1000),M49*3%,M49*5%))))</f>
        <v>28.080000000000002</v>
      </c>
      <c r="M68" s="302">
        <f ca="1">ROUND(L68,1)</f>
        <v>28.1</v>
      </c>
      <c r="N68" s="2539"/>
      <c r="Z68" s="1748"/>
      <c r="AI68" s="1749"/>
    </row>
    <row r="69" spans="1:35" s="1768" customFormat="1" ht="16.5" customHeight="1">
      <c r="A69" s="1807"/>
      <c r="B69" s="1808"/>
      <c r="C69" s="1809"/>
      <c r="D69" s="1810"/>
      <c r="E69" s="1811"/>
      <c r="F69" s="1574"/>
      <c r="G69" s="1574"/>
      <c r="H69" s="1573"/>
      <c r="I69" s="1743"/>
      <c r="J69" s="3593"/>
      <c r="K69" s="1328" t="s">
        <v>1393</v>
      </c>
      <c r="L69" s="1328"/>
      <c r="M69" s="302">
        <f ca="1">ROUND(SUM(M63:M68),0)</f>
        <v>55</v>
      </c>
      <c r="N69" s="2541">
        <f ca="1">M69/M49</f>
        <v>3.9173789173789171E-2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thickBot="1">
      <c r="A70" s="3637" t="s">
        <v>1394</v>
      </c>
      <c r="B70" s="3638"/>
      <c r="C70" s="3638"/>
      <c r="D70" s="3638"/>
      <c r="E70" s="3638"/>
      <c r="F70" s="3638"/>
      <c r="G70" s="3638"/>
      <c r="H70" s="3638"/>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29" t="s">
        <v>1375</v>
      </c>
      <c r="B71" s="3630"/>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1337</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7</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34" t="s">
        <v>1402</v>
      </c>
      <c r="F76" s="3633"/>
      <c r="G76" s="3633"/>
      <c r="H76" s="363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7</v>
      </c>
      <c r="D78" s="2573">
        <f>'数据-取费表'!B43</f>
        <v>5.000000000000001E-3</v>
      </c>
      <c r="E78" s="3626" t="s">
        <v>1406</v>
      </c>
      <c r="F78" s="3627"/>
      <c r="G78" s="3627"/>
      <c r="H78" s="362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1330</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190</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796</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37" t="s">
        <v>1410</v>
      </c>
      <c r="B83" s="3638"/>
      <c r="C83" s="3638"/>
      <c r="D83" s="3638"/>
      <c r="E83" s="3638"/>
      <c r="F83" s="3638"/>
      <c r="G83" s="3638"/>
      <c r="H83" s="363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29" t="s">
        <v>1375</v>
      </c>
      <c r="B84" s="3630"/>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1337</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7</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595" t="s">
        <v>2129</v>
      </c>
      <c r="H90" s="3596"/>
      <c r="I90" s="1817"/>
      <c r="J90" s="2517"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626" t="s">
        <v>1419</v>
      </c>
      <c r="F91" s="3627"/>
      <c r="G91" s="362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626" t="s">
        <v>1422</v>
      </c>
      <c r="F92" s="3627"/>
      <c r="G92" s="3627"/>
      <c r="H92" s="3628"/>
      <c r="I92" s="1817"/>
      <c r="J92" s="2518"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7</v>
      </c>
      <c r="D93" s="2573">
        <f>'数据-取费表'!B43</f>
        <v>5.000000000000001E-3</v>
      </c>
      <c r="E93" s="3626" t="s">
        <v>1406</v>
      </c>
      <c r="F93" s="3627"/>
      <c r="G93" s="3627"/>
      <c r="H93" s="362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71" t="s">
        <v>1426</v>
      </c>
      <c r="F94" s="3672"/>
      <c r="G94" s="3672"/>
      <c r="H94" s="3673"/>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1330</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190</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796</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76" t="s">
        <v>1428</v>
      </c>
      <c r="B100" s="3577"/>
      <c r="C100" s="3577"/>
      <c r="D100" s="3611"/>
      <c r="E100" s="3577" t="s">
        <v>1429</v>
      </c>
      <c r="F100" s="3577"/>
      <c r="G100" s="3577"/>
      <c r="H100" s="3611"/>
      <c r="I100" s="129"/>
    </row>
    <row r="101" spans="1:35" ht="18.75" customHeight="1">
      <c r="A101" s="3619" t="s">
        <v>1430</v>
      </c>
      <c r="B101" s="3620"/>
      <c r="C101" s="2581" t="str">
        <f>C4</f>
        <v>成本法 (元)</v>
      </c>
      <c r="D101" s="2582" t="str">
        <f>D4</f>
        <v>收益法 (元)</v>
      </c>
      <c r="E101" s="3589" t="s">
        <v>1431</v>
      </c>
      <c r="F101" s="3590"/>
      <c r="G101" s="1823" t="s">
        <v>1432</v>
      </c>
      <c r="H101" s="2591">
        <f ca="1">H118</f>
        <v>1404</v>
      </c>
      <c r="I101" s="129"/>
    </row>
    <row r="102" spans="1:35" ht="18.75" customHeight="1">
      <c r="A102" s="3621" t="s">
        <v>1433</v>
      </c>
      <c r="B102" s="2580" t="s">
        <v>1432</v>
      </c>
      <c r="C102" s="2581">
        <f ca="1">IF(D32="楼面单价",ROUND(C19,0),C19)</f>
        <v>1458.8995</v>
      </c>
      <c r="D102" s="2582">
        <f ca="1">IF(D32="楼面单价",ROUND(D19,0),D19)</f>
        <v>1348.3255999999999</v>
      </c>
      <c r="E102" s="3589"/>
      <c r="F102" s="3590"/>
      <c r="G102" s="1823" t="s">
        <v>1434</v>
      </c>
      <c r="H102" s="2551">
        <f ca="1">I118</f>
        <v>5737</v>
      </c>
      <c r="I102" s="129"/>
    </row>
    <row r="103" spans="1:35" ht="42.75" customHeight="1">
      <c r="A103" s="3621"/>
      <c r="B103" s="2580" t="s">
        <v>1434</v>
      </c>
      <c r="C103" s="2583">
        <f ca="1">C20</f>
        <v>5961</v>
      </c>
      <c r="D103" s="2584">
        <f ca="1">D20</f>
        <v>5509</v>
      </c>
      <c r="E103" s="3582" t="s">
        <v>1435</v>
      </c>
      <c r="F103" s="3583"/>
      <c r="G103" s="1824" t="s">
        <v>1436</v>
      </c>
      <c r="H103" s="2591">
        <f>IF(D36="正常操作",H104+H105+H106,H105+H106)</f>
        <v>0</v>
      </c>
      <c r="I103" s="129"/>
    </row>
    <row r="104" spans="1:35" ht="18.75" customHeight="1">
      <c r="A104" s="3621" t="s">
        <v>1437</v>
      </c>
      <c r="B104" s="2585" t="s">
        <v>1432</v>
      </c>
      <c r="C104" s="2586">
        <f ca="1">H118</f>
        <v>1404</v>
      </c>
      <c r="D104" s="2587"/>
      <c r="E104" s="1670" t="s">
        <v>1438</v>
      </c>
      <c r="F104" s="1662"/>
      <c r="G104" s="1824" t="s">
        <v>1436</v>
      </c>
      <c r="H104" s="2592">
        <f>IF(D36="同一抵押权人同一抵押物续贷",C36&amp;"（续贷，未扣减，详见特别提示）",C36)</f>
        <v>0</v>
      </c>
      <c r="I104" s="129"/>
    </row>
    <row r="105" spans="1:35" ht="18.75" customHeight="1" thickBot="1">
      <c r="A105" s="3631"/>
      <c r="B105" s="2588" t="s">
        <v>1434</v>
      </c>
      <c r="C105" s="2589">
        <f ca="1">I118</f>
        <v>5737</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22" t="str">
        <f>IF(项目基本情况!E8="已注销","——","3.房地产抵押价值")</f>
        <v>3.房地产抵押价值</v>
      </c>
      <c r="F107" s="3590"/>
      <c r="G107" s="1823" t="s">
        <v>1432</v>
      </c>
      <c r="H107" s="2591">
        <f ca="1">IF(E107="——","——",H101-H103)</f>
        <v>1404</v>
      </c>
      <c r="I107" s="129"/>
    </row>
    <row r="108" spans="1:35" ht="18.75" customHeight="1">
      <c r="A108" s="129"/>
      <c r="B108" s="129"/>
      <c r="C108" s="129"/>
      <c r="D108" s="129"/>
      <c r="E108" s="3622"/>
      <c r="F108" s="3590"/>
      <c r="G108" s="1823" t="s">
        <v>1434</v>
      </c>
      <c r="H108" s="2551">
        <f ca="1">IF(H107=H101,H102,ROUND(H107*10000/'数据-汇总表'!E3,0))</f>
        <v>5737</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590"/>
      <c r="G109" s="1823" t="s">
        <v>1432</v>
      </c>
      <c r="H109" s="2594" t="str">
        <f>IF(E109="——","——",H101-H105-H106)</f>
        <v>——</v>
      </c>
      <c r="I109" s="129"/>
    </row>
    <row r="110" spans="1:35" ht="18.75" customHeight="1">
      <c r="A110" s="129"/>
      <c r="B110" s="129"/>
      <c r="C110" s="129"/>
      <c r="D110" s="129"/>
      <c r="E110" s="3622"/>
      <c r="F110" s="3590"/>
      <c r="G110" s="1823" t="s">
        <v>1434</v>
      </c>
      <c r="H110" s="2551"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609"/>
      <c r="G111" s="1823" t="s">
        <v>1432</v>
      </c>
      <c r="H111" s="2591" t="str">
        <f>IF(E111="——","——",N59)</f>
        <v>——</v>
      </c>
      <c r="I111" s="129"/>
    </row>
    <row r="112" spans="1:35" ht="18.75" customHeight="1" thickBot="1">
      <c r="A112" s="129"/>
      <c r="B112" s="129"/>
      <c r="C112" s="129"/>
      <c r="D112" s="129"/>
      <c r="E112" s="3624"/>
      <c r="F112" s="3625"/>
      <c r="G112" s="1826" t="s">
        <v>1434</v>
      </c>
      <c r="H112" s="2595" t="str">
        <f>IF(E111="——","——",N61)</f>
        <v>——</v>
      </c>
      <c r="I112" s="129"/>
    </row>
    <row r="113" spans="1:27" ht="18.75" customHeight="1">
      <c r="A113" s="129"/>
      <c r="B113" s="129"/>
      <c r="C113" s="129"/>
      <c r="D113" s="129"/>
      <c r="E113" s="3632" t="s">
        <v>1440</v>
      </c>
      <c r="F113" s="3632"/>
      <c r="G113" s="3632"/>
      <c r="H113" s="3632"/>
      <c r="I113" s="129"/>
    </row>
    <row r="114" spans="1:27" ht="3.75" customHeight="1">
      <c r="A114" s="1743"/>
      <c r="B114" s="1743"/>
      <c r="C114" s="1743"/>
      <c r="D114" s="1743"/>
      <c r="E114" s="1805"/>
      <c r="F114" s="1805"/>
      <c r="G114" s="1805"/>
      <c r="H114" s="1805"/>
      <c r="I114" s="1743"/>
    </row>
    <row r="115" spans="1:27" ht="18.75" customHeight="1">
      <c r="A115" s="3640" t="s">
        <v>1442</v>
      </c>
      <c r="B115" s="3641"/>
      <c r="C115" s="3641"/>
      <c r="D115" s="3641"/>
      <c r="E115" s="3641"/>
      <c r="F115" s="3641"/>
      <c r="G115" s="3641"/>
      <c r="H115" s="3641"/>
      <c r="I115" s="3642"/>
    </row>
    <row r="116" spans="1:27" ht="27" customHeight="1">
      <c r="A116" s="3597" t="s">
        <v>1443</v>
      </c>
      <c r="B116" s="3601" t="s">
        <v>1444</v>
      </c>
      <c r="C116" s="3601" t="s">
        <v>1445</v>
      </c>
      <c r="D116" s="3607" t="s">
        <v>1446</v>
      </c>
      <c r="E116" s="3608"/>
      <c r="F116" s="3639" t="s">
        <v>1447</v>
      </c>
      <c r="G116" s="3639"/>
      <c r="H116" s="3597" t="s">
        <v>1448</v>
      </c>
      <c r="I116" s="3597"/>
    </row>
    <row r="117" spans="1:27" ht="18.75" customHeight="1">
      <c r="A117" s="3597"/>
      <c r="B117" s="3602"/>
      <c r="C117" s="3602"/>
      <c r="D117" s="2325" t="s">
        <v>1449</v>
      </c>
      <c r="E117" s="2325" t="s">
        <v>1450</v>
      </c>
      <c r="F117" s="2325" t="s">
        <v>1449</v>
      </c>
      <c r="G117" s="2325" t="s">
        <v>1451</v>
      </c>
      <c r="H117" s="2325" t="s">
        <v>1449</v>
      </c>
      <c r="I117" s="2325" t="s">
        <v>1451</v>
      </c>
    </row>
    <row r="118" spans="1:27" ht="24.75" customHeight="1">
      <c r="A118" s="2596" t="str">
        <f>项目基本情况!S2</f>
        <v>北京市 怀柔区开放东路21号3幢1层、4幢1层、5幢1层、6幢1层、7-2幢1层全部房地产</v>
      </c>
      <c r="B118" s="2325">
        <f>M18</f>
        <v>2447.34</v>
      </c>
      <c r="C118" s="2325">
        <f>M19</f>
        <v>5389.47</v>
      </c>
      <c r="D118" s="2325">
        <f ca="1">ROUND(IF(D32="总价",C34,E118*B118/10000),0)</f>
        <v>776</v>
      </c>
      <c r="E118" s="2325">
        <f ca="1">ROUND(IF(C33="自定义",IF(D32="楼面单价",C34,D118*10000/B118),I118-G118),0)</f>
        <v>3171</v>
      </c>
      <c r="F118" s="2325">
        <f ca="1">ROUND(IF(D32="总价",C35,G118*B118/10000),0)</f>
        <v>628</v>
      </c>
      <c r="G118" s="2325">
        <f ca="1">ROUND(IF(D32="楼面单价",C35,F118*10000/B118),0)</f>
        <v>2566</v>
      </c>
      <c r="H118" s="2325">
        <f ca="1">ROUND(IF(D32="总价",C32,I118*B118/10000),0)</f>
        <v>1404</v>
      </c>
      <c r="I118" s="2325">
        <f ca="1">ROUND(IF(D32="楼面单价",C32,H118*10000/B118),0)</f>
        <v>5737</v>
      </c>
    </row>
    <row r="119" spans="1:27" ht="18.75" customHeight="1">
      <c r="A119" s="3597" t="s">
        <v>1452</v>
      </c>
      <c r="B119" s="3597"/>
      <c r="C119" s="3597"/>
      <c r="D119" s="3603" t="str">
        <f ca="1">NUMBERSTRING(INT(D118*10000),2)&amp;"元整"</f>
        <v>柒佰柒拾陆万元整</v>
      </c>
      <c r="E119" s="3604"/>
      <c r="F119" s="3603" t="str">
        <f ca="1">NUMBERSTRING(INT(F118*10000),2)&amp;"元整"</f>
        <v>陆佰贰拾捌万元整</v>
      </c>
      <c r="G119" s="3604"/>
      <c r="H119" s="3603" t="str">
        <f ca="1">NUMBERSTRING(INT(H118*10000),2)&amp;"元整"</f>
        <v>壹仟肆佰零肆万元整</v>
      </c>
      <c r="I119" s="3604"/>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3" t="s">
        <v>1452</v>
      </c>
      <c r="B121" s="3605"/>
      <c r="C121" s="3604"/>
      <c r="D121" s="3603" t="str">
        <f>IF(D120=0,"零元整",NUMBERSTRING(INT(D120*10000),2)&amp;"元整")</f>
        <v>零元整</v>
      </c>
      <c r="E121" s="3605"/>
      <c r="F121" s="3605"/>
      <c r="G121" s="3605"/>
      <c r="H121" s="3605"/>
      <c r="I121" s="3604"/>
      <c r="AA121" s="725"/>
    </row>
    <row r="122" spans="1:27" ht="18.75" customHeight="1">
      <c r="A122" s="3609" t="str">
        <f>IF(项目基本情况!B9="房地产市场价值","",MID(E107,3,LEN(E107)-2))</f>
        <v>房地产抵押价值</v>
      </c>
      <c r="B122" s="3609"/>
      <c r="C122" s="3609"/>
      <c r="D122" s="3598">
        <f ca="1">H107</f>
        <v>1404</v>
      </c>
      <c r="E122" s="3599"/>
      <c r="F122" s="3599"/>
      <c r="G122" s="3599"/>
      <c r="H122" s="3599"/>
      <c r="I122" s="3600"/>
      <c r="AA122" s="725"/>
    </row>
    <row r="123" spans="1:27" ht="18.75" customHeight="1">
      <c r="A123" s="3597" t="s">
        <v>1452</v>
      </c>
      <c r="B123" s="3597"/>
      <c r="C123" s="3597"/>
      <c r="D123" s="3603" t="str">
        <f ca="1">NUMBERSTRING(INT(D122*10000),2)&amp;"元整"</f>
        <v>壹仟肆佰零肆万元整</v>
      </c>
      <c r="E123" s="3605"/>
      <c r="F123" s="3605"/>
      <c r="G123" s="3605"/>
      <c r="H123" s="3605"/>
      <c r="I123" s="3604"/>
      <c r="AA123" s="725"/>
    </row>
    <row r="124" spans="1:27" ht="18.75" customHeight="1">
      <c r="A124" s="3609" t="str">
        <f>IF(项目基本情况!B9="房地产市场价值","",MID(E109,3,LEN(E109)-2))</f>
        <v/>
      </c>
      <c r="B124" s="3609"/>
      <c r="C124" s="3609"/>
      <c r="D124" s="3598" t="str">
        <f>H109</f>
        <v>——</v>
      </c>
      <c r="E124" s="3599"/>
      <c r="F124" s="3599"/>
      <c r="G124" s="3599"/>
      <c r="H124" s="3599"/>
      <c r="I124" s="3600"/>
      <c r="AA124" s="725"/>
    </row>
    <row r="125" spans="1:27" ht="18.75" customHeight="1">
      <c r="A125" s="3597" t="s">
        <v>1452</v>
      </c>
      <c r="B125" s="3597"/>
      <c r="C125" s="3597"/>
      <c r="D125" s="3603" t="e">
        <f>NUMBERSTRING(INT(D124*10000),2)&amp;"元整"</f>
        <v>#VALUE!</v>
      </c>
      <c r="E125" s="3605"/>
      <c r="F125" s="3605"/>
      <c r="G125" s="3605"/>
      <c r="H125" s="3605"/>
      <c r="I125" s="3604"/>
      <c r="AA125" s="725"/>
    </row>
    <row r="126" spans="1:27" ht="18.75" customHeight="1">
      <c r="A126" s="3609" t="str">
        <f>IF(项目基本情况!B9="房地产市场价值","",MID(E111,3,LEN(E111)-2))</f>
        <v/>
      </c>
      <c r="B126" s="3609"/>
      <c r="C126" s="3609"/>
      <c r="D126" s="3598" t="str">
        <f>H111</f>
        <v>——</v>
      </c>
      <c r="E126" s="3599"/>
      <c r="F126" s="3599"/>
      <c r="G126" s="3599"/>
      <c r="H126" s="3599"/>
      <c r="I126" s="3600"/>
      <c r="AA126" s="725"/>
    </row>
    <row r="127" spans="1:27" ht="18.75" customHeight="1">
      <c r="A127" s="3597" t="s">
        <v>1452</v>
      </c>
      <c r="B127" s="3597"/>
      <c r="C127" s="3597"/>
      <c r="D127" s="3603" t="e">
        <f>NUMBERSTRING(INT(D126*10000),2)&amp;"元整"</f>
        <v>#VALUE!</v>
      </c>
      <c r="E127" s="3605"/>
      <c r="F127" s="3605"/>
      <c r="G127" s="3605"/>
      <c r="H127" s="3605"/>
      <c r="I127" s="3604"/>
      <c r="AA127" s="725"/>
    </row>
    <row r="128" spans="1:27" ht="21.75" customHeight="1">
      <c r="A128" s="3606" t="s">
        <v>1453</v>
      </c>
      <c r="B128" s="3606"/>
      <c r="C128" s="3606"/>
      <c r="D128" s="3606"/>
      <c r="E128" s="3606"/>
      <c r="F128" s="3606"/>
      <c r="G128" s="3606"/>
      <c r="H128" s="3606"/>
      <c r="I128" s="3606"/>
      <c r="AA128" s="725"/>
    </row>
    <row r="129" spans="1:35" ht="21.75" customHeight="1">
      <c r="A129" s="1827" t="s">
        <v>1454</v>
      </c>
      <c r="B129" s="1828"/>
      <c r="C129" s="1829" t="s">
        <v>1455</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1456</v>
      </c>
      <c r="G135" s="1844"/>
      <c r="H135" s="1844"/>
      <c r="I135" s="1845" t="s">
        <v>1457</v>
      </c>
    </row>
    <row r="136" spans="1:35" ht="21.75" customHeight="1">
      <c r="A136" s="725"/>
      <c r="B136" s="1846"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1459</v>
      </c>
    </row>
    <row r="139" spans="1:35" ht="21.75" customHeight="1">
      <c r="A139" s="725"/>
      <c r="B139" s="1846" t="s">
        <v>1460</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1459</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88" t="str">
        <f>项目基本情况!B1</f>
        <v>北京市 怀柔区开放东路21号3幢1层、4幢1层、5幢1层、6幢1层、7-2幢1层全部房地产抵押价值预评估</v>
      </c>
      <c r="C37" s="3488"/>
      <c r="D37" s="3488"/>
      <c r="E37" s="3488"/>
      <c r="F37" s="3488"/>
      <c r="G37" s="3488"/>
      <c r="H37" s="3488"/>
      <c r="I37" s="3488"/>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t="s">
        <v>3</v>
      </c>
      <c r="C1" s="198"/>
      <c r="D1" s="198"/>
      <c r="E1" s="198"/>
      <c r="F1" s="198"/>
      <c r="G1" s="1122">
        <f>MATCH(B1,'数据-取费表'!A6:A16,0)+5</f>
        <v>6</v>
      </c>
    </row>
    <row r="2" spans="1:9" s="200" customFormat="1" ht="18" customHeight="1">
      <c r="A2" s="201" t="s">
        <v>1462</v>
      </c>
      <c r="B2" s="202">
        <f ca="1">IF(D2="——",C52,C52-E2)</f>
        <v>1455</v>
      </c>
      <c r="C2" s="199" t="s">
        <v>1463</v>
      </c>
      <c r="D2" s="1849" t="s">
        <v>43</v>
      </c>
      <c r="E2" s="1165">
        <f ca="1">SUMIF(INDIRECT("'"&amp;G2&amp;"'"&amp;"!A:A"),"承租人权益价值",INDIRECT("'"&amp;G2&amp;"'"&amp;"!c:c"))</f>
        <v>0</v>
      </c>
      <c r="F2" s="1850" t="s">
        <v>1463</v>
      </c>
      <c r="G2" s="1851" t="s">
        <v>3422</v>
      </c>
    </row>
    <row r="3" spans="1:9" s="200" customFormat="1" ht="18" customHeight="1" thickBot="1">
      <c r="A3" s="203" t="s">
        <v>1464</v>
      </c>
      <c r="B3" s="204">
        <f ca="1">ROUND(B2*10000/(IF(B1="",'数据-汇总表'!E3,INDIRECT("'数据-取费表'!k"&amp;$G$1))),0)</f>
        <v>5945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650</v>
      </c>
      <c r="D5" s="211" t="s">
        <v>1469</v>
      </c>
      <c r="E5" s="212" t="s">
        <v>1470</v>
      </c>
      <c r="F5" s="212" t="s">
        <v>1471</v>
      </c>
      <c r="G5" s="213"/>
    </row>
    <row r="6" spans="1:9" s="214" customFormat="1" ht="13.5" customHeight="1">
      <c r="A6" s="774" t="s">
        <v>1472</v>
      </c>
      <c r="B6" s="215" t="s">
        <v>1473</v>
      </c>
      <c r="C6" s="216">
        <f>基准地价修正!E33</f>
        <v>593</v>
      </c>
      <c r="D6" s="217"/>
      <c r="E6" s="218"/>
      <c r="F6" s="218"/>
      <c r="G6" s="219"/>
    </row>
    <row r="7" spans="1:9" s="214" customFormat="1" ht="13.5" customHeight="1">
      <c r="A7" s="774" t="s">
        <v>1474</v>
      </c>
      <c r="B7" s="215" t="s">
        <v>1475</v>
      </c>
      <c r="C7" s="220">
        <f>ROUND(C6*F7,0)</f>
        <v>18</v>
      </c>
      <c r="D7" s="220"/>
      <c r="E7" s="218"/>
      <c r="F7" s="221">
        <f>IF(项目基本情况!B8="出让",0,'数据-取费表'!B48+'数据-取费表'!B49)</f>
        <v>3.0499999999999999E-2</v>
      </c>
      <c r="G7" s="219"/>
    </row>
    <row r="8" spans="1:9" s="223" customFormat="1">
      <c r="A8" s="774" t="s">
        <v>1476</v>
      </c>
      <c r="B8" s="215" t="s">
        <v>1477</v>
      </c>
      <c r="C8" s="220">
        <f ca="1">IF(G8="已包含在土地购买价格中","0",IF(B1="",'数据-取费表'!B29,IF(G9="全部缴纳",C9+C10,H9)))</f>
        <v>39</v>
      </c>
      <c r="D8" s="222"/>
      <c r="E8" s="220"/>
      <c r="F8" s="221"/>
      <c r="G8" s="1852" t="s">
        <v>3420</v>
      </c>
    </row>
    <row r="9" spans="1:9" s="214" customFormat="1" ht="13.5" customHeight="1">
      <c r="A9" s="775" t="s">
        <v>355</v>
      </c>
      <c r="B9" s="224" t="s">
        <v>1478</v>
      </c>
      <c r="C9" s="225">
        <f ca="1">ROUND(D9*E9/10000,0)</f>
        <v>0</v>
      </c>
      <c r="D9" s="841">
        <f ca="1">IF(B1="",'数据-汇总表'!E5,IF(INDIRECT("'数据-取费表'!c"&amp;$G$1)="住宅",INDIRECT("'数据-取费表'!k"&amp;$G$1),0))</f>
        <v>0</v>
      </c>
      <c r="E9" s="225">
        <f>'数据-取费表'!B27</f>
        <v>120</v>
      </c>
      <c r="F9" s="221"/>
      <c r="G9" s="1853" t="s">
        <v>3427</v>
      </c>
      <c r="H9" s="1133"/>
      <c r="I9" s="1854" t="s">
        <v>1479</v>
      </c>
    </row>
    <row r="10" spans="1:9" s="214" customFormat="1" ht="13.5" customHeight="1">
      <c r="A10" s="775" t="s">
        <v>356</v>
      </c>
      <c r="B10" s="224" t="s">
        <v>1480</v>
      </c>
      <c r="C10" s="225">
        <f ca="1">ROUND(D10*E10/10000,0)</f>
        <v>39</v>
      </c>
      <c r="D10" s="841">
        <f ca="1">IF(B1="",'数据-汇总表'!E6,IF(INDIRECT("'数据-取费表'!c"&amp;$G$1)="住宅",INDIRECT("'数据-取费表'!s"&amp;$G$1),INDIRECT("'数据-取费表'!k"&amp;$G$1)+INDIRECT("'数据-取费表'!s"&amp;$G$1)))</f>
        <v>2447.34</v>
      </c>
      <c r="E10" s="225">
        <f>'数据-取费表'!B28</f>
        <v>160</v>
      </c>
      <c r="F10" s="221"/>
      <c r="G10" s="226"/>
    </row>
    <row r="11" spans="1:9" s="214" customFormat="1" ht="13.5" hidden="1" customHeight="1">
      <c r="A11" s="227" t="s">
        <v>4</v>
      </c>
      <c r="B11" s="215" t="s">
        <v>1481</v>
      </c>
      <c r="C11" s="211"/>
      <c r="D11" s="843"/>
      <c r="E11" s="218"/>
      <c r="F11" s="218"/>
      <c r="G11" s="219"/>
    </row>
    <row r="12" spans="1:9" s="214" customFormat="1" ht="13.5" hidden="1" customHeight="1">
      <c r="A12" s="227" t="s">
        <v>5</v>
      </c>
      <c r="B12" s="215" t="s">
        <v>1482</v>
      </c>
      <c r="C12" s="211">
        <v>0</v>
      </c>
      <c r="D12" s="843"/>
      <c r="E12" s="228"/>
      <c r="F12" s="221">
        <v>3.0499999999999999E-2</v>
      </c>
      <c r="G12" s="219"/>
    </row>
    <row r="13" spans="1:9" s="214" customFormat="1" ht="13.5" hidden="1" customHeight="1">
      <c r="A13" s="227" t="s">
        <v>6</v>
      </c>
      <c r="B13" s="215" t="s">
        <v>1483</v>
      </c>
      <c r="C13" s="211"/>
      <c r="D13" s="843"/>
      <c r="E13" s="218"/>
      <c r="F13" s="218"/>
      <c r="G13" s="219"/>
    </row>
    <row r="14" spans="1:9" s="214" customFormat="1" ht="13.5" hidden="1" customHeight="1">
      <c r="A14" s="227" t="s">
        <v>7</v>
      </c>
      <c r="B14" s="215" t="s">
        <v>1484</v>
      </c>
      <c r="C14" s="211"/>
      <c r="D14" s="843"/>
      <c r="E14" s="218"/>
      <c r="F14" s="218"/>
      <c r="G14" s="219" t="s">
        <v>1485</v>
      </c>
    </row>
    <row r="15" spans="1:9" s="214" customFormat="1" ht="13.5" hidden="1" customHeight="1">
      <c r="A15" s="227" t="s">
        <v>8</v>
      </c>
      <c r="B15" s="215" t="s">
        <v>1486</v>
      </c>
      <c r="C15" s="220"/>
      <c r="D15" s="843"/>
      <c r="E15" s="218"/>
      <c r="F15" s="218"/>
      <c r="G15" s="219" t="s">
        <v>1487</v>
      </c>
    </row>
    <row r="16" spans="1:9" s="214" customFormat="1" ht="13.5" hidden="1" customHeight="1">
      <c r="A16" s="227" t="s">
        <v>9</v>
      </c>
      <c r="B16" s="215" t="s">
        <v>1484</v>
      </c>
      <c r="C16" s="220"/>
      <c r="D16" s="843"/>
      <c r="E16" s="218"/>
      <c r="F16" s="218"/>
      <c r="G16" s="219"/>
    </row>
    <row r="17" spans="1:7" s="214" customFormat="1" ht="13.5" hidden="1" customHeight="1">
      <c r="A17" s="227" t="s">
        <v>10</v>
      </c>
      <c r="B17" s="215" t="s">
        <v>1488</v>
      </c>
      <c r="C17" s="229"/>
      <c r="D17" s="844"/>
      <c r="E17" s="229"/>
      <c r="F17" s="229"/>
      <c r="G17" s="219" t="s">
        <v>1487</v>
      </c>
    </row>
    <row r="18" spans="1:7" s="214" customFormat="1" ht="13.5" hidden="1" customHeight="1">
      <c r="A18" s="227" t="s">
        <v>11</v>
      </c>
      <c r="B18" s="215" t="s">
        <v>1489</v>
      </c>
      <c r="C18" s="220">
        <v>0</v>
      </c>
      <c r="D18" s="843"/>
      <c r="E18" s="218"/>
      <c r="F18" s="221">
        <v>3.0499999999999999E-2</v>
      </c>
      <c r="G18" s="219" t="s">
        <v>1490</v>
      </c>
    </row>
    <row r="19" spans="1:7" s="223" customFormat="1" ht="13.5" customHeight="1">
      <c r="A19" s="255" t="s">
        <v>1491</v>
      </c>
      <c r="B19" s="210" t="s">
        <v>1492</v>
      </c>
      <c r="C19" s="211" t="str">
        <f>IF(G19="已包含在土地取得成本中","0",ROUND(D19*E19/10000,0))</f>
        <v>0</v>
      </c>
      <c r="D19" s="845">
        <f ca="1">D9+D10</f>
        <v>2447.34</v>
      </c>
      <c r="E19" s="211">
        <f>'数据-取费表'!B31</f>
        <v>200</v>
      </c>
      <c r="F19" s="231"/>
      <c r="G19" s="1852" t="s">
        <v>3421</v>
      </c>
    </row>
    <row r="20" spans="1:7" s="214" customFormat="1" ht="13.5" customHeight="1">
      <c r="A20" s="255" t="s">
        <v>1493</v>
      </c>
      <c r="B20" s="210" t="s">
        <v>1494</v>
      </c>
      <c r="C20" s="232">
        <f ca="1">ROUND((C5+C19)*F20,0)</f>
        <v>16</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100">
        <f ca="1">ROUND(SUM(C23:C25),0)</f>
        <v>22</v>
      </c>
      <c r="D22" s="235">
        <f ca="1">C26</f>
        <v>4.0000000000000002E-4</v>
      </c>
      <c r="E22" s="236" t="s">
        <v>1498</v>
      </c>
      <c r="F22" s="237">
        <f ca="1">'数据-取费表'!B40</f>
        <v>3.4500000000000003E-2</v>
      </c>
      <c r="G22" s="234" t="str">
        <f>IF('数据-取费表'!B22&lt;=1,"单利计息","复利计息")</f>
        <v>单利计息</v>
      </c>
    </row>
    <row r="23" spans="1:7" s="214" customFormat="1" ht="13.5" customHeight="1">
      <c r="A23" s="776" t="s">
        <v>1502</v>
      </c>
      <c r="B23" s="215" t="s">
        <v>1503</v>
      </c>
      <c r="C23" s="1101">
        <f ca="1">ROUND(IF('数据-取费表'!B22&lt;=1,C5*F22*'数据-取费表'!B23,C5*(POWER((1+F22),'数据-取费表'!B23)-1)),0)</f>
        <v>22</v>
      </c>
      <c r="D23" s="238"/>
      <c r="E23" s="238"/>
      <c r="F23" s="239"/>
      <c r="G23" s="240" t="s">
        <v>1504</v>
      </c>
    </row>
    <row r="24" spans="1:7" s="214" customFormat="1" ht="13.5" customHeight="1">
      <c r="A24" s="776"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6" t="s">
        <v>1508</v>
      </c>
      <c r="B25" s="215" t="s">
        <v>1509</v>
      </c>
      <c r="C25" s="1101">
        <f ca="1">ROUND(IF('数据-取费表'!B22&lt;=1,C20*F22*'数据-取费表'!B23/2,C20*(POWER((1+F22),'数据-取费表'!B23/2)-1)),0)</f>
        <v>0</v>
      </c>
      <c r="D25" s="238"/>
      <c r="E25" s="241"/>
      <c r="F25" s="239"/>
      <c r="G25" s="242" t="s">
        <v>1510</v>
      </c>
    </row>
    <row r="26" spans="1:7" s="214" customFormat="1">
      <c r="A26" s="776"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53</v>
      </c>
      <c r="D27" s="235">
        <f ca="1">C29</f>
        <v>2E-3</v>
      </c>
      <c r="E27" s="236" t="s">
        <v>1514</v>
      </c>
      <c r="F27" s="246">
        <f ca="1">IF(B1="",'数据-取费表'!Q16,INDIRECT("'数据-取费表'!q"&amp;$G$1))</f>
        <v>0.08</v>
      </c>
      <c r="G27" s="247" t="s">
        <v>1515</v>
      </c>
    </row>
    <row r="28" spans="1:7" s="214" customFormat="1" ht="13.5" customHeight="1">
      <c r="A28" s="776" t="s">
        <v>346</v>
      </c>
      <c r="B28" s="248" t="s">
        <v>1516</v>
      </c>
      <c r="C28" s="249">
        <f ca="1">ROUND((C5+C19+C20)*F27*'数据-取费表'!B21/'数据-取费表'!B20,0)</f>
        <v>53</v>
      </c>
      <c r="D28" s="235"/>
      <c r="E28" s="236"/>
      <c r="F28" s="246"/>
      <c r="G28" s="247"/>
    </row>
    <row r="29" spans="1:7" s="214" customFormat="1" ht="13.5" customHeight="1">
      <c r="A29" s="776"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805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761</v>
      </c>
      <c r="D33" s="232"/>
      <c r="E33" s="212"/>
      <c r="F33" s="241"/>
      <c r="G33" s="234"/>
    </row>
    <row r="34" spans="1:7" s="258" customFormat="1" ht="13.5" customHeight="1">
      <c r="A34" s="776" t="s">
        <v>346</v>
      </c>
      <c r="B34" s="215" t="s">
        <v>1525</v>
      </c>
      <c r="C34" s="220">
        <f ca="1">IF(B1="",IF(F34=100%,'数据-取费表'!M16,'数据-取费表'!O16),IF(F34=100%,INDIRECT("'数据-取费表'!m"&amp;$G$1)+INDIRECT("'数据-取费表'!t"&amp;$G$1),INDIRECT("'数据-取费表'!o"&amp;$G$1)+INDIRECT("'数据-取费表'!aq"&amp;$G$1)))</f>
        <v>666</v>
      </c>
      <c r="D34" s="217"/>
      <c r="E34" s="220"/>
      <c r="F34" s="257">
        <f ca="1">IF('数据-取费表'!B24=0,1,IF(B1="",'数据-取费表'!N16,INDIRECT("'数据-取费表'!n"&amp;$G$1)))</f>
        <v>1</v>
      </c>
      <c r="G34" s="219" t="s">
        <v>1526</v>
      </c>
    </row>
    <row r="35" spans="1:7" ht="13.5" customHeight="1">
      <c r="A35" s="776" t="s">
        <v>351</v>
      </c>
      <c r="B35" s="215" t="s">
        <v>1527</v>
      </c>
      <c r="C35" s="220">
        <f ca="1">ROUND(C34*F35,0)</f>
        <v>33</v>
      </c>
      <c r="D35" s="220"/>
      <c r="E35" s="220"/>
      <c r="F35" s="259">
        <f>'数据-取费表'!B33</f>
        <v>0.05</v>
      </c>
      <c r="G35" s="219" t="s">
        <v>1528</v>
      </c>
    </row>
    <row r="36" spans="1:7" ht="24">
      <c r="A36" s="776"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6" t="s">
        <v>353</v>
      </c>
      <c r="B37" s="215" t="s">
        <v>1531</v>
      </c>
      <c r="C37" s="249">
        <f ca="1">ROUND(E37*D37*F34/10000,0)</f>
        <v>49</v>
      </c>
      <c r="D37" s="217">
        <f ca="1">D19</f>
        <v>2447.34</v>
      </c>
      <c r="E37" s="249">
        <f>'数据-取费表'!B35</f>
        <v>200</v>
      </c>
      <c r="F37" s="259"/>
      <c r="G37" s="261" t="s">
        <v>1532</v>
      </c>
    </row>
    <row r="38" spans="1:7" ht="13.5" customHeight="1">
      <c r="A38" s="776" t="s">
        <v>354</v>
      </c>
      <c r="B38" s="215" t="s">
        <v>1533</v>
      </c>
      <c r="C38" s="220">
        <f ca="1">ROUND(C34*F38,0)</f>
        <v>13</v>
      </c>
      <c r="D38" s="220"/>
      <c r="E38" s="220"/>
      <c r="F38" s="259">
        <f>'数据-取费表'!B36</f>
        <v>0.02</v>
      </c>
      <c r="G38" s="219" t="s">
        <v>1528</v>
      </c>
    </row>
    <row r="39" spans="1:7" s="214" customFormat="1" ht="13.5" customHeight="1">
      <c r="A39" s="255" t="s">
        <v>1534</v>
      </c>
      <c r="B39" s="210" t="s">
        <v>1535</v>
      </c>
      <c r="C39" s="232">
        <f ca="1">ROUND(C33*F20,0)</f>
        <v>19</v>
      </c>
      <c r="D39" s="232"/>
      <c r="E39" s="232"/>
      <c r="F39" s="233">
        <f>F20</f>
        <v>2.5000000000000001E-2</v>
      </c>
      <c r="G39" s="234" t="s">
        <v>1536</v>
      </c>
    </row>
    <row r="40" spans="1:7" s="214" customFormat="1" ht="13.5" customHeight="1">
      <c r="A40" s="255" t="s">
        <v>1537</v>
      </c>
      <c r="B40" s="210" t="s">
        <v>1538</v>
      </c>
      <c r="C40" s="1323">
        <f>F21</f>
        <v>2.5000000000000001E-2</v>
      </c>
      <c r="D40" s="236" t="s">
        <v>1539</v>
      </c>
      <c r="E40" s="232"/>
      <c r="F40" s="233">
        <f>F21</f>
        <v>2.5000000000000001E-2</v>
      </c>
      <c r="G40" s="234" t="s">
        <v>1540</v>
      </c>
    </row>
    <row r="41" spans="1:7" s="214" customFormat="1" ht="13.5" customHeight="1">
      <c r="A41" s="255" t="s">
        <v>1541</v>
      </c>
      <c r="B41" s="210" t="s">
        <v>1542</v>
      </c>
      <c r="C41" s="232">
        <f ca="1">ROUND(SUM(C42:C43),0)</f>
        <v>13</v>
      </c>
      <c r="D41" s="235">
        <f ca="1">C44</f>
        <v>4.0000000000000002E-4</v>
      </c>
      <c r="E41" s="236" t="s">
        <v>1539</v>
      </c>
      <c r="F41" s="237">
        <f ca="1">F22</f>
        <v>3.4500000000000003E-2</v>
      </c>
      <c r="G41" s="234" t="str">
        <f>IF('数据-取费表'!B22&lt;=1,"单利计息","复利计息")</f>
        <v>单利计息</v>
      </c>
    </row>
    <row r="42" spans="1:7" ht="13.5" customHeight="1">
      <c r="A42" s="776" t="s">
        <v>346</v>
      </c>
      <c r="B42" s="215" t="s">
        <v>1543</v>
      </c>
      <c r="C42" s="238">
        <f ca="1">ROUND(IF('数据-取费表'!B22&lt;=1,C33*F22*'数据-取费表'!B21/2,C33*(POWER((1+F22),'数据-取费表'!B21/2)-1)),0)</f>
        <v>13</v>
      </c>
      <c r="D42" s="238"/>
      <c r="E42" s="238"/>
      <c r="F42" s="239"/>
      <c r="G42" s="3676" t="s">
        <v>1544</v>
      </c>
    </row>
    <row r="43" spans="1:7" ht="13.5" customHeight="1">
      <c r="A43" s="776" t="s">
        <v>347</v>
      </c>
      <c r="B43" s="215" t="s">
        <v>1545</v>
      </c>
      <c r="C43" s="238">
        <f ca="1">ROUND(IF('数据-取费表'!B22&lt;=1,C39*F22*'数据-取费表'!B21/2,C39*(POWER((1+F22),'数据-取费表'!B21/2)-1)),0)</f>
        <v>0</v>
      </c>
      <c r="D43" s="238"/>
      <c r="E43" s="238"/>
      <c r="F43" s="239"/>
      <c r="G43" s="3677"/>
    </row>
    <row r="44" spans="1:7" ht="13.5" customHeight="1">
      <c r="A44" s="776" t="s">
        <v>348</v>
      </c>
      <c r="B44" s="215" t="s">
        <v>1546</v>
      </c>
      <c r="C44" s="238">
        <f ca="1">ROUND(IF('数据-取费表'!B22&lt;=1,C40*F22*'数据-取费表'!B21/2,C40*(POWER((1+F22),'数据-取费表'!B21/2)-1)),4)</f>
        <v>4.0000000000000002E-4</v>
      </c>
      <c r="D44" s="238"/>
      <c r="E44" s="238"/>
      <c r="F44" s="239"/>
      <c r="G44" s="3678"/>
    </row>
    <row r="45" spans="1:7" s="214" customFormat="1" ht="13.5" customHeight="1">
      <c r="A45" s="255" t="s">
        <v>1547</v>
      </c>
      <c r="B45" s="244" t="s">
        <v>1513</v>
      </c>
      <c r="C45" s="245">
        <f ca="1">C46</f>
        <v>62</v>
      </c>
      <c r="D45" s="235">
        <f ca="1">C47</f>
        <v>2E-3</v>
      </c>
      <c r="E45" s="236" t="s">
        <v>1539</v>
      </c>
      <c r="F45" s="246">
        <f ca="1">F27</f>
        <v>0.08</v>
      </c>
      <c r="G45" s="247" t="s">
        <v>1548</v>
      </c>
    </row>
    <row r="46" spans="1:7" s="214" customFormat="1" ht="13.5" customHeight="1">
      <c r="A46" s="776" t="s">
        <v>346</v>
      </c>
      <c r="B46" s="248" t="s">
        <v>1549</v>
      </c>
      <c r="C46" s="249">
        <f ca="1">ROUND((C33+C39)*F27,0)</f>
        <v>62</v>
      </c>
      <c r="D46" s="263"/>
      <c r="E46" s="236"/>
      <c r="F46" s="246"/>
      <c r="G46" s="247"/>
    </row>
    <row r="47" spans="1:7" s="214" customFormat="1" ht="13.5" customHeight="1">
      <c r="A47" s="776"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929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650</v>
      </c>
      <c r="D51" s="232"/>
      <c r="E51" s="232"/>
      <c r="F51" s="264"/>
      <c r="G51" s="234" t="s">
        <v>1560</v>
      </c>
    </row>
    <row r="52" spans="1:7" s="208" customFormat="1" ht="16.5" thickBot="1">
      <c r="A52" s="265" t="s">
        <v>1561</v>
      </c>
      <c r="B52" s="266"/>
      <c r="C52" s="267">
        <f ca="1">C31+C51</f>
        <v>1455</v>
      </c>
      <c r="D52" s="266"/>
      <c r="E52" s="266"/>
      <c r="F52" s="266"/>
      <c r="G52" s="268"/>
    </row>
    <row r="55" spans="1:7" ht="15">
      <c r="B55" s="270" t="s">
        <v>1562</v>
      </c>
      <c r="C55" s="271"/>
    </row>
    <row r="56" spans="1:7">
      <c r="B56" s="273" t="s">
        <v>802</v>
      </c>
      <c r="C56" s="275">
        <f ca="1">1-C57</f>
        <v>0.55299999999999994</v>
      </c>
    </row>
    <row r="57" spans="1:7">
      <c r="B57" s="273" t="s">
        <v>803</v>
      </c>
      <c r="C57" s="274">
        <f ca="1">ROUND(C51/C52,3)</f>
        <v>0.44700000000000001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M47" sqref="M4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t="s">
        <v>3</v>
      </c>
      <c r="C1" s="1855" t="s">
        <v>1563</v>
      </c>
      <c r="D1" s="198"/>
      <c r="E1" s="198"/>
      <c r="F1" s="198"/>
      <c r="G1" s="1122">
        <f>MATCH(B1,'数据-取费表'!A6:A16,0)+5</f>
        <v>6</v>
      </c>
      <c r="H1" s="1057" t="str">
        <f>IF(ISERROR(FIND("住宅",B1)),"非住宅","住宅")</f>
        <v>非住宅</v>
      </c>
    </row>
    <row r="2" spans="1:8" s="200" customFormat="1" ht="18" customHeight="1">
      <c r="A2" s="201" t="s">
        <v>1462</v>
      </c>
      <c r="B2" s="3420">
        <f ca="1">ROUND(IF(D2="——",C52/10000,C52/10000-E2),4)</f>
        <v>1458.8995</v>
      </c>
      <c r="C2" s="199" t="s">
        <v>1463</v>
      </c>
      <c r="D2" s="1849" t="s">
        <v>43</v>
      </c>
      <c r="E2" s="1165">
        <f ca="1">SUMIF(INDIRECT("'"&amp;G2&amp;"'"&amp;"!A:A"),"承租人权益价值",INDIRECT("'"&amp;G2&amp;"'"&amp;"!c:c"))</f>
        <v>0</v>
      </c>
      <c r="F2" s="1850" t="s">
        <v>1463</v>
      </c>
      <c r="G2" s="1851" t="s">
        <v>3422</v>
      </c>
    </row>
    <row r="3" spans="1:8" s="200" customFormat="1" ht="18" customHeight="1" thickBot="1">
      <c r="A3" s="203" t="s">
        <v>1464</v>
      </c>
      <c r="B3" s="204">
        <f ca="1">ROUND(B2*10000/(IF(B1="",'数据-汇总表'!E3,INDIRECT("'数据-取费表'!k"&amp;$G$1))),0)</f>
        <v>5961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6506361.4700000007</v>
      </c>
      <c r="D5" s="211" t="s">
        <v>1469</v>
      </c>
      <c r="E5" s="212" t="s">
        <v>1470</v>
      </c>
      <c r="F5" s="212" t="s">
        <v>1471</v>
      </c>
      <c r="G5" s="213"/>
    </row>
    <row r="6" spans="1:8" s="214" customFormat="1" ht="13.5" customHeight="1">
      <c r="A6" s="774" t="s">
        <v>1472</v>
      </c>
      <c r="B6" s="215" t="s">
        <v>1473</v>
      </c>
      <c r="C6" s="216">
        <f>基准地价修正!C33*基准地价修正!D33</f>
        <v>5933806.4700000007</v>
      </c>
      <c r="D6" s="217"/>
      <c r="E6" s="218"/>
      <c r="F6" s="218"/>
      <c r="G6" s="219"/>
    </row>
    <row r="7" spans="1:8" s="214" customFormat="1" ht="13.5" customHeight="1">
      <c r="A7" s="774" t="s">
        <v>1474</v>
      </c>
      <c r="B7" s="215" t="s">
        <v>1475</v>
      </c>
      <c r="C7" s="220">
        <f>ROUND(C6*F7,0)</f>
        <v>180981</v>
      </c>
      <c r="D7" s="220"/>
      <c r="E7" s="218"/>
      <c r="F7" s="221">
        <f>IF(项目基本情况!B8="出让",0,'数据-取费表'!B48+'数据-取费表'!B49)</f>
        <v>3.0499999999999999E-2</v>
      </c>
      <c r="G7" s="219"/>
    </row>
    <row r="8" spans="1:8" s="223" customFormat="1">
      <c r="A8" s="774" t="s">
        <v>1476</v>
      </c>
      <c r="B8" s="215" t="s">
        <v>1477</v>
      </c>
      <c r="C8" s="220">
        <f ca="1">IF(G8="已包含在土地购买价格中",0,C9+C10)</f>
        <v>391574</v>
      </c>
      <c r="D8" s="222"/>
      <c r="E8" s="220"/>
      <c r="F8" s="221"/>
      <c r="G8" s="1852" t="s">
        <v>3420</v>
      </c>
    </row>
    <row r="9" spans="1:8" s="214" customFormat="1" ht="13.5" customHeight="1">
      <c r="A9" s="775" t="s">
        <v>355</v>
      </c>
      <c r="B9" s="224" t="s">
        <v>1478</v>
      </c>
      <c r="C9" s="225">
        <f ca="1">ROUND(D9*E9,0)</f>
        <v>0</v>
      </c>
      <c r="D9" s="841">
        <f ca="1">IF(B1="",'数据-汇总表'!E5,IF(INDIRECT("'数据-取费表'!c"&amp;$G$1)="住宅",INDIRECT("'数据-取费表'!k"&amp;$G$1),0))</f>
        <v>0</v>
      </c>
      <c r="E9" s="225">
        <f>'数据-取费表'!B27</f>
        <v>120</v>
      </c>
      <c r="F9" s="221"/>
      <c r="G9" s="226"/>
    </row>
    <row r="10" spans="1:8" s="214" customFormat="1" ht="13.5" customHeight="1">
      <c r="A10" s="775" t="s">
        <v>356</v>
      </c>
      <c r="B10" s="224" t="s">
        <v>1480</v>
      </c>
      <c r="C10" s="225">
        <f ca="1">ROUND(D10*E10,0)</f>
        <v>391574</v>
      </c>
      <c r="D10" s="841">
        <f ca="1">IF(B1="",'数据-汇总表'!E6,IF(INDIRECT("'数据-取费表'!c"&amp;$G$1)="住宅",INDIRECT("'数据-取费表'!s"&amp;$G$1),INDIRECT("'数据-取费表'!k"&amp;$G$1)+INDIRECT("'数据-取费表'!s"&amp;$G$1)))</f>
        <v>2447.34</v>
      </c>
      <c r="E10" s="225">
        <f>'数据-取费表'!B28</f>
        <v>160</v>
      </c>
      <c r="F10" s="221"/>
      <c r="G10" s="226"/>
    </row>
    <row r="11" spans="1:8" s="214" customFormat="1" ht="13.5" hidden="1" customHeight="1">
      <c r="A11" s="227" t="s">
        <v>4</v>
      </c>
      <c r="B11" s="215" t="s">
        <v>1481</v>
      </c>
      <c r="C11" s="211"/>
      <c r="D11" s="843"/>
      <c r="E11" s="218"/>
      <c r="F11" s="218"/>
      <c r="G11" s="219"/>
    </row>
    <row r="12" spans="1:8" s="214" customFormat="1" ht="13.5" hidden="1" customHeight="1">
      <c r="A12" s="227" t="s">
        <v>5</v>
      </c>
      <c r="B12" s="215" t="s">
        <v>1564</v>
      </c>
      <c r="C12" s="211">
        <v>0</v>
      </c>
      <c r="D12" s="843"/>
      <c r="E12" s="228"/>
      <c r="F12" s="221">
        <v>3.0499999999999999E-2</v>
      </c>
      <c r="G12" s="219"/>
    </row>
    <row r="13" spans="1:8" s="214" customFormat="1" ht="13.5" hidden="1" customHeight="1">
      <c r="A13" s="227" t="s">
        <v>6</v>
      </c>
      <c r="B13" s="215" t="s">
        <v>1565</v>
      </c>
      <c r="C13" s="211"/>
      <c r="D13" s="843"/>
      <c r="E13" s="218"/>
      <c r="F13" s="218"/>
      <c r="G13" s="219"/>
    </row>
    <row r="14" spans="1:8" s="214" customFormat="1" ht="13.5" hidden="1" customHeight="1">
      <c r="A14" s="227" t="s">
        <v>7</v>
      </c>
      <c r="B14" s="215" t="s">
        <v>1477</v>
      </c>
      <c r="C14" s="211"/>
      <c r="D14" s="843"/>
      <c r="E14" s="218"/>
      <c r="F14" s="218"/>
      <c r="G14" s="219" t="s">
        <v>1566</v>
      </c>
    </row>
    <row r="15" spans="1:8" s="214" customFormat="1" ht="13.5" hidden="1" customHeight="1">
      <c r="A15" s="227" t="s">
        <v>8</v>
      </c>
      <c r="B15" s="215" t="s">
        <v>1567</v>
      </c>
      <c r="C15" s="220"/>
      <c r="D15" s="843"/>
      <c r="E15" s="218"/>
      <c r="F15" s="218"/>
      <c r="G15" s="219" t="s">
        <v>1568</v>
      </c>
    </row>
    <row r="16" spans="1:8" s="214" customFormat="1" ht="13.5" hidden="1" customHeight="1">
      <c r="A16" s="227" t="s">
        <v>9</v>
      </c>
      <c r="B16" s="215" t="s">
        <v>1477</v>
      </c>
      <c r="C16" s="220"/>
      <c r="D16" s="843"/>
      <c r="E16" s="218"/>
      <c r="F16" s="218"/>
      <c r="G16" s="219"/>
    </row>
    <row r="17" spans="1:7" s="214" customFormat="1" ht="13.5" hidden="1" customHeight="1">
      <c r="A17" s="227" t="s">
        <v>10</v>
      </c>
      <c r="B17" s="215" t="s">
        <v>1569</v>
      </c>
      <c r="C17" s="229"/>
      <c r="D17" s="844"/>
      <c r="E17" s="229"/>
      <c r="F17" s="229"/>
      <c r="G17" s="219" t="s">
        <v>1568</v>
      </c>
    </row>
    <row r="18" spans="1:7" s="214" customFormat="1" ht="13.5" hidden="1" customHeight="1">
      <c r="A18" s="227" t="s">
        <v>11</v>
      </c>
      <c r="B18" s="215" t="s">
        <v>1570</v>
      </c>
      <c r="C18" s="220">
        <v>0</v>
      </c>
      <c r="D18" s="843"/>
      <c r="E18" s="218"/>
      <c r="F18" s="221">
        <v>3.0499999999999999E-2</v>
      </c>
      <c r="G18" s="219" t="s">
        <v>1571</v>
      </c>
    </row>
    <row r="19" spans="1:7" s="223" customFormat="1" ht="13.5" customHeight="1">
      <c r="A19" s="255" t="s">
        <v>1572</v>
      </c>
      <c r="B19" s="210" t="s">
        <v>1573</v>
      </c>
      <c r="C19" s="211" t="str">
        <f>IF(G19="已包含在土地取得成本中","0",ROUND(D19*E19,0))</f>
        <v>0</v>
      </c>
      <c r="D19" s="845">
        <f ca="1">D9+D10</f>
        <v>2447.34</v>
      </c>
      <c r="E19" s="211">
        <f>'数据-取费表'!B31</f>
        <v>200</v>
      </c>
      <c r="F19" s="231"/>
      <c r="G19" s="1852" t="s">
        <v>3421</v>
      </c>
    </row>
    <row r="20" spans="1:7" s="214" customFormat="1" ht="13.5" customHeight="1">
      <c r="A20" s="255" t="s">
        <v>1574</v>
      </c>
      <c r="B20" s="210" t="s">
        <v>1575</v>
      </c>
      <c r="C20" s="232">
        <f ca="1">ROUND((C5+C19)*F20,0)</f>
        <v>162659</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3">
        <f ca="1">ROUND(SUM(C23:C25),0)</f>
        <v>227275</v>
      </c>
      <c r="D22" s="235">
        <f ca="1">C26</f>
        <v>4.0000000000000002E-4</v>
      </c>
      <c r="E22" s="236" t="s">
        <v>1579</v>
      </c>
      <c r="F22" s="237">
        <f ca="1">'数据-取费表'!B40</f>
        <v>3.4500000000000003E-2</v>
      </c>
      <c r="G22" s="234" t="str">
        <f>IF('数据-取费表'!B22&lt;=1,"单利计息","复利计息")</f>
        <v>单利计息</v>
      </c>
    </row>
    <row r="23" spans="1:7" s="214" customFormat="1" ht="13.5" customHeight="1">
      <c r="A23" s="776" t="s">
        <v>1472</v>
      </c>
      <c r="B23" s="215" t="s">
        <v>1583</v>
      </c>
      <c r="C23" s="1124">
        <f ca="1">ROUND(IF('数据-取费表'!B22&lt;=1,C5*F22*'数据-取费表'!B22,C5*(POWER((1+F22),'数据-取费表'!B22)-1)),0)</f>
        <v>224469</v>
      </c>
      <c r="D23" s="238"/>
      <c r="E23" s="238"/>
      <c r="F23" s="239"/>
      <c r="G23" s="240" t="s">
        <v>1584</v>
      </c>
    </row>
    <row r="24" spans="1:7" s="214" customFormat="1" ht="13.5" customHeight="1">
      <c r="A24" s="776"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6" t="s">
        <v>1476</v>
      </c>
      <c r="B25" s="215" t="s">
        <v>1587</v>
      </c>
      <c r="C25" s="1124">
        <f ca="1">ROUND(IF('数据-取费表'!B22&lt;=1,C20*F22*'数据-取费表'!B22/2,C20*(POWER((1+F22),'数据-取费表'!B22/2)-1)),0)</f>
        <v>2806</v>
      </c>
      <c r="D25" s="238"/>
      <c r="E25" s="241"/>
      <c r="F25" s="239"/>
      <c r="G25" s="242" t="s">
        <v>1588</v>
      </c>
    </row>
    <row r="26" spans="1:7" s="214" customFormat="1">
      <c r="A26" s="776"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533522</v>
      </c>
      <c r="D27" s="235">
        <f ca="1">C29</f>
        <v>2E-3</v>
      </c>
      <c r="E27" s="236" t="s">
        <v>1514</v>
      </c>
      <c r="F27" s="246">
        <f ca="1">IF(B1="",'数据-取费表'!Q16,INDIRECT("'数据-取费表'!q"&amp;$G$1))</f>
        <v>0.08</v>
      </c>
      <c r="G27" s="247" t="s">
        <v>1515</v>
      </c>
    </row>
    <row r="28" spans="1:7" s="214" customFormat="1" ht="13.5" customHeight="1">
      <c r="A28" s="776" t="s">
        <v>346</v>
      </c>
      <c r="B28" s="248" t="s">
        <v>1516</v>
      </c>
      <c r="C28" s="249">
        <f ca="1">ROUND((C5+C19+C20)*F27,0)</f>
        <v>533522</v>
      </c>
      <c r="D28" s="235"/>
      <c r="E28" s="236"/>
      <c r="F28" s="246"/>
      <c r="G28" s="247"/>
    </row>
    <row r="29" spans="1:7" s="214" customFormat="1" ht="13.5" customHeight="1">
      <c r="A29" s="776"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8074133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7614825</v>
      </c>
      <c r="D33" s="232"/>
      <c r="E33" s="212"/>
      <c r="F33" s="241"/>
      <c r="G33" s="234"/>
    </row>
    <row r="34" spans="1:7" s="258" customFormat="1" ht="13.5" customHeight="1">
      <c r="A34" s="776" t="s">
        <v>346</v>
      </c>
      <c r="B34" s="215" t="s">
        <v>1525</v>
      </c>
      <c r="C34" s="220">
        <f ca="1">ROUND(IF(B1="",SUMPRODUCT('数据-取费表'!K6:K14,'数据-取费表'!L6:L14),INDIRECT("'数据-取费表'!l"&amp;$G$1)*INDIRECT("'数据-取费表'!k"&amp;$G$1)+'数据-取费表'!L14*INDIRECT("'数据-取费表'!S"&amp;$G$1)),0)</f>
        <v>6659212</v>
      </c>
      <c r="D34" s="217"/>
      <c r="E34" s="220"/>
      <c r="F34" s="257"/>
      <c r="G34" s="219"/>
    </row>
    <row r="35" spans="1:7" ht="13.5" customHeight="1">
      <c r="A35" s="776" t="s">
        <v>351</v>
      </c>
      <c r="B35" s="215" t="s">
        <v>1527</v>
      </c>
      <c r="C35" s="220">
        <f ca="1">ROUND(C34*F35,0)</f>
        <v>332961</v>
      </c>
      <c r="D35" s="220"/>
      <c r="E35" s="220"/>
      <c r="F35" s="259">
        <f>'数据-取费表'!B33</f>
        <v>0.05</v>
      </c>
      <c r="G35" s="219" t="s">
        <v>1528</v>
      </c>
    </row>
    <row r="36" spans="1:7" ht="24">
      <c r="A36" s="776"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6" t="s">
        <v>353</v>
      </c>
      <c r="B37" s="215" t="s">
        <v>1531</v>
      </c>
      <c r="C37" s="249">
        <f ca="1">ROUND(E37*D37,0)</f>
        <v>489468</v>
      </c>
      <c r="D37" s="217">
        <f ca="1">D19</f>
        <v>2447.34</v>
      </c>
      <c r="E37" s="249">
        <f>'数据-取费表'!B35</f>
        <v>200</v>
      </c>
      <c r="F37" s="259"/>
      <c r="G37" s="261"/>
    </row>
    <row r="38" spans="1:7" ht="13.5" customHeight="1">
      <c r="A38" s="776" t="s">
        <v>354</v>
      </c>
      <c r="B38" s="215" t="s">
        <v>1533</v>
      </c>
      <c r="C38" s="220">
        <f ca="1">ROUND(C34*F38,0)</f>
        <v>133184</v>
      </c>
      <c r="D38" s="220"/>
      <c r="E38" s="220"/>
      <c r="F38" s="259">
        <f>'数据-取费表'!B36</f>
        <v>0.02</v>
      </c>
      <c r="G38" s="219" t="s">
        <v>1528</v>
      </c>
    </row>
    <row r="39" spans="1:7" s="214" customFormat="1" ht="13.5" customHeight="1">
      <c r="A39" s="255" t="s">
        <v>1534</v>
      </c>
      <c r="B39" s="210" t="s">
        <v>1535</v>
      </c>
      <c r="C39" s="232">
        <f ca="1">ROUND(C33*F20,0)</f>
        <v>190371</v>
      </c>
      <c r="D39" s="232"/>
      <c r="E39" s="232"/>
      <c r="F39" s="233">
        <f>F20</f>
        <v>2.5000000000000001E-2</v>
      </c>
      <c r="G39" s="234" t="s">
        <v>1536</v>
      </c>
    </row>
    <row r="40" spans="1:7" s="214" customFormat="1" ht="13.5" customHeight="1">
      <c r="A40" s="255" t="s">
        <v>1537</v>
      </c>
      <c r="B40" s="210" t="s">
        <v>1538</v>
      </c>
      <c r="C40" s="1323">
        <f>F21</f>
        <v>2.5000000000000001E-2</v>
      </c>
      <c r="D40" s="236" t="s">
        <v>1539</v>
      </c>
      <c r="E40" s="232"/>
      <c r="F40" s="233">
        <f>F21</f>
        <v>2.5000000000000001E-2</v>
      </c>
      <c r="G40" s="234" t="s">
        <v>1540</v>
      </c>
    </row>
    <row r="41" spans="1:7" s="214" customFormat="1" ht="13.5" customHeight="1">
      <c r="A41" s="255" t="s">
        <v>1541</v>
      </c>
      <c r="B41" s="210" t="s">
        <v>1542</v>
      </c>
      <c r="C41" s="232">
        <f ca="1">ROUND(SUM(C42:C43),0)</f>
        <v>134640</v>
      </c>
      <c r="D41" s="235">
        <f ca="1">C44</f>
        <v>4.0000000000000002E-4</v>
      </c>
      <c r="E41" s="236" t="s">
        <v>1539</v>
      </c>
      <c r="F41" s="237">
        <f ca="1">F22</f>
        <v>3.4500000000000003E-2</v>
      </c>
      <c r="G41" s="234" t="str">
        <f>IF('数据-取费表'!B22&lt;=1,"单利计息","复利计息")</f>
        <v>单利计息</v>
      </c>
    </row>
    <row r="42" spans="1:7" ht="13.5" customHeight="1">
      <c r="A42" s="776" t="s">
        <v>346</v>
      </c>
      <c r="B42" s="215" t="s">
        <v>1543</v>
      </c>
      <c r="C42" s="238">
        <f ca="1">ROUND(IF('数据-取费表'!B22&lt;=1,C33*F22*'数据-取费表'!B20/2,C33*(POWER((1+F22),'数据-取费表'!B20/2)-1)),0)</f>
        <v>131356</v>
      </c>
      <c r="D42" s="238"/>
      <c r="E42" s="238"/>
      <c r="F42" s="239"/>
      <c r="G42" s="3676" t="s">
        <v>1591</v>
      </c>
    </row>
    <row r="43" spans="1:7" ht="13.5" customHeight="1">
      <c r="A43" s="776" t="s">
        <v>347</v>
      </c>
      <c r="B43" s="215" t="s">
        <v>1545</v>
      </c>
      <c r="C43" s="238">
        <f ca="1">ROUND(IF('数据-取费表'!B22&lt;=1,C39*F22*'数据-取费表'!B20/2,C39*(POWER((1+F22),'数据-取费表'!B20/2)-1)),0)</f>
        <v>3284</v>
      </c>
      <c r="D43" s="238"/>
      <c r="E43" s="238"/>
      <c r="F43" s="239"/>
      <c r="G43" s="3677"/>
    </row>
    <row r="44" spans="1:7" ht="13.5" customHeight="1">
      <c r="A44" s="776" t="s">
        <v>348</v>
      </c>
      <c r="B44" s="215" t="s">
        <v>1546</v>
      </c>
      <c r="C44" s="238">
        <f ca="1">ROUND(IF('数据-取费表'!B22&lt;=1,C40*F22*'数据-取费表'!B20/2,C40*(POWER((1+F22),'数据-取费表'!B20/2)-1)),4)</f>
        <v>4.0000000000000002E-4</v>
      </c>
      <c r="D44" s="238"/>
      <c r="E44" s="238"/>
      <c r="F44" s="239"/>
      <c r="G44" s="3678"/>
    </row>
    <row r="45" spans="1:7" s="214" customFormat="1" ht="13.5" customHeight="1">
      <c r="A45" s="255" t="s">
        <v>1547</v>
      </c>
      <c r="B45" s="244" t="s">
        <v>1513</v>
      </c>
      <c r="C45" s="245">
        <f ca="1">C46</f>
        <v>624416</v>
      </c>
      <c r="D45" s="235">
        <f ca="1">C47</f>
        <v>2E-3</v>
      </c>
      <c r="E45" s="236" t="s">
        <v>1539</v>
      </c>
      <c r="F45" s="246">
        <f ca="1">F27</f>
        <v>0.08</v>
      </c>
      <c r="G45" s="247" t="s">
        <v>1548</v>
      </c>
    </row>
    <row r="46" spans="1:7" s="214" customFormat="1" ht="13.5" customHeight="1">
      <c r="A46" s="776" t="s">
        <v>346</v>
      </c>
      <c r="B46" s="248" t="s">
        <v>1549</v>
      </c>
      <c r="C46" s="249">
        <f ca="1">ROUND((C33+C39)*F27,0)</f>
        <v>624416</v>
      </c>
      <c r="D46" s="263"/>
      <c r="E46" s="236"/>
      <c r="F46" s="246"/>
      <c r="G46" s="247"/>
    </row>
    <row r="47" spans="1:7" s="214" customFormat="1" ht="13.5" customHeight="1">
      <c r="A47" s="776"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9306946</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6514862</v>
      </c>
      <c r="D51" s="232"/>
      <c r="E51" s="232"/>
      <c r="F51" s="264"/>
      <c r="G51" s="234" t="s">
        <v>1560</v>
      </c>
    </row>
    <row r="52" spans="1:7" s="208" customFormat="1" ht="16.5" thickBot="1">
      <c r="A52" s="265" t="s">
        <v>1561</v>
      </c>
      <c r="B52" s="266"/>
      <c r="C52" s="267">
        <f ca="1">C31+C51</f>
        <v>14588995</v>
      </c>
      <c r="D52" s="266"/>
      <c r="E52" s="266"/>
      <c r="F52" s="266"/>
      <c r="G52" s="268"/>
    </row>
    <row r="55" spans="1:7" ht="15">
      <c r="B55" s="270" t="s">
        <v>1562</v>
      </c>
      <c r="C55" s="271"/>
    </row>
    <row r="56" spans="1:7">
      <c r="B56" s="273" t="s">
        <v>802</v>
      </c>
      <c r="C56" s="275">
        <f ca="1">1-C57</f>
        <v>0.55299999999999994</v>
      </c>
    </row>
    <row r="57" spans="1:7">
      <c r="B57" s="273" t="s">
        <v>803</v>
      </c>
      <c r="C57" s="274">
        <f ca="1">ROUND(C51/C52,3)</f>
        <v>0.44700000000000001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1594</v>
      </c>
      <c r="B1" s="1187"/>
      <c r="C1" s="1188"/>
      <c r="D1" s="1186"/>
      <c r="E1" s="2802"/>
      <c r="F1" s="2802"/>
      <c r="G1" s="2667"/>
      <c r="H1" s="2802"/>
      <c r="I1" s="2802"/>
      <c r="J1" s="2802"/>
      <c r="K1" s="2803">
        <f>MATCH(C1,'数据-取费表'!A6:A16,0)+5</f>
        <v>7</v>
      </c>
    </row>
    <row r="2" spans="1:33" ht="18" customHeight="1">
      <c r="A2" s="201" t="s">
        <v>1462</v>
      </c>
      <c r="B2" s="204">
        <f ca="1">C32</f>
        <v>-42</v>
      </c>
      <c r="C2" s="276" t="s">
        <v>1595</v>
      </c>
      <c r="D2" s="276"/>
      <c r="E2" s="2802"/>
      <c r="F2" s="2802"/>
      <c r="G2" s="2802"/>
      <c r="H2" s="2802"/>
      <c r="I2" s="2802"/>
      <c r="J2" s="2802"/>
      <c r="K2" s="2802"/>
    </row>
    <row r="3" spans="1:33" ht="18" customHeight="1" thickBot="1">
      <c r="A3" s="203" t="s">
        <v>1464</v>
      </c>
      <c r="B3" s="204">
        <f ca="1">ROUND(B2*10000/IF(C1="",'数据-汇总表'!E3,INDIRECT("'数据-取费表'!K"&amp;$K$1)),0)</f>
        <v>-172</v>
      </c>
      <c r="C3" s="276" t="s">
        <v>1596</v>
      </c>
      <c r="D3" s="276"/>
      <c r="E3" s="2802"/>
      <c r="F3" s="2802"/>
      <c r="G3" s="2802"/>
      <c r="H3" s="2802"/>
      <c r="I3" s="2802"/>
      <c r="J3" s="2802"/>
      <c r="K3" s="2802"/>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4"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9"/>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9"/>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2447.34</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0.02</v>
      </c>
      <c r="G15" s="131"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2447.34</v>
      </c>
      <c r="E17" s="21">
        <f>'数据-取费表'!B32</f>
        <v>0</v>
      </c>
      <c r="F17" s="802"/>
      <c r="G17" s="131"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39</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120</v>
      </c>
      <c r="F19" s="800"/>
      <c r="G19" s="12"/>
      <c r="H19" s="1185"/>
      <c r="I19" s="805"/>
      <c r="J19" s="805"/>
      <c r="K19" s="806"/>
    </row>
    <row r="20" spans="1:33" s="799" customFormat="1" ht="13.5" customHeight="1">
      <c r="A20" s="796" t="s">
        <v>361</v>
      </c>
      <c r="B20" s="797" t="s">
        <v>1627</v>
      </c>
      <c r="C20" s="21">
        <f ca="1">ROUND(D20*E20/10000,0)</f>
        <v>39</v>
      </c>
      <c r="D20" s="842">
        <f ca="1">IF(C1="",'数据-汇总表'!E6,IF(INDIRECT("'数据-取费表'!c"&amp;$K$1)="住宅",INDIRECT("'数据-取费表'!s"&amp;$K$1),INDIRECT("'数据-取费表'!k"&amp;$K$1)+INDIRECT("'数据-取费表'!s"&amp;$K$1)))</f>
        <v>2447.34</v>
      </c>
      <c r="E20" s="21">
        <f>'数据-取费表'!B28</f>
        <v>160</v>
      </c>
      <c r="F20" s="800"/>
      <c r="G20" s="12"/>
      <c r="H20" s="805"/>
      <c r="I20" s="805"/>
      <c r="J20" s="805"/>
      <c r="K20" s="806"/>
    </row>
    <row r="21" spans="1:33" s="799" customFormat="1" ht="13.5" customHeight="1">
      <c r="A21" s="786" t="s">
        <v>357</v>
      </c>
      <c r="B21" s="809" t="s">
        <v>1628</v>
      </c>
      <c r="C21" s="810">
        <f ca="1">C16+C17+C18</f>
        <v>39</v>
      </c>
      <c r="D21" s="811"/>
      <c r="E21" s="281"/>
      <c r="F21" s="281"/>
      <c r="G21" s="131" t="s">
        <v>1629</v>
      </c>
      <c r="H21" s="803"/>
      <c r="I21" s="803"/>
      <c r="J21" s="803"/>
      <c r="K21" s="804"/>
    </row>
    <row r="22" spans="1:33" s="799" customFormat="1" ht="13.5" customHeight="1">
      <c r="A22" s="786" t="s">
        <v>1601</v>
      </c>
      <c r="B22" s="809" t="s">
        <v>1630</v>
      </c>
      <c r="C22" s="810">
        <f ca="1">ROUND(C21*F22,0)</f>
        <v>1</v>
      </c>
      <c r="D22" s="281"/>
      <c r="E22" s="281"/>
      <c r="F22" s="812">
        <f>'数据-取费表'!B37</f>
        <v>2.5000000000000001E-2</v>
      </c>
      <c r="G22" s="5" t="s">
        <v>1631</v>
      </c>
      <c r="H22" s="793"/>
      <c r="I22" s="793"/>
      <c r="J22" s="793"/>
      <c r="K22" s="794"/>
    </row>
    <row r="23" spans="1:33" s="799" customFormat="1" ht="13.5" customHeight="1">
      <c r="A23" s="786" t="s">
        <v>1603</v>
      </c>
      <c r="B23" s="809" t="s">
        <v>1632</v>
      </c>
      <c r="C23" s="810">
        <f ca="1">ROUND(C4*F23*F11,0)</f>
        <v>0</v>
      </c>
      <c r="D23" s="281"/>
      <c r="E23" s="281"/>
      <c r="F23" s="812">
        <f>'数据-取费表'!B38</f>
        <v>2.5000000000000001E-2</v>
      </c>
      <c r="G23" s="5" t="s">
        <v>1633</v>
      </c>
      <c r="H23" s="793"/>
      <c r="I23" s="793"/>
      <c r="J23" s="793"/>
      <c r="K23" s="794"/>
    </row>
    <row r="24" spans="1:33" s="799" customFormat="1" ht="13.5" customHeight="1">
      <c r="A24" s="786" t="s">
        <v>1634</v>
      </c>
      <c r="B24" s="809" t="s">
        <v>1635</v>
      </c>
      <c r="C24" s="280">
        <f>ROUND(F24/(1+'数据-取费表'!C42),4)</f>
        <v>2.9000000000000001E-2</v>
      </c>
      <c r="D24" s="281" t="s">
        <v>12</v>
      </c>
      <c r="E24" s="281"/>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（(1)+取得税费率/(1+5%)）×年利率×建设期</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4"/>
      <c r="E27" s="285"/>
      <c r="F27" s="286"/>
      <c r="G27" s="1860" t="str">
        <f>IF('数据-取费表'!B22&lt;=1,"（1）-（3）项×年利率×建设期÷2","（1）-（3）项×((1+年利率)^(建设期÷2)-1)")</f>
        <v>（1）-（3）项×年利率×建设期÷2</v>
      </c>
      <c r="H27" s="803"/>
      <c r="I27" s="803"/>
      <c r="J27" s="803"/>
      <c r="K27" s="804"/>
    </row>
    <row r="28" spans="1:33" s="289" customFormat="1" ht="13.5" customHeight="1">
      <c r="A28" s="786" t="s">
        <v>1641</v>
      </c>
      <c r="B28" s="1861" t="s">
        <v>1642</v>
      </c>
      <c r="C28" s="287">
        <f ca="1">C30</f>
        <v>3</v>
      </c>
      <c r="D28" s="280">
        <f ca="1">C29</f>
        <v>0</v>
      </c>
      <c r="E28" s="282" t="s">
        <v>12</v>
      </c>
      <c r="F28" s="288">
        <f ca="1">IF(C1="",'数据-取费表'!Q16,INDIRECT("'数据-取费表'!q"&amp;$K$1))</f>
        <v>0.08</v>
      </c>
      <c r="G28" s="813"/>
      <c r="H28" s="814"/>
      <c r="I28" s="814"/>
      <c r="J28" s="814"/>
      <c r="K28" s="815"/>
    </row>
    <row r="29" spans="1:33" s="291" customFormat="1" ht="13.5" customHeight="1">
      <c r="A29" s="796" t="s">
        <v>358</v>
      </c>
      <c r="B29" s="818" t="s">
        <v>1643</v>
      </c>
      <c r="C29" s="284">
        <f ca="1">ROUND((1+C24)*F28*'数据-取费表'!B24/'数据-取费表'!B20,4)</f>
        <v>0</v>
      </c>
      <c r="D29" s="284"/>
      <c r="E29" s="285"/>
      <c r="F29" s="290"/>
      <c r="G29" s="131" t="s">
        <v>1644</v>
      </c>
      <c r="H29" s="803"/>
      <c r="I29" s="803"/>
      <c r="J29" s="803"/>
      <c r="K29" s="804"/>
    </row>
    <row r="30" spans="1:33" s="291" customFormat="1" ht="13.5" customHeight="1">
      <c r="A30" s="796" t="s">
        <v>359</v>
      </c>
      <c r="B30" s="818" t="s">
        <v>1645</v>
      </c>
      <c r="C30" s="292">
        <f ca="1">ROUND((C21+C22+C23)*F28,0)</f>
        <v>3</v>
      </c>
      <c r="D30" s="284"/>
      <c r="E30" s="285"/>
      <c r="F30" s="290"/>
      <c r="G30" s="131"/>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-42</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8">
        <f ca="1">J53</f>
        <v>0</v>
      </c>
      <c r="G1" s="1374">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t="e">
        <f ca="1">C40+J29+L46</f>
        <v>#DIV/0!</v>
      </c>
      <c r="C2" s="1383" t="s">
        <v>805</v>
      </c>
      <c r="D2" s="1383"/>
      <c r="E2" s="1384"/>
      <c r="F2" s="1385"/>
      <c r="G2" s="2702"/>
      <c r="H2" s="2691"/>
      <c r="I2" s="2691"/>
      <c r="J2" s="2691"/>
      <c r="K2" s="2692"/>
      <c r="L2" s="2691"/>
      <c r="M2" s="2691"/>
    </row>
    <row r="3" spans="1:37" ht="18" customHeight="1" thickBot="1">
      <c r="A3" s="1386" t="s">
        <v>806</v>
      </c>
      <c r="B3" s="1387">
        <f ca="1">IF(ISERROR(B2*10000/F43),0,ROUND(B2*10000/F43,0))</f>
        <v>0</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81" t="s">
        <v>694</v>
      </c>
      <c r="C6" s="1070">
        <f ca="1">ROUND(F6*F8*F7*(1-F9)/10000,0)</f>
        <v>0</v>
      </c>
      <c r="D6" s="155" t="s">
        <v>2109</v>
      </c>
      <c r="E6" s="302" t="s">
        <v>696</v>
      </c>
      <c r="F6" s="303">
        <f ca="1">INDIRECT("'数据-取费表'!u"&amp;$G$1)</f>
        <v>0</v>
      </c>
      <c r="G6" s="1380"/>
      <c r="H6" s="1065" t="s">
        <v>398</v>
      </c>
      <c r="I6" s="3681" t="s">
        <v>694</v>
      </c>
      <c r="J6" s="301">
        <f ca="1">ROUND(M6*M8*M7*(1-M9)/10000,0)</f>
        <v>0</v>
      </c>
      <c r="K6" s="155" t="s">
        <v>2108</v>
      </c>
      <c r="L6" s="302" t="s">
        <v>696</v>
      </c>
      <c r="M6" s="303">
        <f ca="1">INDIRECT("'数据-取费表'!z"&amp;$G$1)</f>
        <v>0</v>
      </c>
    </row>
    <row r="7" spans="1:37" ht="18" customHeight="1">
      <c r="A7" s="1069"/>
      <c r="B7" s="3682"/>
      <c r="C7" s="1071"/>
      <c r="D7" s="307"/>
      <c r="E7" s="1072" t="s">
        <v>697</v>
      </c>
      <c r="F7" s="303">
        <f ca="1">IF(INDIRECT("'数据-取费表'!ah"&amp;$G$1)="",INDIRECT("'数据-取费表'!k"&amp;$G$1),INDIRECT("'数据-取费表'!ah"&amp;$G$1))</f>
        <v>0</v>
      </c>
      <c r="G7" s="1380"/>
      <c r="H7" s="304"/>
      <c r="I7" s="3682"/>
      <c r="J7" s="306"/>
      <c r="K7" s="307"/>
      <c r="L7" s="302" t="s">
        <v>697</v>
      </c>
      <c r="M7" s="303">
        <f ca="1">F7</f>
        <v>0</v>
      </c>
    </row>
    <row r="8" spans="1:37" ht="18" customHeight="1">
      <c r="A8" s="304"/>
      <c r="B8" s="3682"/>
      <c r="C8" s="306"/>
      <c r="D8" s="307"/>
      <c r="E8" s="302" t="s">
        <v>698</v>
      </c>
      <c r="F8" s="303">
        <f ca="1">INDIRECT("'数据-取费表'!ai"&amp;$G$1)</f>
        <v>0</v>
      </c>
      <c r="G8" s="1380"/>
      <c r="H8" s="304"/>
      <c r="I8" s="3682"/>
      <c r="J8" s="306"/>
      <c r="K8" s="307"/>
      <c r="L8" s="302" t="s">
        <v>698</v>
      </c>
      <c r="M8" s="303">
        <f ca="1">INDIRECT("'数据-取费表'!ai"&amp;$G$1)</f>
        <v>0</v>
      </c>
    </row>
    <row r="9" spans="1:37" ht="18" customHeight="1">
      <c r="A9" s="304"/>
      <c r="B9" s="3683"/>
      <c r="C9" s="306"/>
      <c r="D9" s="307"/>
      <c r="E9" s="302" t="s">
        <v>699</v>
      </c>
      <c r="F9" s="312">
        <f ca="1">INDIRECT("'数据-取费表'!w"&amp;$G$1)</f>
        <v>0</v>
      </c>
      <c r="G9" s="1380"/>
      <c r="H9" s="304"/>
      <c r="I9" s="3683"/>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2.5000000000000001E-2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2.5000000000000001E-2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单利计息。建造成本、管理费用、销售费用产生的利息。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3"/>
      <c r="I30" s="1394"/>
      <c r="J30" s="1395"/>
      <c r="K30" s="2471"/>
      <c r="L30" s="2694"/>
      <c r="M30" s="2695"/>
    </row>
    <row r="31" spans="1:37" ht="18" customHeight="1">
      <c r="A31" s="978"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2" t="s">
        <v>723</v>
      </c>
      <c r="C32" s="21">
        <f ca="1">IF(项目基本情况!B11="自然人","——",ROUND(C6*F32/(1+'数据-取费表'!C42),2))</f>
        <v>0</v>
      </c>
      <c r="D32" s="1340" t="s">
        <v>724</v>
      </c>
      <c r="E32" s="302" t="s">
        <v>712</v>
      </c>
      <c r="F32" s="331">
        <f>'数据-取费表'!B41</f>
        <v>5.5000000000000007E-2</v>
      </c>
      <c r="G32" s="1380"/>
      <c r="H32" s="2693"/>
      <c r="I32" s="1394"/>
      <c r="J32" s="1395"/>
      <c r="K32" s="2471"/>
      <c r="L32" s="2694"/>
      <c r="M32" s="2695"/>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3340</v>
      </c>
      <c r="E33" s="302" t="s">
        <v>712</v>
      </c>
      <c r="F33" s="322">
        <f>IF(D33="按票据","——",IF(D33="按租金收入计税",'数据-取费表'!B51,'数据-取费表'!B50))</f>
        <v>0.12</v>
      </c>
      <c r="G33" s="1380"/>
      <c r="H33" s="2696"/>
      <c r="I33" s="1394"/>
      <c r="J33" s="1395"/>
      <c r="K33" s="2697"/>
      <c r="L33" s="2696"/>
      <c r="M33" s="2696"/>
    </row>
    <row r="34" spans="1:18" ht="18" customHeight="1">
      <c r="A34" s="1065" t="s">
        <v>680</v>
      </c>
      <c r="B34" s="155" t="s">
        <v>730</v>
      </c>
      <c r="C34" s="22">
        <f ca="1">IF(项目基本情况!B11="自然人","——",ROUND(F34*F35/10000,2))</f>
        <v>0</v>
      </c>
      <c r="D34" s="324" t="s">
        <v>731</v>
      </c>
      <c r="E34" s="302" t="s">
        <v>732</v>
      </c>
      <c r="F34" s="325">
        <f>'数据-取费表'!B52</f>
        <v>1.5</v>
      </c>
      <c r="G34" s="1380"/>
      <c r="H34" s="2693"/>
      <c r="I34" s="1394"/>
      <c r="J34" s="1395"/>
      <c r="K34" s="2698"/>
      <c r="L34" s="2699"/>
      <c r="M34" s="2699"/>
    </row>
    <row r="35" spans="1:18" ht="18" customHeight="1">
      <c r="A35" s="1099"/>
      <c r="B35" s="1097"/>
      <c r="C35" s="26"/>
      <c r="D35" s="327"/>
      <c r="E35" s="302" t="s">
        <v>736</v>
      </c>
      <c r="F35" s="303">
        <f ca="1">INDIRECT("'数据-取费表'!r"&amp;$G$1)</f>
        <v>0</v>
      </c>
      <c r="G35" s="1380"/>
      <c r="H35" s="2693"/>
      <c r="I35" s="1394"/>
      <c r="J35" s="1395"/>
      <c r="K35" s="2697"/>
      <c r="L35" s="2696"/>
      <c r="M35" s="2696"/>
    </row>
    <row r="36" spans="1:18" ht="18" customHeight="1">
      <c r="A36" s="1098" t="s">
        <v>402</v>
      </c>
      <c r="B36" s="302" t="s">
        <v>738</v>
      </c>
      <c r="C36" s="21">
        <f ca="1">ROUND(C29*F36,2)</f>
        <v>0</v>
      </c>
      <c r="D36" s="1340" t="s">
        <v>771</v>
      </c>
      <c r="E36" s="302" t="s">
        <v>712</v>
      </c>
      <c r="F36" s="328">
        <f ca="1">INDIRECT("'数据-取费表'!Ak"&amp;$G$1)</f>
        <v>0</v>
      </c>
      <c r="G36" s="1380"/>
      <c r="H36" s="2696"/>
      <c r="I36" s="1394"/>
      <c r="J36" s="1395"/>
      <c r="K36" s="2540"/>
      <c r="L36" s="2696"/>
      <c r="M36" s="2696"/>
    </row>
    <row r="37" spans="1:18" ht="18" customHeight="1">
      <c r="A37" s="978" t="s">
        <v>437</v>
      </c>
      <c r="B37" s="302" t="s">
        <v>742</v>
      </c>
      <c r="C37" s="21">
        <f ca="1">ROUND(C13*F37,2)</f>
        <v>0</v>
      </c>
      <c r="D37" s="1340" t="s">
        <v>743</v>
      </c>
      <c r="E37" s="302" t="s">
        <v>744</v>
      </c>
      <c r="F37" s="330">
        <f ca="1">INDIRECT("'数据-取费表'!Al"&amp;$G$1)</f>
        <v>0</v>
      </c>
      <c r="G37" s="1380"/>
      <c r="H37" s="2696"/>
      <c r="I37" s="1394"/>
      <c r="J37" s="1395"/>
      <c r="K37" s="2540"/>
      <c r="L37" s="2696"/>
      <c r="M37" s="2696"/>
    </row>
    <row r="38" spans="1:18" ht="18" customHeight="1" thickBot="1">
      <c r="A38" s="1085" t="s">
        <v>684</v>
      </c>
      <c r="B38" s="1086" t="s">
        <v>728</v>
      </c>
      <c r="C38" s="1087">
        <f ca="1">ROUND(C5*F38,2)</f>
        <v>0</v>
      </c>
      <c r="D38" s="1088" t="s">
        <v>748</v>
      </c>
      <c r="E38" s="1086" t="s">
        <v>744</v>
      </c>
      <c r="F38" s="1082">
        <f ca="1">INDIRECT("'数据-取费表'!Am"&amp;$G$1)</f>
        <v>0</v>
      </c>
      <c r="G38" s="1380"/>
      <c r="H38" s="2696"/>
      <c r="I38" s="1394"/>
      <c r="J38" s="1395"/>
      <c r="K38" s="2700"/>
      <c r="L38" s="2696"/>
      <c r="M38" s="2696"/>
    </row>
    <row r="39" spans="1:18" ht="24.6" customHeight="1" thickTop="1">
      <c r="A39" s="1075" t="s">
        <v>394</v>
      </c>
      <c r="B39" s="1090" t="s">
        <v>772</v>
      </c>
      <c r="C39" s="310">
        <f ca="1">C5-C30</f>
        <v>0</v>
      </c>
      <c r="D39" s="1091" t="s">
        <v>773</v>
      </c>
      <c r="E39" s="1092"/>
      <c r="F39" s="1093"/>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40"/>
      <c r="L41" s="1187"/>
      <c r="M41" s="1187"/>
    </row>
    <row r="42" spans="1:18" ht="18" customHeight="1">
      <c r="A42" s="308"/>
      <c r="B42" s="309"/>
      <c r="C42" s="310"/>
      <c r="D42" s="327"/>
      <c r="E42" s="302" t="s">
        <v>766</v>
      </c>
      <c r="F42" s="312">
        <f ca="1">INDIRECT("'数据-取费表'!v"&amp;$G$1)</f>
        <v>0</v>
      </c>
      <c r="G42" s="1380"/>
      <c r="H42" s="1187"/>
      <c r="I42" s="1394"/>
      <c r="J42" s="1395"/>
      <c r="K42" s="2540"/>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2110</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2116</v>
      </c>
      <c r="E53" s="313" t="s">
        <v>701</v>
      </c>
      <c r="F53" s="1112"/>
      <c r="I53" s="1435" t="s">
        <v>836</v>
      </c>
      <c r="J53" s="2164">
        <f ca="1">IF(M47="住宅",IF(D1="——",MAX(J51,L48),MAX(J51,L48-'数据-取费表'!B24)),IF(D1="——",MIN(J51,L48),MIN(J51,L48-'数据-取费表'!B24)))</f>
        <v>0</v>
      </c>
      <c r="K53" s="3679" t="s">
        <v>837</v>
      </c>
      <c r="L53" s="3680"/>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3340</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0" zoomScale="70" zoomScaleNormal="70" zoomScaleSheetLayoutView="70" workbookViewId="0">
      <selection activeCell="J37" sqref="J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v>
      </c>
      <c r="D1" s="1358" t="s">
        <v>43</v>
      </c>
      <c r="E1" s="1359" t="s">
        <v>678</v>
      </c>
      <c r="F1" s="1058">
        <f ca="1">J53</f>
        <v>24.23</v>
      </c>
      <c r="G1" s="1374">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21">
        <f ca="1">ROUND(D2/10000,4)</f>
        <v>1348.3255999999999</v>
      </c>
      <c r="C2" s="1383" t="s">
        <v>879</v>
      </c>
      <c r="D2" s="1467">
        <f ca="1">C40+J29+L46</f>
        <v>13483256</v>
      </c>
      <c r="E2" s="1384" t="s">
        <v>880</v>
      </c>
      <c r="F2" s="1385"/>
      <c r="G2" s="2702"/>
      <c r="H2" s="2691"/>
      <c r="I2" s="2691"/>
      <c r="J2" s="2691"/>
      <c r="K2" s="2692"/>
      <c r="L2" s="2691"/>
      <c r="M2" s="2691"/>
    </row>
    <row r="3" spans="1:37" ht="18" customHeight="1" thickBot="1">
      <c r="A3" s="1386" t="s">
        <v>881</v>
      </c>
      <c r="B3" s="1387">
        <f ca="1">IF(ISERROR(D2/F43),0,ROUND(D2/F43,0))</f>
        <v>5509</v>
      </c>
      <c r="C3" s="1383" t="s">
        <v>882</v>
      </c>
      <c r="D3" s="1383"/>
      <c r="E3" s="1384"/>
      <c r="F3" s="1385"/>
      <c r="G3" s="2702"/>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1019611</v>
      </c>
      <c r="D5" s="1360" t="s">
        <v>889</v>
      </c>
      <c r="E5" s="1067"/>
      <c r="F5" s="1068"/>
      <c r="G5" s="1380"/>
      <c r="H5" s="299">
        <v>1</v>
      </c>
      <c r="I5" s="300" t="s">
        <v>888</v>
      </c>
      <c r="J5" s="1066">
        <f ca="1">J6+J10+J12</f>
        <v>0</v>
      </c>
      <c r="K5" s="1360" t="s">
        <v>889</v>
      </c>
      <c r="L5" s="1067"/>
      <c r="M5" s="1068"/>
    </row>
    <row r="6" spans="1:37" ht="18" customHeight="1">
      <c r="A6" s="1065" t="s">
        <v>398</v>
      </c>
      <c r="B6" s="3681" t="s">
        <v>694</v>
      </c>
      <c r="C6" s="1070">
        <f ca="1">ROUND(F6*F8*F7*(1-F9),0)</f>
        <v>1018338</v>
      </c>
      <c r="D6" s="155" t="s">
        <v>2106</v>
      </c>
      <c r="E6" s="302" t="s">
        <v>696</v>
      </c>
      <c r="F6" s="303">
        <f ca="1">INDIRECT("'数据-取费表'!u"&amp;$G$1)</f>
        <v>1.2</v>
      </c>
      <c r="G6" s="1380"/>
      <c r="H6" s="1065" t="s">
        <v>398</v>
      </c>
      <c r="I6" s="3681" t="s">
        <v>694</v>
      </c>
      <c r="J6" s="301">
        <f ca="1">ROUND(M6*M8*M7*(1-M9),0)</f>
        <v>0</v>
      </c>
      <c r="K6" s="1372" t="s">
        <v>2107</v>
      </c>
      <c r="L6" s="302" t="s">
        <v>696</v>
      </c>
      <c r="M6" s="303">
        <f ca="1">INDIRECT("'数据-取费表'!z"&amp;$G$1)</f>
        <v>0</v>
      </c>
    </row>
    <row r="7" spans="1:37" ht="18" customHeight="1">
      <c r="A7" s="1069"/>
      <c r="B7" s="3682"/>
      <c r="C7" s="1071"/>
      <c r="D7" s="307"/>
      <c r="E7" s="1072" t="s">
        <v>697</v>
      </c>
      <c r="F7" s="303">
        <f ca="1">IF(INDIRECT("'数据-取费表'!ah"&amp;$G$1)="",INDIRECT("'数据-取费表'!k"&amp;$G$1),INDIRECT("'数据-取费表'!ah"&amp;$G$1))</f>
        <v>2447.34</v>
      </c>
      <c r="G7" s="1380"/>
      <c r="H7" s="304"/>
      <c r="I7" s="3682"/>
      <c r="J7" s="306"/>
      <c r="K7" s="307"/>
      <c r="L7" s="302" t="s">
        <v>697</v>
      </c>
      <c r="M7" s="303">
        <f ca="1">F7</f>
        <v>2447.34</v>
      </c>
    </row>
    <row r="8" spans="1:37" ht="18" customHeight="1">
      <c r="A8" s="304"/>
      <c r="B8" s="3682"/>
      <c r="C8" s="306"/>
      <c r="D8" s="307"/>
      <c r="E8" s="302" t="s">
        <v>698</v>
      </c>
      <c r="F8" s="303">
        <f ca="1">INDIRECT("'数据-取费表'!ai"&amp;$G$1)</f>
        <v>365</v>
      </c>
      <c r="G8" s="1380"/>
      <c r="H8" s="304"/>
      <c r="I8" s="3682"/>
      <c r="J8" s="306"/>
      <c r="K8" s="307"/>
      <c r="L8" s="302" t="s">
        <v>698</v>
      </c>
      <c r="M8" s="303">
        <f ca="1">INDIRECT("'数据-取费表'!ai"&amp;$G$1)</f>
        <v>365</v>
      </c>
    </row>
    <row r="9" spans="1:37" ht="18" customHeight="1">
      <c r="A9" s="304"/>
      <c r="B9" s="3683"/>
      <c r="C9" s="306"/>
      <c r="D9" s="307"/>
      <c r="E9" s="302" t="s">
        <v>699</v>
      </c>
      <c r="F9" s="312">
        <f ca="1">INDIRECT("'数据-取费表'!w"&amp;$G$1)</f>
        <v>0.05</v>
      </c>
      <c r="G9" s="1380"/>
      <c r="H9" s="304"/>
      <c r="I9" s="3683"/>
      <c r="J9" s="306"/>
      <c r="K9" s="307"/>
      <c r="L9" s="313" t="s">
        <v>699</v>
      </c>
      <c r="M9" s="314">
        <f ca="1">INDIRECT("'数据-取费表'!ab"&amp;$G$1)</f>
        <v>0</v>
      </c>
    </row>
    <row r="10" spans="1:37" ht="18" customHeight="1">
      <c r="A10" s="1065" t="s">
        <v>402</v>
      </c>
      <c r="B10" s="1361" t="s">
        <v>700</v>
      </c>
      <c r="C10" s="316">
        <f ca="1">ROUND(IF(F10="押一",C6/12*F11,IF(F10="押二",C6/12*2*F11,IF(F10="押三",C6/12*3*F11,C11*F11))),0)</f>
        <v>1273</v>
      </c>
      <c r="D10" s="1362" t="s">
        <v>2116</v>
      </c>
      <c r="E10" s="313" t="s">
        <v>701</v>
      </c>
      <c r="F10" s="1112" t="s">
        <v>3425</v>
      </c>
      <c r="G10" s="1380"/>
      <c r="H10" s="1065" t="s">
        <v>402</v>
      </c>
      <c r="I10" s="1361" t="s">
        <v>700</v>
      </c>
      <c r="J10" s="301">
        <f ca="1">ROUND(IF(M10="押一",J6/12*M11,IF(M10="押二",J6/12*2*M11,IF(M10="押三",J6/12*3*M11,J11*M11))),0)</f>
        <v>0</v>
      </c>
      <c r="K10" s="1373" t="s">
        <v>2118</v>
      </c>
      <c r="L10" s="313" t="s">
        <v>701</v>
      </c>
      <c r="M10" s="1112" t="s">
        <v>3425</v>
      </c>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6514862</v>
      </c>
      <c r="D13" s="1077" t="s">
        <v>705</v>
      </c>
      <c r="E13" s="1077" t="s">
        <v>706</v>
      </c>
      <c r="F13" s="1078">
        <f ca="1">INDIRECT("'数据-取费表'!y"&amp;$G$1)</f>
        <v>0.7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6659212</v>
      </c>
      <c r="D14" s="1341" t="s">
        <v>708</v>
      </c>
      <c r="E14" s="1338"/>
      <c r="F14" s="319"/>
      <c r="G14" s="1380"/>
      <c r="H14" s="978" t="s">
        <v>398</v>
      </c>
      <c r="I14" s="302" t="s">
        <v>709</v>
      </c>
      <c r="J14" s="21">
        <f ca="1">C29</f>
        <v>9306946</v>
      </c>
      <c r="K14" s="12"/>
      <c r="L14" s="803"/>
      <c r="M14" s="804"/>
    </row>
    <row r="15" spans="1:37" s="1393" customFormat="1" ht="18" customHeight="1" thickBot="1">
      <c r="A15" s="978" t="s">
        <v>399</v>
      </c>
      <c r="B15" s="302" t="s">
        <v>710</v>
      </c>
      <c r="C15" s="21">
        <f ca="1">ROUND(C14*F15,0)</f>
        <v>332961</v>
      </c>
      <c r="D15" s="320" t="s">
        <v>711</v>
      </c>
      <c r="E15" s="320" t="s">
        <v>712</v>
      </c>
      <c r="F15" s="321">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36005</v>
      </c>
      <c r="K16" s="1083" t="s">
        <v>715</v>
      </c>
      <c r="L16" s="1084"/>
      <c r="M16" s="1068"/>
    </row>
    <row r="17" spans="1:37" s="1393" customFormat="1" ht="18" customHeight="1">
      <c r="A17" s="978" t="s">
        <v>681</v>
      </c>
      <c r="B17" s="302" t="s">
        <v>716</v>
      </c>
      <c r="C17" s="21">
        <f ca="1">ROUND(F17*(F43+INDIRECT("'数据-取费表'!S"&amp;$G$1)),0)</f>
        <v>489468</v>
      </c>
      <c r="D17" s="302" t="s">
        <v>717</v>
      </c>
      <c r="E17" s="302" t="s">
        <v>718</v>
      </c>
      <c r="F17" s="23">
        <f>'数据-取费表'!B35</f>
        <v>200</v>
      </c>
      <c r="G17" s="1392"/>
      <c r="H17" s="978" t="s">
        <v>398</v>
      </c>
      <c r="I17" s="302" t="s">
        <v>719</v>
      </c>
      <c r="J17" s="2312">
        <f ca="1">ROUND(IF(AND(项目基本情况!B11="自然人",项目基本情况!B10="北京市"),J6*M17/(1+'数据-取费表'!C42),J18+J19+J20),0)</f>
        <v>8084</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133184</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7614825</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190371</v>
      </c>
      <c r="D20" s="323" t="s">
        <v>729</v>
      </c>
      <c r="E20" s="302" t="s">
        <v>712</v>
      </c>
      <c r="F20" s="322">
        <f>'数据-取费表'!B37</f>
        <v>2.5000000000000001E-2</v>
      </c>
      <c r="G20" s="1392"/>
      <c r="H20" s="978" t="s">
        <v>680</v>
      </c>
      <c r="I20" s="155" t="s">
        <v>730</v>
      </c>
      <c r="J20" s="22">
        <f ca="1">ROUND(M20*M21,0)</f>
        <v>8084</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2.5000000000000001E-2</v>
      </c>
      <c r="G21" s="1392"/>
      <c r="H21" s="326"/>
      <c r="I21" s="311"/>
      <c r="J21" s="26"/>
      <c r="K21" s="327"/>
      <c r="L21" s="302" t="s">
        <v>736</v>
      </c>
      <c r="M21" s="303">
        <f ca="1">INDIRECT("'数据-取费表'!r"&amp;$G$1)</f>
        <v>5389.47</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单利计息。建造成本、管理费用、销售费用产生的利息。</v>
      </c>
      <c r="E22" s="1356"/>
      <c r="F22" s="23"/>
      <c r="G22" s="1380"/>
      <c r="H22" s="978" t="s">
        <v>402</v>
      </c>
      <c r="I22" s="302" t="s">
        <v>738</v>
      </c>
      <c r="J22" s="21">
        <f ca="1">ROUND(J14*M22,0)</f>
        <v>27921</v>
      </c>
      <c r="K22" s="1340" t="s">
        <v>739</v>
      </c>
      <c r="L22" s="302" t="s">
        <v>712</v>
      </c>
      <c r="M22" s="328">
        <f ca="1">INDIRECT("'数据-取费表'!Ak"&amp;$G$1)</f>
        <v>3.0000000000000001E-3</v>
      </c>
    </row>
    <row r="23" spans="1:37" s="1393" customFormat="1" ht="18" customHeight="1">
      <c r="A23" s="978" t="s">
        <v>397</v>
      </c>
      <c r="B23" s="302" t="s">
        <v>740</v>
      </c>
      <c r="C23" s="21">
        <f ca="1">IF('数据-取费表'!B22&lt;=1,ROUND(C19*F24*F23/2,0)+ROUND(C20*F24*F23/2,0),ROUND(C19*(POWER((1+F24),F23/2)-1),0)+ROUND(C20*(POWER((1+F24),F23/2)-1),0))</f>
        <v>134640</v>
      </c>
      <c r="D23" s="329" t="str">
        <f>IF(F23&lt;=1,"(建造成本+管理费用)×利率×(建设周期÷2)","(建造成本+管理费用)×((1+利率)^(建设周期÷2)-1)")</f>
        <v>(建造成本+管理费用)×利率×(建设周期÷2)</v>
      </c>
      <c r="E23" s="302" t="s">
        <v>741</v>
      </c>
      <c r="F23" s="325">
        <f>'数据-取费表'!B20</f>
        <v>1</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3.0000000000000001E-3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-36005</v>
      </c>
      <c r="K25" s="1091" t="s">
        <v>753</v>
      </c>
      <c r="L25" s="1092"/>
      <c r="M25" s="1093"/>
    </row>
    <row r="26" spans="1:37" ht="18" customHeight="1">
      <c r="A26" s="978" t="s">
        <v>397</v>
      </c>
      <c r="B26" s="302" t="s">
        <v>754</v>
      </c>
      <c r="C26" s="21">
        <f ca="1">ROUND((C19+C20)*F26,0)</f>
        <v>624416</v>
      </c>
      <c r="D26" s="323" t="s">
        <v>755</v>
      </c>
      <c r="E26" s="313" t="s">
        <v>756</v>
      </c>
      <c r="F26" s="312">
        <f ca="1">INDIRECT("'数据-取费表'!q"&amp;$G$1)</f>
        <v>0.08</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9306946</v>
      </c>
      <c r="D29" s="1088"/>
      <c r="E29" s="1086"/>
      <c r="F29" s="1089"/>
      <c r="G29" s="1392"/>
      <c r="H29" s="334" t="s">
        <v>396</v>
      </c>
      <c r="I29" s="335" t="s">
        <v>768</v>
      </c>
      <c r="J29" s="336">
        <f ca="1">ROUND(J26/(1+F40)^F41,0)</f>
        <v>0</v>
      </c>
      <c r="K29" s="337" t="s">
        <v>769</v>
      </c>
      <c r="L29" s="338"/>
      <c r="M29" s="339">
        <f ca="1">INDIRECT("'数据-取费表'!k"&amp;$G$1)</f>
        <v>2447.34</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215302</v>
      </c>
      <c r="D30" s="1083" t="s">
        <v>715</v>
      </c>
      <c r="E30" s="1084"/>
      <c r="F30" s="1068"/>
      <c r="G30" s="1380"/>
      <c r="H30" s="2693"/>
      <c r="I30" s="1394"/>
      <c r="J30" s="1395"/>
      <c r="K30" s="2471"/>
      <c r="L30" s="2694"/>
      <c r="M30" s="2695"/>
    </row>
    <row r="31" spans="1:37" ht="18" customHeight="1">
      <c r="A31" s="978" t="s">
        <v>398</v>
      </c>
      <c r="B31" s="302" t="s">
        <v>719</v>
      </c>
      <c r="C31" s="2312">
        <f ca="1">ROUND(IF(AND(项目基本情况!B11="自然人",项目基本情况!B10="北京市"),C6*F31/(1+'数据-取费表'!C42),C32+C33+C34),0)</f>
        <v>177807</v>
      </c>
      <c r="D31" s="1341" t="s">
        <v>720</v>
      </c>
      <c r="E31" s="1340"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2" t="s">
        <v>723</v>
      </c>
      <c r="C32" s="21">
        <f ca="1">IF(项目基本情况!B11="自然人","——",ROUND(C6*F32/(1+'数据-取费表'!C42),0))</f>
        <v>53342</v>
      </c>
      <c r="D32" s="1340" t="s">
        <v>724</v>
      </c>
      <c r="E32" s="302" t="s">
        <v>712</v>
      </c>
      <c r="F32" s="331">
        <f>'数据-取费表'!B41</f>
        <v>5.5000000000000007E-2</v>
      </c>
      <c r="G32" s="1380"/>
      <c r="H32" s="2693"/>
      <c r="I32" s="1394"/>
      <c r="J32" s="1395"/>
      <c r="K32" s="2471"/>
      <c r="L32" s="2694"/>
      <c r="M32" s="2695"/>
    </row>
    <row r="33" spans="1:18" ht="18" customHeight="1">
      <c r="A33" s="978" t="s">
        <v>399</v>
      </c>
      <c r="B33" s="302" t="s">
        <v>727</v>
      </c>
      <c r="C33" s="21">
        <f ca="1">IF(项目基本情况!B11="自然人","——",IF(D33="按租金收入计税",ROUND(C6*F33/(1+'数据-取费表'!C42),0),IF(D33="按房产原值计税",ROUND(C29*F33*0.7,0),INDIRECT("'数据-取费表'!Aj"&amp;$G$1))))</f>
        <v>116381</v>
      </c>
      <c r="D33" s="1366" t="s">
        <v>3340</v>
      </c>
      <c r="E33" s="302" t="s">
        <v>712</v>
      </c>
      <c r="F33" s="322">
        <f>IF(D33="按票据","——",IF(D33="按租金收入计税",'数据-取费表'!B51,'数据-取费表'!B50))</f>
        <v>0.12</v>
      </c>
      <c r="G33" s="1380"/>
      <c r="H33" s="2696"/>
      <c r="I33" s="1394"/>
      <c r="J33" s="1395"/>
      <c r="K33" s="2697"/>
      <c r="L33" s="2696"/>
      <c r="M33" s="2696"/>
    </row>
    <row r="34" spans="1:18" ht="18" customHeight="1">
      <c r="A34" s="1065" t="s">
        <v>680</v>
      </c>
      <c r="B34" s="155" t="s">
        <v>730</v>
      </c>
      <c r="C34" s="22">
        <f ca="1">IF(项目基本情况!B11="自然人","——",ROUND(F34*F35,0))</f>
        <v>8084</v>
      </c>
      <c r="D34" s="324" t="s">
        <v>731</v>
      </c>
      <c r="E34" s="302" t="s">
        <v>732</v>
      </c>
      <c r="F34" s="325">
        <f>'数据-取费表'!B52</f>
        <v>1.5</v>
      </c>
      <c r="G34" s="1380"/>
      <c r="H34" s="2693"/>
      <c r="I34" s="1394"/>
      <c r="J34" s="1395"/>
      <c r="K34" s="2698"/>
      <c r="L34" s="2699"/>
      <c r="M34" s="2699"/>
    </row>
    <row r="35" spans="1:18" ht="18" customHeight="1">
      <c r="A35" s="1099"/>
      <c r="B35" s="1097"/>
      <c r="C35" s="26"/>
      <c r="D35" s="327"/>
      <c r="E35" s="302" t="s">
        <v>736</v>
      </c>
      <c r="F35" s="303">
        <f ca="1">INDIRECT("'数据-取费表'!r"&amp;$G$1)</f>
        <v>5389.47</v>
      </c>
      <c r="G35" s="1380"/>
      <c r="H35" s="2693"/>
      <c r="I35" s="1394"/>
      <c r="J35" s="1395"/>
      <c r="K35" s="2697"/>
      <c r="L35" s="2696"/>
      <c r="M35" s="2696"/>
    </row>
    <row r="36" spans="1:18" ht="18" customHeight="1">
      <c r="A36" s="1098" t="s">
        <v>402</v>
      </c>
      <c r="B36" s="302" t="s">
        <v>738</v>
      </c>
      <c r="C36" s="21">
        <f ca="1">ROUND(C29*F36,0)</f>
        <v>27921</v>
      </c>
      <c r="D36" s="1340" t="s">
        <v>771</v>
      </c>
      <c r="E36" s="302" t="s">
        <v>712</v>
      </c>
      <c r="F36" s="328">
        <f ca="1">INDIRECT("'数据-取费表'!Ak"&amp;$G$1)</f>
        <v>3.0000000000000001E-3</v>
      </c>
      <c r="G36" s="1380"/>
      <c r="H36" s="2696"/>
      <c r="I36" s="1394"/>
      <c r="J36" s="1395"/>
      <c r="K36" s="2540"/>
      <c r="L36" s="2696"/>
      <c r="M36" s="2696"/>
    </row>
    <row r="37" spans="1:18" ht="18" customHeight="1">
      <c r="A37" s="978" t="s">
        <v>437</v>
      </c>
      <c r="B37" s="302" t="s">
        <v>742</v>
      </c>
      <c r="C37" s="21">
        <f ca="1">ROUND(C13*F37,0)</f>
        <v>6515</v>
      </c>
      <c r="D37" s="1340" t="s">
        <v>743</v>
      </c>
      <c r="E37" s="302" t="s">
        <v>744</v>
      </c>
      <c r="F37" s="330">
        <f ca="1">INDIRECT("'数据-取费表'!Al"&amp;$G$1)</f>
        <v>1E-3</v>
      </c>
      <c r="G37" s="1380"/>
      <c r="H37" s="2696"/>
      <c r="I37" s="1394"/>
      <c r="J37" s="1395"/>
      <c r="K37" s="2540"/>
      <c r="L37" s="2696"/>
      <c r="M37" s="2696"/>
    </row>
    <row r="38" spans="1:18" ht="18" customHeight="1" thickBot="1">
      <c r="A38" s="1085" t="s">
        <v>684</v>
      </c>
      <c r="B38" s="1086" t="s">
        <v>728</v>
      </c>
      <c r="C38" s="1087">
        <f ca="1">ROUND(C5*F38,0)</f>
        <v>3059</v>
      </c>
      <c r="D38" s="1088" t="s">
        <v>748</v>
      </c>
      <c r="E38" s="1086" t="s">
        <v>744</v>
      </c>
      <c r="F38" s="1082">
        <f ca="1">INDIRECT("'数据-取费表'!Am"&amp;$G$1)</f>
        <v>3.0000000000000001E-3</v>
      </c>
      <c r="G38" s="1380"/>
      <c r="H38" s="2696"/>
      <c r="I38" s="1394"/>
      <c r="J38" s="1395"/>
      <c r="K38" s="2700"/>
      <c r="L38" s="2696"/>
      <c r="M38" s="2696"/>
    </row>
    <row r="39" spans="1:18" ht="24.6" customHeight="1" thickTop="1">
      <c r="A39" s="1075" t="s">
        <v>394</v>
      </c>
      <c r="B39" s="1090" t="s">
        <v>772</v>
      </c>
      <c r="C39" s="310">
        <f ca="1">C5-C30</f>
        <v>804309</v>
      </c>
      <c r="D39" s="1091" t="s">
        <v>773</v>
      </c>
      <c r="E39" s="1092"/>
      <c r="F39" s="1093"/>
      <c r="G39" s="1380"/>
      <c r="H39" s="2696">
        <f ca="1">C39/C6</f>
        <v>0.78982518574382965</v>
      </c>
      <c r="I39" s="1394"/>
      <c r="J39" s="1395"/>
      <c r="K39" s="2700"/>
      <c r="L39" s="2696"/>
      <c r="M39" s="2696"/>
    </row>
    <row r="40" spans="1:18" ht="18" customHeight="1">
      <c r="A40" s="299" t="s">
        <v>395</v>
      </c>
      <c r="B40" s="300" t="s">
        <v>774</v>
      </c>
      <c r="C40" s="301">
        <f ca="1">ROUND(C39*(1-((1+F42)/(1+F40))^F41)/(F40-F42),0)</f>
        <v>13483256</v>
      </c>
      <c r="D40" s="324" t="s">
        <v>758</v>
      </c>
      <c r="E40" s="302" t="s">
        <v>759</v>
      </c>
      <c r="F40" s="312">
        <f ca="1">INDIRECT("'数据-取费表'!I"&amp;$G$1)</f>
        <v>5.5E-2</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24.23</v>
      </c>
      <c r="G41" s="1380"/>
      <c r="H41" s="1187"/>
      <c r="I41" s="1394"/>
      <c r="J41" s="1395"/>
      <c r="K41" s="2540"/>
      <c r="L41" s="1187"/>
      <c r="M41" s="1187"/>
    </row>
    <row r="42" spans="1:18" ht="18" customHeight="1">
      <c r="A42" s="308"/>
      <c r="B42" s="309"/>
      <c r="C42" s="310"/>
      <c r="D42" s="327"/>
      <c r="E42" s="302" t="s">
        <v>766</v>
      </c>
      <c r="F42" s="312">
        <f ca="1">INDIRECT("'数据-取费表'!v"&amp;$G$1)</f>
        <v>2.5000000000000001E-2</v>
      </c>
      <c r="G42" s="1380"/>
      <c r="H42" s="1187"/>
      <c r="I42" s="1394"/>
      <c r="J42" s="1395"/>
      <c r="K42" s="2540"/>
      <c r="L42" s="1187"/>
      <c r="M42" s="1187"/>
    </row>
    <row r="43" spans="1:18" ht="18" customHeight="1" thickBot="1">
      <c r="A43" s="334" t="s">
        <v>396</v>
      </c>
      <c r="B43" s="335" t="s">
        <v>776</v>
      </c>
      <c r="C43" s="336">
        <f ca="1">ROUND(C40/F43,0)</f>
        <v>5509</v>
      </c>
      <c r="D43" s="337" t="s">
        <v>777</v>
      </c>
      <c r="E43" s="338" t="s">
        <v>778</v>
      </c>
      <c r="F43" s="339">
        <f ca="1">INDIRECT("'数据-取费表'!k"&amp;$G$1)</f>
        <v>2447.34</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3356</v>
      </c>
      <c r="B45" s="1396"/>
      <c r="C45" s="1468">
        <f ca="1">ROUND((C68-C40)/10000,4)</f>
        <v>-609.53650000000005</v>
      </c>
      <c r="D45" s="3428" t="s">
        <v>3357</v>
      </c>
      <c r="E45" s="1396"/>
      <c r="F45" s="1396"/>
      <c r="O45" s="1399" t="s">
        <v>808</v>
      </c>
      <c r="P45" s="1457"/>
      <c r="Q45" s="1457"/>
      <c r="R45" s="1457"/>
    </row>
    <row r="46" spans="1:18" s="1380" customFormat="1" ht="13.5" thickBot="1">
      <c r="A46" s="1400" t="s">
        <v>809</v>
      </c>
      <c r="C46" s="1401">
        <f ca="1">ROUND(C45,0)</f>
        <v>-610</v>
      </c>
      <c r="D46" s="1402" t="str">
        <f>C2</f>
        <v>万元</v>
      </c>
      <c r="I46" s="1403" t="s">
        <v>810</v>
      </c>
      <c r="J46" s="1404"/>
      <c r="K46" s="1405"/>
      <c r="L46" s="1406" t="str">
        <f ca="1">IF(M47="住宅",0,IF(L48&gt;J51,L60,J60))</f>
        <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3423</v>
      </c>
      <c r="K47" s="1412" t="s">
        <v>816</v>
      </c>
      <c r="L47" s="1413">
        <f ca="1">INDIRECT("'数据-取费表'!d"&amp;$G$1)</f>
        <v>50</v>
      </c>
      <c r="M47" s="1376" t="str">
        <f>IF(ISNUMBER(FIND("住宅",C1)),"住宅","非住宅")</f>
        <v>非住宅</v>
      </c>
      <c r="O47" s="1414" t="s">
        <v>403</v>
      </c>
      <c r="P47" s="1415" t="s">
        <v>817</v>
      </c>
      <c r="Q47" s="1416">
        <f ca="1">C40+J29</f>
        <v>13483256</v>
      </c>
      <c r="R47" s="1416" t="s">
        <v>818</v>
      </c>
    </row>
    <row r="48" spans="1:18" s="1380" customFormat="1" ht="28.5" thickBot="1">
      <c r="A48" s="1106" t="s">
        <v>438</v>
      </c>
      <c r="B48" s="300" t="s">
        <v>692</v>
      </c>
      <c r="C48" s="1355">
        <f ca="1">C49+C53+C55</f>
        <v>724460</v>
      </c>
      <c r="D48" s="1108"/>
      <c r="E48" s="1109"/>
      <c r="F48" s="958"/>
      <c r="G48" s="722"/>
      <c r="H48" s="723"/>
      <c r="I48" s="1417" t="s">
        <v>819</v>
      </c>
      <c r="J48" s="1418" t="s">
        <v>3424</v>
      </c>
      <c r="K48" s="1419" t="s">
        <v>820</v>
      </c>
      <c r="L48" s="1420">
        <f ca="1">INDIRECT("'数据-取费表'!f"&amp;$G$1)</f>
        <v>24.23</v>
      </c>
      <c r="O48" s="1414" t="s">
        <v>404</v>
      </c>
      <c r="P48" s="1415" t="s">
        <v>821</v>
      </c>
      <c r="Q48" s="1416" t="str">
        <f ca="1">J60</f>
        <v>0</v>
      </c>
      <c r="R48" s="1416" t="s">
        <v>822</v>
      </c>
    </row>
    <row r="49" spans="1:18" s="1380" customFormat="1" ht="13.5" thickBot="1">
      <c r="A49" s="971" t="s">
        <v>439</v>
      </c>
      <c r="B49" s="1367" t="s">
        <v>779</v>
      </c>
      <c r="C49" s="1110">
        <f ca="1">ROUND(F49*F51*F50*(1-F52),0)</f>
        <v>723556</v>
      </c>
      <c r="D49" s="1051" t="s">
        <v>695</v>
      </c>
      <c r="E49" s="1368" t="s">
        <v>780</v>
      </c>
      <c r="F49" s="1056">
        <f>'比较法-工业'!C43</f>
        <v>0.9</v>
      </c>
      <c r="G49" s="1421"/>
      <c r="H49" s="723"/>
      <c r="I49" s="1417" t="s">
        <v>823</v>
      </c>
      <c r="J49" s="1422">
        <f>'数据-取费表'!L18</f>
        <v>1999</v>
      </c>
      <c r="K49" s="1419" t="s">
        <v>824</v>
      </c>
      <c r="L49" s="1423"/>
      <c r="O49" s="1424" t="s">
        <v>405</v>
      </c>
      <c r="P49" s="1415" t="s">
        <v>825</v>
      </c>
      <c r="Q49" s="1416">
        <f ca="1">C29</f>
        <v>9306946</v>
      </c>
      <c r="R49" s="1416" t="s">
        <v>818</v>
      </c>
    </row>
    <row r="50" spans="1:18" s="1380" customFormat="1" ht="13.5" thickBot="1">
      <c r="A50" s="972"/>
      <c r="B50" s="975"/>
      <c r="C50" s="976"/>
      <c r="D50" s="949"/>
      <c r="E50" s="1052" t="s">
        <v>697</v>
      </c>
      <c r="F50" s="1053">
        <f ca="1">F7</f>
        <v>2447.34</v>
      </c>
      <c r="H50" s="723"/>
      <c r="I50" s="1417" t="s">
        <v>826</v>
      </c>
      <c r="J50" s="1425">
        <f>SUMPRODUCT((I63:I65=J47)*(J62:L62=J48)*(J63:L65))</f>
        <v>50</v>
      </c>
      <c r="K50" s="1419" t="s">
        <v>827</v>
      </c>
      <c r="L50" s="1423"/>
      <c r="M50" s="1426"/>
      <c r="O50" s="1424" t="s">
        <v>406</v>
      </c>
      <c r="P50" s="1415" t="s">
        <v>828</v>
      </c>
      <c r="Q50" s="1427" t="e">
        <f ca="1">J58</f>
        <v>#VALUE!</v>
      </c>
      <c r="R50" s="1416"/>
    </row>
    <row r="51" spans="1:18" s="1380" customFormat="1" ht="13.5" thickBot="1">
      <c r="A51" s="973"/>
      <c r="B51" s="975"/>
      <c r="C51" s="976"/>
      <c r="D51" s="949"/>
      <c r="E51" s="977" t="s">
        <v>698</v>
      </c>
      <c r="F51" s="303">
        <f ca="1">F8</f>
        <v>365</v>
      </c>
      <c r="I51" s="1428" t="s">
        <v>829</v>
      </c>
      <c r="J51" s="1429">
        <f>IF(J49="",J50,J49+J50-YEAR('数据-取费表'!B2))</f>
        <v>25</v>
      </c>
      <c r="K51" s="1430" t="s">
        <v>830</v>
      </c>
      <c r="L51" s="1431">
        <f ca="1">ROUND(-PV(INDIRECT("'数据-取费表'!h"&amp;$G$1),J51,(C39-C13*C76),0),0)</f>
        <v>4908479</v>
      </c>
      <c r="M51" s="1432"/>
      <c r="O51" s="1424" t="s">
        <v>407</v>
      </c>
      <c r="P51" s="1415" t="s">
        <v>831</v>
      </c>
      <c r="Q51" s="1427">
        <f>J52</f>
        <v>7.4999999999999997E-2</v>
      </c>
      <c r="R51" s="1416"/>
    </row>
    <row r="52" spans="1:18" s="1380" customFormat="1" ht="13.5" thickBot="1">
      <c r="A52" s="973"/>
      <c r="B52" s="975"/>
      <c r="C52" s="976"/>
      <c r="D52" s="949"/>
      <c r="E52" s="977" t="s">
        <v>699</v>
      </c>
      <c r="F52" s="1050">
        <v>0.1</v>
      </c>
      <c r="I52" s="1433" t="s">
        <v>832</v>
      </c>
      <c r="J52" s="1434">
        <v>7.4999999999999997E-2</v>
      </c>
      <c r="K52" s="1433" t="s">
        <v>833</v>
      </c>
      <c r="L52" s="1434">
        <v>5.5E-2</v>
      </c>
      <c r="O52" s="1424" t="s">
        <v>408</v>
      </c>
      <c r="P52" s="1415" t="s">
        <v>834</v>
      </c>
      <c r="Q52" s="1416">
        <f ca="1">J53</f>
        <v>24.23</v>
      </c>
      <c r="R52" s="1416" t="s">
        <v>835</v>
      </c>
    </row>
    <row r="53" spans="1:18" s="1380" customFormat="1" ht="30.75" customHeight="1" thickBot="1">
      <c r="A53" s="1107" t="s">
        <v>440</v>
      </c>
      <c r="B53" s="323" t="s">
        <v>700</v>
      </c>
      <c r="C53" s="316">
        <f ca="1">ROUND(IF(F53="押一",C49/12*F11,IF(F53="押二",C49/12*2*F11,IF(F53="押三",C49/12*3*F11,C54*F11))),0)</f>
        <v>904</v>
      </c>
      <c r="D53" s="1362" t="s">
        <v>2119</v>
      </c>
      <c r="E53" s="313" t="s">
        <v>701</v>
      </c>
      <c r="F53" s="1112" t="s">
        <v>3425</v>
      </c>
      <c r="I53" s="1435" t="s">
        <v>836</v>
      </c>
      <c r="J53" s="2164">
        <f ca="1">IF(M47="住宅",IF(D1="——",MAX(J51,L48),MAX(J51,L48-'数据-取费表'!B24)),IF(D1="——",MIN(J51,L48),MIN(J51,L48-'数据-取费表'!B24)))</f>
        <v>24.23</v>
      </c>
      <c r="K53" s="3679" t="s">
        <v>837</v>
      </c>
      <c r="L53" s="3680"/>
      <c r="O53" s="1414" t="s">
        <v>409</v>
      </c>
      <c r="P53" s="1415" t="s">
        <v>838</v>
      </c>
      <c r="Q53" s="1416">
        <f ca="1">Q47+Q48</f>
        <v>13483256</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6514862</v>
      </c>
      <c r="D56" s="1443"/>
      <c r="E56" s="1444"/>
      <c r="F56" s="1436"/>
      <c r="I56" s="1445" t="s">
        <v>842</v>
      </c>
      <c r="J56" s="1446" t="s">
        <v>3394</v>
      </c>
      <c r="K56" s="1417" t="s">
        <v>843</v>
      </c>
      <c r="L56" s="1420" t="str">
        <f ca="1">IF(L48&lt;J51,"——",L48-J51)</f>
        <v>——</v>
      </c>
      <c r="O56" s="1414" t="s">
        <v>403</v>
      </c>
      <c r="P56" s="1415" t="s">
        <v>817</v>
      </c>
      <c r="Q56" s="1416">
        <f ca="1">C40+J29</f>
        <v>13483256</v>
      </c>
      <c r="R56" s="1416" t="s">
        <v>818</v>
      </c>
    </row>
    <row r="57" spans="1:18" s="1380" customFormat="1" ht="24.75" thickBot="1">
      <c r="A57" s="1447"/>
      <c r="B57" s="946" t="s">
        <v>767</v>
      </c>
      <c r="C57" s="238">
        <f ca="1">C29</f>
        <v>9306946</v>
      </c>
      <c r="D57" s="1448"/>
      <c r="E57" s="1449"/>
      <c r="F57" s="1450"/>
      <c r="I57" s="1451" t="s">
        <v>844</v>
      </c>
      <c r="J57" s="1452" t="str">
        <f ca="1">IF(OR(M47="住宅",J51&lt;L48,J56="是"),"——",J51-L48)</f>
        <v>——</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165333</v>
      </c>
      <c r="D58" s="956" t="s">
        <v>715</v>
      </c>
      <c r="E58" s="957"/>
      <c r="F58" s="958"/>
      <c r="I58" s="1451" t="s">
        <v>848</v>
      </c>
      <c r="J58" s="1453" t="e">
        <f ca="1">IF(J55&lt;0.4,0.4,J55)</f>
        <v>#VALUE!</v>
      </c>
      <c r="K58" s="1430" t="s">
        <v>895</v>
      </c>
      <c r="L58" s="1420">
        <f ca="1">ROUND(POWER(1+L52,L47-L48)*(POWER(1+L52,L48)-1)/(POWER(1+L52,L47)-1),4)</f>
        <v>0.78039999999999998</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128724</v>
      </c>
      <c r="D59" s="959" t="s">
        <v>720</v>
      </c>
      <c r="E59" s="960" t="s">
        <v>721</v>
      </c>
      <c r="F59" s="2311"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0.79220000000000002</v>
      </c>
      <c r="M59" s="1377">
        <f ca="1">ROUND(POWER(1+L52,L47-(J51+'数据-取费表'!B24))*(POWER(1+L52,(J51+'数据-取费表'!B24))-1)/(POWER(1+L52,L47)-1),4)</f>
        <v>0.79220000000000002</v>
      </c>
      <c r="N59" s="1377">
        <f ca="1">ROUND(POWER(1+L52,L47-(J51+'数据-取费表'!B20))*(POWER(1+L52,(J51+'数据-取费表'!B20))-1)/(POWER(1+L52,L47)-1),4)</f>
        <v>0.80689999999999995</v>
      </c>
      <c r="O59" s="1424" t="s">
        <v>406</v>
      </c>
      <c r="P59" s="1415" t="s">
        <v>852</v>
      </c>
      <c r="Q59" s="1427">
        <f>L52</f>
        <v>5.5E-2</v>
      </c>
      <c r="R59" s="1416"/>
    </row>
    <row r="60" spans="1:18" s="1380" customFormat="1" ht="16.5" thickBot="1">
      <c r="A60" s="978" t="s">
        <v>397</v>
      </c>
      <c r="B60" s="946" t="s">
        <v>723</v>
      </c>
      <c r="C60" s="21">
        <f ca="1">IF(项目基本情况!B11="自然人","——",ROUND(C48*F60/(1+'数据-取费表'!C42),0))</f>
        <v>37948</v>
      </c>
      <c r="D60" s="960" t="s">
        <v>724</v>
      </c>
      <c r="E60" s="946" t="s">
        <v>712</v>
      </c>
      <c r="F60" s="331">
        <f t="shared" ref="F60:F66" si="0">F32</f>
        <v>5.5000000000000007E-2</v>
      </c>
      <c r="I60" s="1454" t="s">
        <v>853</v>
      </c>
      <c r="J60" s="1455" t="str">
        <f ca="1">IF(OR(M47="住宅",J51&lt;L48,J56="是"),"0",ROUND(J59/(1+J52)^J53,0))</f>
        <v>0</v>
      </c>
      <c r="K60" s="1456" t="s">
        <v>854</v>
      </c>
      <c r="L60" s="1455">
        <f ca="1">IF(OR(M47="住宅",L48&lt;J51),0,ROUND(L57*(L58/L59-1),0))</f>
        <v>0</v>
      </c>
      <c r="O60" s="1424" t="s">
        <v>407</v>
      </c>
      <c r="P60" s="1415" t="s">
        <v>855</v>
      </c>
      <c r="Q60" s="1416">
        <f ca="1">L58</f>
        <v>0.78039999999999998</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82692</v>
      </c>
      <c r="D61" s="1366" t="s">
        <v>3340</v>
      </c>
      <c r="E61" s="946" t="s">
        <v>783</v>
      </c>
      <c r="F61" s="322">
        <f t="shared" si="0"/>
        <v>0.12</v>
      </c>
      <c r="I61" s="1457"/>
      <c r="J61" s="1457"/>
      <c r="K61" s="1457"/>
      <c r="L61" s="1457"/>
      <c r="O61" s="1424" t="s">
        <v>408</v>
      </c>
      <c r="P61" s="1415" t="str">
        <f>K59</f>
        <v>建筑物剩余耐用年限下的土地年期修正系数Kn</v>
      </c>
      <c r="Q61" s="1416">
        <f ca="1">L59</f>
        <v>0.79220000000000002</v>
      </c>
      <c r="R61" s="1416" t="s">
        <v>857</v>
      </c>
    </row>
    <row r="62" spans="1:18" s="1380" customFormat="1" ht="13.5" thickBot="1">
      <c r="A62" s="978" t="s">
        <v>784</v>
      </c>
      <c r="B62" s="945" t="s">
        <v>785</v>
      </c>
      <c r="C62" s="22">
        <f ca="1">IF(项目基本情况!B11="自然人","——",ROUND(F62*F63,0))</f>
        <v>8084</v>
      </c>
      <c r="D62" s="961" t="s">
        <v>786</v>
      </c>
      <c r="E62" s="946" t="s">
        <v>787</v>
      </c>
      <c r="F62" s="325">
        <f t="shared" si="0"/>
        <v>1.5</v>
      </c>
      <c r="I62" s="1458" t="s">
        <v>858</v>
      </c>
      <c r="J62" s="1459" t="s">
        <v>859</v>
      </c>
      <c r="K62" s="1459" t="s">
        <v>860</v>
      </c>
      <c r="L62" s="1459" t="s">
        <v>861</v>
      </c>
      <c r="M62" s="1460" t="s">
        <v>862</v>
      </c>
      <c r="O62" s="1414" t="s">
        <v>409</v>
      </c>
      <c r="P62" s="1415" t="s">
        <v>863</v>
      </c>
      <c r="Q62" s="1416">
        <f ca="1">Q56+Q57</f>
        <v>13483256</v>
      </c>
      <c r="R62" s="1416" t="s">
        <v>410</v>
      </c>
    </row>
    <row r="63" spans="1:18" s="1380" customFormat="1" ht="13.5" thickBot="1">
      <c r="A63" s="326"/>
      <c r="B63" s="952"/>
      <c r="C63" s="26"/>
      <c r="D63" s="962"/>
      <c r="E63" s="946" t="s">
        <v>788</v>
      </c>
      <c r="F63" s="303">
        <f t="shared" ca="1" si="0"/>
        <v>5389.47</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27921</v>
      </c>
      <c r="D64" s="960" t="s">
        <v>791</v>
      </c>
      <c r="E64" s="946" t="s">
        <v>783</v>
      </c>
      <c r="F64" s="328">
        <f t="shared" ca="1" si="0"/>
        <v>3.0000000000000001E-3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6515</v>
      </c>
      <c r="D65" s="960" t="s">
        <v>743</v>
      </c>
      <c r="E65" s="946" t="s">
        <v>744</v>
      </c>
      <c r="F65" s="330">
        <f t="shared" ca="1" si="0"/>
        <v>1E-3</v>
      </c>
      <c r="I65" s="1458" t="s">
        <v>867</v>
      </c>
      <c r="J65" s="1459">
        <v>40</v>
      </c>
      <c r="K65" s="1459">
        <v>30</v>
      </c>
      <c r="L65" s="1459">
        <v>50</v>
      </c>
      <c r="M65" s="1461">
        <v>0.02</v>
      </c>
      <c r="O65" s="1414" t="s">
        <v>403</v>
      </c>
      <c r="P65" s="1415" t="s">
        <v>868</v>
      </c>
      <c r="Q65" s="1416">
        <f ca="1">C40+J29</f>
        <v>13483256</v>
      </c>
      <c r="R65" s="1416" t="s">
        <v>818</v>
      </c>
    </row>
    <row r="66" spans="1:18" s="1380" customFormat="1" ht="16.5" thickBot="1">
      <c r="A66" s="978" t="s">
        <v>793</v>
      </c>
      <c r="B66" s="946" t="s">
        <v>728</v>
      </c>
      <c r="C66" s="21">
        <f ca="1">ROUND(C48*F66,0)</f>
        <v>2173</v>
      </c>
      <c r="D66" s="960" t="s">
        <v>794</v>
      </c>
      <c r="E66" s="946" t="s">
        <v>712</v>
      </c>
      <c r="F66" s="312">
        <f t="shared" ca="1" si="0"/>
        <v>3.0000000000000001E-3</v>
      </c>
      <c r="O66" s="1414" t="s">
        <v>404</v>
      </c>
      <c r="P66" s="1415" t="s">
        <v>846</v>
      </c>
      <c r="Q66" s="1416">
        <f ca="1">L60</f>
        <v>0</v>
      </c>
      <c r="R66" s="1416" t="s">
        <v>869</v>
      </c>
    </row>
    <row r="67" spans="1:18" s="1380" customFormat="1" ht="16.5" thickBot="1">
      <c r="A67" s="953" t="s">
        <v>394</v>
      </c>
      <c r="B67" s="963" t="s">
        <v>752</v>
      </c>
      <c r="C67" s="316">
        <f ca="1">C48-C58</f>
        <v>559127</v>
      </c>
      <c r="D67" s="959" t="s">
        <v>753</v>
      </c>
      <c r="E67" s="964"/>
      <c r="F67" s="965"/>
      <c r="O67" s="1424" t="s">
        <v>405</v>
      </c>
      <c r="P67" s="1415" t="s">
        <v>850</v>
      </c>
      <c r="Q67" s="1462">
        <f ca="1">L51</f>
        <v>4908479</v>
      </c>
      <c r="R67" s="1416" t="s">
        <v>870</v>
      </c>
    </row>
    <row r="68" spans="1:18" s="1380" customFormat="1" ht="16.5" thickBot="1">
      <c r="A68" s="943" t="s">
        <v>395</v>
      </c>
      <c r="B68" s="944" t="s">
        <v>774</v>
      </c>
      <c r="C68" s="301">
        <f ca="1">ROUND(C67*(1-((1+F70)/(1+F68))^F69)/(F68-F70),0)</f>
        <v>7387891</v>
      </c>
      <c r="D68" s="961" t="s">
        <v>758</v>
      </c>
      <c r="E68" s="946" t="s">
        <v>759</v>
      </c>
      <c r="F68" s="312">
        <f ca="1">F40</f>
        <v>5.5E-2</v>
      </c>
      <c r="O68" s="1424" t="s">
        <v>406</v>
      </c>
      <c r="P68" s="1463" t="s">
        <v>871</v>
      </c>
      <c r="Q68" s="1416">
        <f ca="1">ROUND(Q69-Q70*Q71,0)</f>
        <v>348269</v>
      </c>
      <c r="R68" s="1416" t="s">
        <v>414</v>
      </c>
    </row>
    <row r="69" spans="1:18" s="1380" customFormat="1" ht="13.5" thickBot="1">
      <c r="A69" s="947"/>
      <c r="B69" s="948"/>
      <c r="C69" s="306"/>
      <c r="D69" s="966" t="s">
        <v>762</v>
      </c>
      <c r="E69" s="946" t="s">
        <v>763</v>
      </c>
      <c r="F69" s="333">
        <f ca="1">F41</f>
        <v>24.23</v>
      </c>
      <c r="O69" s="1424" t="s">
        <v>411</v>
      </c>
      <c r="P69" s="1463" t="s">
        <v>872</v>
      </c>
      <c r="Q69" s="1416">
        <f ca="1">C39</f>
        <v>804309</v>
      </c>
      <c r="R69" s="1416" t="s">
        <v>818</v>
      </c>
    </row>
    <row r="70" spans="1:18" s="1380" customFormat="1" ht="13.5" thickBot="1">
      <c r="A70" s="950"/>
      <c r="B70" s="951"/>
      <c r="C70" s="310"/>
      <c r="D70" s="962"/>
      <c r="E70" s="946" t="s">
        <v>766</v>
      </c>
      <c r="F70" s="1050"/>
      <c r="O70" s="1424" t="s">
        <v>412</v>
      </c>
      <c r="P70" s="1463" t="s">
        <v>873</v>
      </c>
      <c r="Q70" s="1416">
        <f ca="1">C13</f>
        <v>6514862</v>
      </c>
      <c r="R70" s="1416" t="s">
        <v>818</v>
      </c>
    </row>
    <row r="71" spans="1:18" s="1380" customFormat="1" ht="13.5" thickBot="1">
      <c r="A71" s="967" t="s">
        <v>396</v>
      </c>
      <c r="B71" s="968" t="s">
        <v>776</v>
      </c>
      <c r="C71" s="336">
        <f ca="1">ROUND(C68/F71,0)</f>
        <v>3019</v>
      </c>
      <c r="D71" s="969" t="s">
        <v>777</v>
      </c>
      <c r="E71" s="970" t="s">
        <v>778</v>
      </c>
      <c r="F71" s="339">
        <f ca="1">F43</f>
        <v>2447.34</v>
      </c>
      <c r="O71" s="1424" t="s">
        <v>413</v>
      </c>
      <c r="P71" s="1463" t="s">
        <v>874</v>
      </c>
      <c r="Q71" s="1427">
        <f ca="1">C76</f>
        <v>7.0000000000000007E-2</v>
      </c>
      <c r="R71" s="1416"/>
    </row>
    <row r="72" spans="1:18" s="1380" customFormat="1" ht="13.5" thickBot="1">
      <c r="B72" s="726"/>
      <c r="C72" s="726"/>
      <c r="O72" s="1424" t="s">
        <v>407</v>
      </c>
      <c r="P72" s="1415" t="s">
        <v>852</v>
      </c>
      <c r="Q72" s="1427">
        <f>L52</f>
        <v>5.5E-2</v>
      </c>
      <c r="R72" s="1416"/>
    </row>
    <row r="73" spans="1:18" ht="16.5" thickBot="1">
      <c r="A73" s="1380"/>
      <c r="B73" s="726"/>
      <c r="C73" s="726"/>
      <c r="D73" s="1380"/>
      <c r="E73" s="1380"/>
      <c r="F73" s="1380"/>
      <c r="O73" s="1424" t="s">
        <v>408</v>
      </c>
      <c r="P73" s="1415" t="s">
        <v>855</v>
      </c>
      <c r="Q73" s="1416">
        <f ca="1">L58</f>
        <v>0.78039999999999998</v>
      </c>
      <c r="R73" s="1416" t="s">
        <v>856</v>
      </c>
    </row>
    <row r="74" spans="1:18" ht="13.5" thickBot="1">
      <c r="A74" s="1380"/>
      <c r="B74" s="273" t="s">
        <v>875</v>
      </c>
      <c r="C74" s="1465"/>
      <c r="D74" s="1380"/>
      <c r="E74" s="1380"/>
      <c r="F74" s="1380"/>
      <c r="O74" s="1424" t="s">
        <v>415</v>
      </c>
      <c r="P74" s="1415" t="str">
        <f>K59</f>
        <v>建筑物剩余耐用年限下的土地年期修正系数Kn</v>
      </c>
      <c r="Q74" s="1416">
        <f ca="1">L59</f>
        <v>0.79220000000000002</v>
      </c>
      <c r="R74" s="1416" t="s">
        <v>857</v>
      </c>
    </row>
    <row r="75" spans="1:18" ht="13.5" thickBot="1">
      <c r="A75" s="1380"/>
      <c r="B75" s="340" t="s">
        <v>795</v>
      </c>
      <c r="C75" s="341">
        <f ca="1">ROUND(C13*C76,0)</f>
        <v>456040</v>
      </c>
      <c r="D75" s="1380"/>
      <c r="E75" s="1380"/>
      <c r="F75" s="1380"/>
      <c r="K75" s="1398"/>
      <c r="L75" s="1380"/>
      <c r="O75" s="1414" t="s">
        <v>409</v>
      </c>
      <c r="P75" s="1415" t="s">
        <v>838</v>
      </c>
      <c r="Q75" s="1416">
        <f ca="1">Q65+Q66</f>
        <v>13483256</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0.43300000000000005</v>
      </c>
    </row>
    <row r="80" spans="1:18">
      <c r="B80" s="340" t="s">
        <v>800</v>
      </c>
      <c r="C80" s="274">
        <f ca="1">ROUND(C75/C39,3)</f>
        <v>0.56699999999999995</v>
      </c>
    </row>
    <row r="81" spans="2:3">
      <c r="B81" s="270" t="s">
        <v>801</v>
      </c>
      <c r="C81" s="238"/>
    </row>
    <row r="82" spans="2:3">
      <c r="B82" s="273" t="s">
        <v>802</v>
      </c>
      <c r="C82" s="275">
        <f ca="1">1-C83</f>
        <v>0.51700000000000002</v>
      </c>
    </row>
    <row r="83" spans="2:3">
      <c r="B83" s="273" t="s">
        <v>803</v>
      </c>
      <c r="C83" s="274">
        <f ca="1">ROUND(C13/C40,3)</f>
        <v>0.48299999999999998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Q42" sqref="Q42"/>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1926</v>
      </c>
      <c r="B1" s="197"/>
      <c r="C1" s="201" t="s">
        <v>1927</v>
      </c>
      <c r="D1" s="342">
        <f>SUM(D33:D34,D37:D42)</f>
        <v>5389.47</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f>C30</f>
        <v>593</v>
      </c>
      <c r="C2" s="1995" t="s">
        <v>1935</v>
      </c>
      <c r="D2" s="1996" t="s">
        <v>1936</v>
      </c>
      <c r="E2" s="3418" t="s">
        <v>3</v>
      </c>
      <c r="F2" s="1996" t="s">
        <v>1937</v>
      </c>
      <c r="G2" s="1997" t="str">
        <f>IF(E2="商业",项目基本情况!B37,IF(E2="办公",项目基本情况!C37,IF(E2="住宅",项目基本情况!D37,IF(E2="工业",项目基本情况!E37,项目基本情况!F37))))</f>
        <v>八级</v>
      </c>
      <c r="H2" s="1996" t="s">
        <v>1938</v>
      </c>
      <c r="I2" s="1997" t="str">
        <f>IF(E2="商业",项目基本情况!B38,IF(E2="办公",项目基本情况!C38,IF(E2="住宅",项目基本情况!D38,IF(E2="工业",项目基本情况!E38,项目基本情况!F38))))</f>
        <v>Ⅷ-怀1</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1.5418000000000001</v>
      </c>
      <c r="T2" s="3357">
        <f t="shared" ref="T2:T16" si="0">ROUND($C$5*$C$22*$C$23*$C$24*S2*$C$28,0)</f>
        <v>1698</v>
      </c>
      <c r="U2" s="1209"/>
      <c r="V2" s="3357">
        <f>ROUND(T2*U2/10000,0)</f>
        <v>0</v>
      </c>
      <c r="W2" s="1212"/>
      <c r="X2" s="1212"/>
      <c r="Y2" s="1212"/>
      <c r="Z2" s="1212"/>
      <c r="AA2" s="1212"/>
      <c r="AB2" s="1212"/>
      <c r="AC2" s="1213"/>
      <c r="AD2" s="1214"/>
      <c r="AE2" s="1214"/>
      <c r="AF2" s="1214"/>
      <c r="AG2" s="1214"/>
      <c r="AH2" s="1214"/>
      <c r="AI2" s="1214"/>
      <c r="AJ2" s="1215"/>
    </row>
    <row r="3" spans="1:36" ht="15.75">
      <c r="A3" s="203" t="s">
        <v>1940</v>
      </c>
      <c r="B3" s="204">
        <f>ROUND(B2*10000/D1,0)</f>
        <v>1100</v>
      </c>
      <c r="C3" s="1995" t="s">
        <v>1941</v>
      </c>
      <c r="D3" s="1996" t="s">
        <v>1942</v>
      </c>
      <c r="E3" s="3416" t="s">
        <v>2483</v>
      </c>
      <c r="F3" s="2000" t="s">
        <v>3407</v>
      </c>
      <c r="G3" s="748">
        <f>IF(F3="宗地容积率",'数据-汇总表'!I4,IF(F3="估价对象容积率",'数据-汇总表'!I6,'数据-汇总表'!I7))</f>
        <v>1</v>
      </c>
      <c r="H3" s="170" t="s">
        <v>1943</v>
      </c>
      <c r="I3" s="771"/>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1.1883999999999999</v>
      </c>
      <c r="T3" s="3357">
        <f t="shared" si="0"/>
        <v>1309</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691"/>
      <c r="B4" s="3692"/>
      <c r="C4" s="3692"/>
      <c r="D4" s="3693"/>
      <c r="E4" s="3693"/>
      <c r="F4" s="3693"/>
      <c r="G4" s="3693"/>
      <c r="H4" s="3693"/>
      <c r="I4" s="3693"/>
      <c r="J4" s="3694"/>
      <c r="K4" s="1115"/>
      <c r="L4" s="1999" t="s">
        <v>1946</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0.96940000000000004</v>
      </c>
      <c r="T4" s="3357">
        <f t="shared" si="0"/>
        <v>1068</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49">
        <f>ROUND(IF(E2="商业",C6*C7*C17+C20,(IF(E2="住宅",C6*C13*C17+C20,IF(E2="办公",C6*C12*C17+C20,C6+C20)))),0)</f>
        <v>1350</v>
      </c>
      <c r="D5" s="1335">
        <f>ROUND(C6*C17+C20,0)</f>
        <v>1350</v>
      </c>
      <c r="E5" s="1335"/>
      <c r="F5" s="2003"/>
      <c r="G5" s="2004"/>
      <c r="H5" s="2004"/>
      <c r="I5" s="2004"/>
      <c r="J5" s="2005"/>
      <c r="K5" s="2006"/>
      <c r="L5" s="1999" t="s">
        <v>1948</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0.82299999999999995</v>
      </c>
      <c r="T5" s="3357">
        <f t="shared" si="0"/>
        <v>906</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1949</v>
      </c>
      <c r="B6" s="2012" t="s">
        <v>1950</v>
      </c>
      <c r="C6" s="750">
        <f>SUMIF(L1:L12,G2,M1:M12)</f>
        <v>1350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0.74980000000000002</v>
      </c>
      <c r="T6" s="3357">
        <f t="shared" si="0"/>
        <v>826</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3241</v>
      </c>
      <c r="B7" s="2017" t="s">
        <v>1952</v>
      </c>
      <c r="C7" s="751" t="e">
        <f>IF(C8="不临65条商业街",1,ROUND(1+(1.6*E8+1.2*E9+0.8*E10+0.4*E11)*C9,4))</f>
        <v>#DIV/0!</v>
      </c>
      <c r="D7" s="2018" t="s">
        <v>1953</v>
      </c>
      <c r="E7" s="772"/>
      <c r="F7" s="2019"/>
      <c r="G7" s="2020"/>
      <c r="H7" s="2020"/>
      <c r="I7" s="2020"/>
      <c r="J7" s="2021"/>
      <c r="K7" s="1380"/>
      <c r="L7" s="1999" t="s">
        <v>1954</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1955</v>
      </c>
      <c r="X7" s="1210" t="str">
        <f>G2</f>
        <v>八级</v>
      </c>
      <c r="Y7" s="1210" t="s">
        <v>1956</v>
      </c>
      <c r="Z7" s="1211">
        <f>G3</f>
        <v>1</v>
      </c>
      <c r="AA7" s="1212"/>
      <c r="AB7" s="1212"/>
      <c r="AC7" s="1213"/>
      <c r="AD7" s="1214"/>
      <c r="AE7" s="1214"/>
      <c r="AF7" s="1214"/>
      <c r="AG7" s="1214"/>
      <c r="AH7" s="1214"/>
      <c r="AI7" s="1214"/>
      <c r="AJ7" s="1215"/>
    </row>
    <row r="8" spans="1:36" ht="15">
      <c r="A8" s="3295"/>
      <c r="B8" s="170" t="s">
        <v>1957</v>
      </c>
      <c r="C8" s="2022"/>
      <c r="D8" s="752" t="s">
        <v>112</v>
      </c>
      <c r="E8" s="753" t="e">
        <f>ROUND(C11/E7,4)</f>
        <v>#DIV/0!</v>
      </c>
      <c r="F8" s="2023" t="s">
        <v>1958</v>
      </c>
      <c r="G8" s="2024"/>
      <c r="H8" s="2024"/>
      <c r="I8" s="2024"/>
      <c r="J8" s="2025"/>
      <c r="K8" s="1115"/>
      <c r="L8" s="1999" t="s">
        <v>1959</v>
      </c>
      <c r="M8" s="860">
        <f>SUMPRODUCT((区片价!B234:B276=I2)*(区片价!C3:G3=E2)*(区片价!C234:G276))</f>
        <v>1350</v>
      </c>
      <c r="N8" s="862">
        <f>SUMPRODUCT((因素修正幅度!B234:B276=I2)*(因素修正幅度!C3:G3=E2)*(因素修正幅度!C234:G276))</f>
        <v>0.14699999999999999</v>
      </c>
      <c r="O8" s="1115"/>
      <c r="P8" s="1115"/>
      <c r="Q8" s="1115"/>
      <c r="R8" s="1208">
        <v>7</v>
      </c>
      <c r="S8" s="1209"/>
      <c r="T8" s="3357">
        <f t="shared" si="0"/>
        <v>0</v>
      </c>
      <c r="U8" s="1209"/>
      <c r="V8" s="3357">
        <f t="shared" si="1"/>
        <v>0</v>
      </c>
      <c r="W8" s="3688" t="s">
        <v>1960</v>
      </c>
      <c r="X8" s="3689"/>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70" t="s">
        <v>1973</v>
      </c>
      <c r="C9" s="754">
        <f>SUMIF(修正!C71:C138,C8,修正!E71:E138)</f>
        <v>0</v>
      </c>
      <c r="D9" s="171" t="s">
        <v>113</v>
      </c>
      <c r="E9" s="171" t="e">
        <f>ROUND(C11/E7,4)</f>
        <v>#DIV/0!</v>
      </c>
      <c r="F9" s="2023" t="s">
        <v>1974</v>
      </c>
      <c r="G9" s="2024"/>
      <c r="H9" s="2024"/>
      <c r="I9" s="2024"/>
      <c r="J9" s="2025"/>
      <c r="K9" s="1115"/>
      <c r="L9" s="1999" t="s">
        <v>1975</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690"/>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5"/>
      <c r="L10" s="1999"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69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3242</v>
      </c>
      <c r="B12" s="3301" t="s">
        <v>3243</v>
      </c>
      <c r="C12" s="3302">
        <v>1</v>
      </c>
      <c r="D12" s="3303" t="s">
        <v>3244</v>
      </c>
      <c r="E12" s="3304" t="s">
        <v>3245</v>
      </c>
      <c r="F12" s="3305"/>
      <c r="G12" s="3306"/>
      <c r="H12" s="3306"/>
      <c r="I12" s="3306"/>
      <c r="J12" s="3307"/>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3246</v>
      </c>
      <c r="B13" s="2030" t="s">
        <v>1982</v>
      </c>
      <c r="C13" s="751">
        <f>ROUND(C16*D16*E16*F16*G16*H16*I16*J16,4)</f>
        <v>0</v>
      </c>
      <c r="D13" s="2031" t="s">
        <v>1983</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1985</v>
      </c>
      <c r="C14" s="2037" t="s">
        <v>1986</v>
      </c>
      <c r="D14" s="1346" t="s">
        <v>1987</v>
      </c>
      <c r="E14" s="27" t="s">
        <v>1988</v>
      </c>
      <c r="F14" s="3308" t="s">
        <v>3247</v>
      </c>
      <c r="G14" s="3308" t="s">
        <v>3247</v>
      </c>
      <c r="H14" s="3308" t="s">
        <v>3247</v>
      </c>
      <c r="I14" s="3308" t="s">
        <v>3247</v>
      </c>
      <c r="J14" s="3308" t="s">
        <v>3247</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3248</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3252</v>
      </c>
      <c r="E18" s="3325"/>
      <c r="F18" s="3320" t="s">
        <v>3255</v>
      </c>
      <c r="G18" s="3324">
        <f>ROUND(1-(1/(POWER(1+G24,E18))),4)</f>
        <v>0</v>
      </c>
      <c r="H18" s="3320" t="s">
        <v>3257</v>
      </c>
      <c r="I18" s="3324">
        <f>ROUND(1-(1/(POWER(1+G24,J24))),4)</f>
        <v>0.91279999999999994</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3253</v>
      </c>
      <c r="E19" s="3334"/>
      <c r="F19" s="3335" t="s">
        <v>3256</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695" t="s">
        <v>3258</v>
      </c>
      <c r="B20" s="167" t="s">
        <v>1994</v>
      </c>
      <c r="C20" s="3321">
        <f>ROUND(IF(F21="与级别开发程度一致",0,(G21-E21)/C21),0)</f>
        <v>0</v>
      </c>
      <c r="D20" s="3337" t="s">
        <v>1998</v>
      </c>
      <c r="E20" s="3338"/>
      <c r="F20" s="3701" t="s">
        <v>1995</v>
      </c>
      <c r="G20" s="3702"/>
      <c r="H20" s="3322" t="s">
        <v>3409</v>
      </c>
      <c r="I20" s="3322" t="s">
        <v>3410</v>
      </c>
      <c r="J20" s="3323" t="s">
        <v>3411</v>
      </c>
      <c r="K20" s="2043" t="s">
        <v>3412</v>
      </c>
      <c r="L20" s="2043" t="s">
        <v>3413</v>
      </c>
      <c r="M20" s="2043" t="s">
        <v>3414</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696"/>
      <c r="B21" s="2160" t="s">
        <v>1997</v>
      </c>
      <c r="C21" s="2161">
        <f>IF(E3="M4科研用地",SUMPRODUCT((修正!A2:A7=E3)*(修正!B1:M1=G2)*(修正!B2:M7)),SUMPRODUCT((修正!A2:A7=E2)*(修正!B1:M1=G2)*(修正!B2:M7)))</f>
        <v>1</v>
      </c>
      <c r="D21" s="187" t="str">
        <f>IF(OR(G2="八级",G2="九级",G2="十级",G2="十一级",G2="十二级"),"五通一平","七通一平")</f>
        <v>五通一平</v>
      </c>
      <c r="E21" s="2151">
        <f>SUMPRODUCT((修正!B1:M1=G2)*(修正!B17:M17))</f>
        <v>185</v>
      </c>
      <c r="F21" s="2152" t="s">
        <v>3408</v>
      </c>
      <c r="G21" s="2153">
        <f>SUM(H21:O21)</f>
        <v>185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2001</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0" t="s">
        <v>2002</v>
      </c>
      <c r="E23" s="757">
        <v>44197</v>
      </c>
      <c r="F23" s="2050" t="s">
        <v>2003</v>
      </c>
      <c r="G23" s="758">
        <f>'数据-取费表'!B2</f>
        <v>45421</v>
      </c>
      <c r="H23" s="3339" t="s">
        <v>3260</v>
      </c>
      <c r="I23" s="3340" t="str">
        <f>IF(H23="季度增幅（自定义）",SUMIF(N25:N28,E2,O25:O28),"")</f>
        <v/>
      </c>
      <c r="J23" s="3442" t="s">
        <v>3259</v>
      </c>
      <c r="K23" s="1121"/>
      <c r="L23" s="2051" t="s">
        <v>2004</v>
      </c>
      <c r="M23" s="1324">
        <f>ROUND(SUMIF(地价!B2:G2,E2,地价!B16:G16),0)</f>
        <v>318</v>
      </c>
      <c r="N23" s="2052" t="s">
        <v>2005</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2006</v>
      </c>
      <c r="C24" s="760">
        <f>ROUND(POWER(1+G24,J24-I24)*(POWER(1+G24,I24)-1)/(POWER(1+G24,J24)-1),4)</f>
        <v>0.75960000000000005</v>
      </c>
      <c r="D24" s="2056" t="s">
        <v>2007</v>
      </c>
      <c r="E24" s="1331">
        <f>存贷款利率!E24/100</f>
        <v>4.3499999999999997E-2</v>
      </c>
      <c r="F24" s="2056" t="s">
        <v>1999</v>
      </c>
      <c r="G24" s="764">
        <f>SUMIF(M30:Q30,E2,M33:Q33)</f>
        <v>0.05</v>
      </c>
      <c r="H24" s="2056" t="s">
        <v>2008</v>
      </c>
      <c r="I24" s="765">
        <f>SUMIF('数据-取费表'!C6:C15,E2,'数据-取费表'!F6:F15)/COUNTIF('数据-取费表'!C6:C15,E2)</f>
        <v>24.23</v>
      </c>
      <c r="J24" s="766">
        <f>IF(E2="住宅",70,IF(E2="商业",40,50))</f>
        <v>50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3339</v>
      </c>
      <c r="C25" s="767">
        <f>IF(B25="容积率修正",IF(G3&lt;10,D26,J26),C27)</f>
        <v>1</v>
      </c>
      <c r="D25" s="2063"/>
      <c r="E25" s="2063"/>
      <c r="F25" s="2063"/>
      <c r="G25" s="2063"/>
      <c r="H25" s="2063"/>
      <c r="I25" s="2063"/>
      <c r="J25" s="2064"/>
      <c r="K25" s="1121"/>
      <c r="L25" s="2784"/>
      <c r="M25" s="2784"/>
      <c r="N25" s="2065" t="s">
        <v>2013</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2014</v>
      </c>
      <c r="B26" s="2066" t="s">
        <v>2015</v>
      </c>
      <c r="C26" s="3341" t="s">
        <v>3261</v>
      </c>
      <c r="D26" s="1348">
        <f>IF(E26=G26,F26,IF(G3&lt;10,ROUND(F26+(H26-F26)*(G3-E26)/(G26-E26),4),"——"))</f>
        <v>1</v>
      </c>
      <c r="E26" s="748">
        <f>ROUNDDOWN(G3,1)</f>
        <v>1</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1</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3262</v>
      </c>
      <c r="J26" s="768" t="str">
        <f>IF(G3&gt;=10,D115,"——")</f>
        <v>——</v>
      </c>
      <c r="K26" s="1121"/>
      <c r="L26" s="2784"/>
      <c r="M26" s="2784"/>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2017</v>
      </c>
      <c r="B27" s="2067" t="s">
        <v>2018</v>
      </c>
      <c r="C27" s="837">
        <f>ROUND(IF(I3&lt;6,SUMPRODUCT((B106:B110=I3)*(C105:N105=G2)*(C106:N110)),SUMIF(C105:N105,G2,C112:N112)),4)</f>
        <v>0</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2020</v>
      </c>
      <c r="C28" s="756">
        <f>SUMIF(A47:A101,E2,B47:B101)</f>
        <v>0.99990000000000001</v>
      </c>
      <c r="D28" s="2048"/>
      <c r="E28" s="2073"/>
      <c r="F28" s="2073"/>
      <c r="G28" s="2073"/>
      <c r="H28" s="2073"/>
      <c r="I28" s="2073"/>
      <c r="J28" s="2074"/>
      <c r="K28" s="1121"/>
      <c r="L28" s="2784"/>
      <c r="M28" s="2784"/>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2022</v>
      </c>
      <c r="C29" s="761"/>
      <c r="D29" s="2020"/>
      <c r="E29" s="2020"/>
      <c r="F29" s="2077"/>
      <c r="G29" s="2020"/>
      <c r="H29" s="2020"/>
      <c r="I29" s="2020"/>
      <c r="J29" s="2021"/>
      <c r="K29" s="1115"/>
      <c r="L29" s="1993"/>
      <c r="M29" s="1993"/>
      <c r="N29" s="2781" t="s">
        <v>2023</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2024</v>
      </c>
      <c r="C30" s="2317">
        <f>IF(B25="容积率修正",E33+SUM(E37:E42),SUM(V2:V16)+SUM(E37:E42))</f>
        <v>593</v>
      </c>
      <c r="D30" s="2079"/>
      <c r="E30" s="2042"/>
      <c r="F30" s="2080"/>
      <c r="G30" s="2042"/>
      <c r="H30" s="2042"/>
      <c r="I30" s="2042"/>
      <c r="J30" s="2081"/>
      <c r="K30" s="1115"/>
      <c r="L30" s="3347" t="s">
        <v>1936</v>
      </c>
      <c r="M30" s="3348" t="s">
        <v>1990</v>
      </c>
      <c r="N30" s="3348" t="s">
        <v>1991</v>
      </c>
      <c r="O30" s="3348" t="s">
        <v>1992</v>
      </c>
      <c r="P30" s="3348" t="s">
        <v>1993</v>
      </c>
      <c r="Q30" s="3351" t="s">
        <v>3266</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2025</v>
      </c>
      <c r="C31" s="762">
        <f>E34+SUM(I37:I42)</f>
        <v>0</v>
      </c>
      <c r="D31" s="2083"/>
      <c r="E31" s="2084"/>
      <c r="F31" s="2085"/>
      <c r="G31" s="2084"/>
      <c r="H31" s="2084"/>
      <c r="I31" s="2084"/>
      <c r="J31" s="2086"/>
      <c r="K31" s="1115"/>
      <c r="L31" s="3349" t="s">
        <v>1996</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5"/>
      <c r="L32" s="3350" t="s">
        <v>1999</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2030</v>
      </c>
      <c r="C33" s="175">
        <f>ROUND(C5*C22*C23*C24*C25*C28,0)</f>
        <v>1101</v>
      </c>
      <c r="D33" s="2094">
        <f>'数据-汇总表'!D19</f>
        <v>5389.47</v>
      </c>
      <c r="E33" s="769">
        <f>ROUND(C33*D33/10000,0)</f>
        <v>593</v>
      </c>
      <c r="F33" s="3342" t="s">
        <v>3264</v>
      </c>
      <c r="G33" s="2095"/>
      <c r="H33" s="2095"/>
      <c r="I33" s="2095"/>
      <c r="J33" s="2096"/>
      <c r="K33" s="1115"/>
      <c r="L33" s="3345" t="s">
        <v>3267</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2031</v>
      </c>
      <c r="C34" s="187">
        <f>ROUND(IF(E2="工业",C33*M42,IF(B25="楼层修正",SUM(V2:V16)*M41*10000/D34,C33*M41)),0)</f>
        <v>165</v>
      </c>
      <c r="D34" s="2099"/>
      <c r="E34" s="769">
        <f>ROUND(IF(B25="楼层修正",SUM(V2:V16)*M40,C34*D34/10000),0)</f>
        <v>0</v>
      </c>
      <c r="F34" s="2100" t="s">
        <v>2032</v>
      </c>
      <c r="G34" s="2101"/>
      <c r="H34" s="2101"/>
      <c r="I34" s="2101"/>
      <c r="J34" s="2102"/>
      <c r="K34" s="1115"/>
      <c r="L34" s="3345" t="s">
        <v>3268</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43" t="s">
        <v>3265</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3269</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699"/>
      <c r="B37" s="2109" t="s">
        <v>2036</v>
      </c>
      <c r="C37" s="175">
        <f>ROUND(D5*C22*C23*C24*C28*F37,0)</f>
        <v>551</v>
      </c>
      <c r="D37" s="2094"/>
      <c r="E37" s="171">
        <f>ROUND(C37*D37/10000,0)</f>
        <v>0</v>
      </c>
      <c r="F37" s="171">
        <f>SUMIF(修正!A57:A68,G2,修正!B57:B68)</f>
        <v>0.5</v>
      </c>
      <c r="G37" s="171">
        <f>ROUND(IF(E2="工业",C37*$M$42,C37*$M$41),0)</f>
        <v>83</v>
      </c>
      <c r="H37" s="171">
        <f>D37</f>
        <v>0</v>
      </c>
      <c r="I37" s="171">
        <f>ROUND(G37*H37/10000,0)</f>
        <v>0</v>
      </c>
      <c r="J37" s="3008"/>
      <c r="K37" s="3355" t="s">
        <v>3270</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00"/>
      <c r="B38" s="2037" t="s">
        <v>2037</v>
      </c>
      <c r="C38" s="175">
        <f>ROUND(D5*C22*C23*C24*C28*F38,0)</f>
        <v>220</v>
      </c>
      <c r="D38" s="2094"/>
      <c r="E38" s="171">
        <f t="shared" ref="E38:E42" si="4">ROUND(C38*D38/10000,0)</f>
        <v>0</v>
      </c>
      <c r="F38" s="171">
        <f>SUMIF(修正!A57:A68,G2,修正!C57:C68)</f>
        <v>0.2</v>
      </c>
      <c r="G38" s="171">
        <f>ROUND(IF(E2="工业",C38*$M$42,C38*$M$41),0)</f>
        <v>33</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700"/>
      <c r="B39" s="2037" t="s">
        <v>3263</v>
      </c>
      <c r="C39" s="175">
        <f>ROUND(D5*C22*C23*C24*C28*F39,0)</f>
        <v>220</v>
      </c>
      <c r="D39" s="2094"/>
      <c r="E39" s="171">
        <f t="shared" si="4"/>
        <v>0</v>
      </c>
      <c r="F39" s="171">
        <f>SUMIF(修正!A57:A68,G2,修正!D57:D68)</f>
        <v>0.2</v>
      </c>
      <c r="G39" s="171">
        <f>ROUND(IF(E2="工业",C39*$M$42,C39*$M$41),0)</f>
        <v>33</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71">
        <f>ROUND(D5*C22*C23*C24*C28*F40,0)</f>
        <v>220</v>
      </c>
      <c r="D40" s="2094"/>
      <c r="E40" s="171">
        <f t="shared" si="4"/>
        <v>0</v>
      </c>
      <c r="F40" s="175">
        <f>SUMIF(修正!A57:A68,G2,修正!E57:E68)</f>
        <v>0.2</v>
      </c>
      <c r="G40" s="171">
        <f>ROUND(IF(E2="工业",C40*$M$42,C40*$M$41),0)</f>
        <v>33</v>
      </c>
      <c r="H40" s="171">
        <f t="shared" si="5"/>
        <v>0</v>
      </c>
      <c r="I40" s="171">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71">
        <f>ROUND(D5*C22*C23*C44*C28*F41,0)</f>
        <v>0</v>
      </c>
      <c r="D41" s="2094"/>
      <c r="E41" s="171">
        <f t="shared" si="4"/>
        <v>0</v>
      </c>
      <c r="F41" s="175">
        <f>SUMIF(修正!A57:A68,G2,修正!F57:F68)</f>
        <v>0.2</v>
      </c>
      <c r="G41" s="171">
        <f>ROUND(IF(E2="工业",C41*$M$42,C41*$M$41),0)</f>
        <v>0</v>
      </c>
      <c r="H41" s="171">
        <f t="shared" si="5"/>
        <v>0</v>
      </c>
      <c r="I41" s="171">
        <f t="shared" si="6"/>
        <v>0</v>
      </c>
      <c r="J41" s="2110"/>
      <c r="L41" s="3356" t="s">
        <v>3271</v>
      </c>
      <c r="M41" s="2114">
        <v>0.25</v>
      </c>
      <c r="Z41" s="1116"/>
      <c r="AA41" s="1116"/>
      <c r="AB41" s="1116"/>
      <c r="AC41" s="1116"/>
      <c r="AD41" s="1116"/>
      <c r="AE41" s="1116"/>
      <c r="AF41" s="1116"/>
      <c r="AG41" s="1116"/>
      <c r="AH41" s="1116"/>
      <c r="AI41" s="1116"/>
      <c r="AJ41" s="1116"/>
    </row>
    <row r="42" spans="1:37" s="1115" customFormat="1" ht="13.5" thickBot="1">
      <c r="A42" s="2097"/>
      <c r="B42" s="2115" t="s">
        <v>2041</v>
      </c>
      <c r="C42" s="187">
        <f>ROUND(D5*C22*C23*C44*C28*F42,0)</f>
        <v>0</v>
      </c>
      <c r="D42" s="2099"/>
      <c r="E42" s="187">
        <f t="shared" si="4"/>
        <v>0</v>
      </c>
      <c r="F42" s="763">
        <f>SUMIF(修正!A57:A68,G2,修正!G57:G68)</f>
        <v>0.1</v>
      </c>
      <c r="G42" s="187">
        <f>ROUND(IF(E2="工业",C42*$M$42,C42*$M$41),0)</f>
        <v>0</v>
      </c>
      <c r="H42" s="187">
        <f t="shared" si="5"/>
        <v>0</v>
      </c>
      <c r="I42" s="187">
        <f t="shared" si="6"/>
        <v>0</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2122</v>
      </c>
      <c r="C44" s="342">
        <f>ROUND(POWER(1+E44,H44-G44)*(POWER(1+E44,G44)-1)/(POWER(1+E44,H44)-1),4)</f>
        <v>0</v>
      </c>
      <c r="D44" s="171" t="s">
        <v>1999</v>
      </c>
      <c r="E44" s="2149">
        <f>G24</f>
        <v>0.05</v>
      </c>
      <c r="F44" s="171" t="s">
        <v>2008</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2043</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2044</v>
      </c>
      <c r="B49" s="1347" t="s">
        <v>2045</v>
      </c>
      <c r="C49" s="1347" t="s">
        <v>2046</v>
      </c>
      <c r="D49" s="1347" t="s">
        <v>2047</v>
      </c>
      <c r="E49" s="739" t="s">
        <v>2048</v>
      </c>
      <c r="F49" s="2127" t="s">
        <v>2049</v>
      </c>
      <c r="G49" s="1347" t="s">
        <v>310</v>
      </c>
      <c r="H49" s="2128"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8.25">
      <c r="A50" s="2126" t="s">
        <v>2052</v>
      </c>
      <c r="B50" s="2129" t="str">
        <f>估价对象房地状况!C4</f>
        <v>估价对象位于XX商圈，周边商业氛围成熟，人流量大，商业繁华度好</v>
      </c>
      <c r="C50" s="2040"/>
      <c r="D50" s="1061">
        <f t="shared" ref="D50:D58" si="7">SUMIF($J$49:$N$49,C50,J50:N50)</f>
        <v>0</v>
      </c>
      <c r="E50" s="740">
        <f>ROUND(SUM(D50:D58),4)</f>
        <v>0</v>
      </c>
      <c r="F50" s="1810" t="str">
        <f>IF(E2="商业",SUMIF(L1:L12,G2,N1:N12),"——")</f>
        <v>——</v>
      </c>
      <c r="G50" s="1059"/>
      <c r="H50" s="1062" t="str">
        <f t="shared" ref="H50:H58" si="8">IFERROR(ROUNDDOWN($F$50*I50/2,4),"——")</f>
        <v>——</v>
      </c>
      <c r="I50" s="3363">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c r="A51" s="2126" t="s">
        <v>2053</v>
      </c>
      <c r="B51" s="2130" t="str">
        <f>估价对象房地状况!C18</f>
        <v>估价对象周边道路状况、公共交通通达情况、停车便捷程度，综合评价交通便捷度较好</v>
      </c>
      <c r="C51" s="2040"/>
      <c r="D51" s="1061">
        <f t="shared" si="7"/>
        <v>0</v>
      </c>
      <c r="E51" s="741"/>
      <c r="F51" s="1810"/>
      <c r="G51" s="1059"/>
      <c r="H51" s="1062" t="str">
        <f t="shared" si="8"/>
        <v>——</v>
      </c>
      <c r="I51" s="3363">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5" t="s">
        <v>3273</v>
      </c>
      <c r="B52" s="2130">
        <f>估价对象房地状况!C19</f>
        <v>0</v>
      </c>
      <c r="C52" s="2040"/>
      <c r="D52" s="1061">
        <f t="shared" si="7"/>
        <v>0</v>
      </c>
      <c r="E52" s="741"/>
      <c r="F52" s="1810"/>
      <c r="G52" s="1059"/>
      <c r="H52" s="1062" t="str">
        <f t="shared" si="8"/>
        <v>——</v>
      </c>
      <c r="I52" s="3363">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6" t="s">
        <v>2054</v>
      </c>
      <c r="B53" s="2131" t="s">
        <v>2055</v>
      </c>
      <c r="C53" s="2040"/>
      <c r="D53" s="1061">
        <f t="shared" si="7"/>
        <v>0</v>
      </c>
      <c r="E53" s="741"/>
      <c r="F53" s="1810"/>
      <c r="G53" s="1059"/>
      <c r="H53" s="1062" t="str">
        <f t="shared" si="8"/>
        <v>——</v>
      </c>
      <c r="I53" s="3363">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2056</v>
      </c>
      <c r="B54" s="2130">
        <f>估价对象房地状况!C24</f>
        <v>0</v>
      </c>
      <c r="C54" s="2040"/>
      <c r="D54" s="1061">
        <f t="shared" si="7"/>
        <v>0</v>
      </c>
      <c r="E54" s="741"/>
      <c r="F54" s="1810"/>
      <c r="G54" s="1059"/>
      <c r="H54" s="1062" t="str">
        <f t="shared" si="8"/>
        <v>——</v>
      </c>
      <c r="I54" s="3363">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6" t="s">
        <v>2057</v>
      </c>
      <c r="B55" s="2132" t="s">
        <v>2058</v>
      </c>
      <c r="C55" s="2040"/>
      <c r="D55" s="1061">
        <f t="shared" si="7"/>
        <v>0</v>
      </c>
      <c r="E55" s="741"/>
      <c r="F55" s="1810"/>
      <c r="G55" s="1059"/>
      <c r="H55" s="1062" t="str">
        <f t="shared" si="8"/>
        <v>——</v>
      </c>
      <c r="I55" s="3363">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c r="A56" s="2133" t="s">
        <v>2059</v>
      </c>
      <c r="B56" s="1322" t="str">
        <f>估价对象房地状况!C21</f>
        <v>估价对象所在区域公共配套设施齐备情况</v>
      </c>
      <c r="C56" s="2040"/>
      <c r="D56" s="1061">
        <f t="shared" si="7"/>
        <v>0</v>
      </c>
      <c r="E56" s="741"/>
      <c r="F56" s="1810"/>
      <c r="G56" s="1059"/>
      <c r="H56" s="1062" t="str">
        <f t="shared" si="8"/>
        <v>——</v>
      </c>
      <c r="I56" s="3363">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3" t="s">
        <v>2060</v>
      </c>
      <c r="B57" s="2130" t="str">
        <f>估价对象房地状况!C22</f>
        <v>估价对象所在区域基础设施水平</v>
      </c>
      <c r="C57" s="2040"/>
      <c r="D57" s="1061">
        <f t="shared" si="7"/>
        <v>0</v>
      </c>
      <c r="E57" s="741"/>
      <c r="F57" s="1810"/>
      <c r="G57" s="1059"/>
      <c r="H57" s="1062" t="str">
        <f t="shared" si="8"/>
        <v>——</v>
      </c>
      <c r="I57" s="3363">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thickBot="1">
      <c r="A58" s="2134" t="s">
        <v>2061</v>
      </c>
      <c r="B58" s="2135" t="str">
        <f>估价对象房地状况!C20</f>
        <v>区域自然环境：；人文环境；综合评价环境状况一般</v>
      </c>
      <c r="C58" s="2040"/>
      <c r="D58" s="1061">
        <f t="shared" si="7"/>
        <v>0</v>
      </c>
      <c r="E58" s="742"/>
      <c r="F58" s="1810"/>
      <c r="G58" s="1059"/>
      <c r="H58" s="1062" t="str">
        <f t="shared" si="8"/>
        <v>——</v>
      </c>
      <c r="I58" s="3364">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2044</v>
      </c>
      <c r="B60" s="1347"/>
      <c r="C60" s="1347" t="s">
        <v>2046</v>
      </c>
      <c r="D60" s="1347" t="s">
        <v>2047</v>
      </c>
      <c r="E60" s="739" t="s">
        <v>2048</v>
      </c>
      <c r="F60" s="2127" t="s">
        <v>2063</v>
      </c>
      <c r="G60" s="1347" t="s">
        <v>310</v>
      </c>
      <c r="H60" s="2128"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8.25">
      <c r="A61" s="2126" t="s">
        <v>2064</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63">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c r="A62" s="2126" t="s">
        <v>2053</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63">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5" t="s">
        <v>3273</v>
      </c>
      <c r="B63" s="2130">
        <f>估价对象房地状况!C19</f>
        <v>0</v>
      </c>
      <c r="C63" s="2040"/>
      <c r="D63" s="1061">
        <f t="shared" si="12"/>
        <v>0</v>
      </c>
      <c r="E63" s="741"/>
      <c r="F63" s="1810"/>
      <c r="G63" s="1059"/>
      <c r="H63" s="1062" t="str">
        <f t="shared" si="13"/>
        <v>——</v>
      </c>
      <c r="I63" s="3363">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6" t="s">
        <v>2054</v>
      </c>
      <c r="B64" s="2131" t="s">
        <v>2055</v>
      </c>
      <c r="C64" s="2040"/>
      <c r="D64" s="1061">
        <f t="shared" si="12"/>
        <v>0</v>
      </c>
      <c r="E64" s="741"/>
      <c r="F64" s="1810"/>
      <c r="G64" s="1059"/>
      <c r="H64" s="1062" t="str">
        <f t="shared" si="13"/>
        <v>——</v>
      </c>
      <c r="I64" s="3363">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6" t="s">
        <v>2056</v>
      </c>
      <c r="B65" s="2130">
        <f>估价对象房地状况!C24</f>
        <v>0</v>
      </c>
      <c r="C65" s="2040"/>
      <c r="D65" s="1061">
        <f t="shared" si="12"/>
        <v>0</v>
      </c>
      <c r="E65" s="741"/>
      <c r="F65" s="1810"/>
      <c r="G65" s="1059"/>
      <c r="H65" s="1062" t="str">
        <f t="shared" si="13"/>
        <v>——</v>
      </c>
      <c r="I65" s="3363">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6" t="s">
        <v>2057</v>
      </c>
      <c r="B66" s="2132" t="s">
        <v>2058</v>
      </c>
      <c r="C66" s="2040"/>
      <c r="D66" s="1061">
        <f t="shared" si="12"/>
        <v>0</v>
      </c>
      <c r="E66" s="741"/>
      <c r="F66" s="1810"/>
      <c r="G66" s="1059"/>
      <c r="H66" s="1062" t="str">
        <f t="shared" si="13"/>
        <v>——</v>
      </c>
      <c r="I66" s="3363">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c r="A67" s="2126" t="s">
        <v>2059</v>
      </c>
      <c r="B67" s="1322" t="str">
        <f>估价对象房地状况!C21</f>
        <v>估价对象所在区域公共配套设施齐备情况</v>
      </c>
      <c r="C67" s="2040"/>
      <c r="D67" s="1061">
        <f t="shared" si="12"/>
        <v>0</v>
      </c>
      <c r="E67" s="741"/>
      <c r="F67" s="1810"/>
      <c r="G67" s="1059"/>
      <c r="H67" s="1062" t="str">
        <f t="shared" si="13"/>
        <v>——</v>
      </c>
      <c r="I67" s="3363">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6" t="s">
        <v>2060</v>
      </c>
      <c r="B68" s="1322" t="str">
        <f>估价对象房地状况!C22</f>
        <v>估价对象所在区域基础设施水平</v>
      </c>
      <c r="C68" s="2040"/>
      <c r="D68" s="1061">
        <f t="shared" si="12"/>
        <v>0</v>
      </c>
      <c r="E68" s="741"/>
      <c r="F68" s="1810"/>
      <c r="G68" s="1059"/>
      <c r="H68" s="1062" t="str">
        <f t="shared" si="13"/>
        <v>——</v>
      </c>
      <c r="I68" s="3363">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thickBot="1">
      <c r="A69" s="2134" t="s">
        <v>2061</v>
      </c>
      <c r="B69" s="2136" t="str">
        <f>估价对象房地状况!C20</f>
        <v>区域自然环境：；人文环境；综合评价环境状况一般</v>
      </c>
      <c r="C69" s="2040"/>
      <c r="D69" s="1061">
        <f t="shared" si="12"/>
        <v>0</v>
      </c>
      <c r="E69" s="742"/>
      <c r="F69" s="1810"/>
      <c r="G69" s="1059"/>
      <c r="H69" s="1062" t="str">
        <f t="shared" si="13"/>
        <v>——</v>
      </c>
      <c r="I69" s="3364">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2044</v>
      </c>
      <c r="B71" s="1347"/>
      <c r="C71" s="1347" t="s">
        <v>2046</v>
      </c>
      <c r="D71" s="1347" t="s">
        <v>2047</v>
      </c>
      <c r="E71" s="739" t="s">
        <v>2048</v>
      </c>
      <c r="F71" s="2127" t="s">
        <v>2063</v>
      </c>
      <c r="G71" s="1347" t="s">
        <v>310</v>
      </c>
      <c r="H71" s="2128"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1">
      <c r="A72" s="2126" t="s">
        <v>2066</v>
      </c>
      <c r="B72" s="2129" t="str">
        <f>估价对象房地状况!C15</f>
        <v>估价对象周边居住用地比例、居住小区规模和社区发展完善程度，综合评价居住社区成熟度一般</v>
      </c>
      <c r="C72" s="2040"/>
      <c r="D72" s="1061">
        <f t="shared" ref="D72:D80" si="17">SUMIF($J$71:$N$71,C72,J72:N72)</f>
        <v>0</v>
      </c>
      <c r="E72" s="740">
        <f>ROUND(SUM(D72:D80),4)</f>
        <v>0</v>
      </c>
      <c r="F72" s="1810" t="str">
        <f>IF(E2="住宅",SUMIF(L1:L12,G2,N1:N12),"——")</f>
        <v>——</v>
      </c>
      <c r="G72" s="1059"/>
      <c r="H72" s="1062" t="str">
        <f t="shared" ref="H72:H80" si="18">IFERROR(ROUNDDOWN($F$72*I72/2,4),"——")</f>
        <v>——</v>
      </c>
      <c r="I72" s="336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6" t="s">
        <v>2053</v>
      </c>
      <c r="B73" s="2130" t="str">
        <f>估价对象房地状况!C18</f>
        <v>估价对象周边道路状况、公共交通通达情况、停车便捷程度，综合评价交通便捷度较好</v>
      </c>
      <c r="C73" s="2040"/>
      <c r="D73" s="1061">
        <f t="shared" si="17"/>
        <v>0</v>
      </c>
      <c r="E73" s="743"/>
      <c r="F73" s="1810"/>
      <c r="G73" s="1059"/>
      <c r="H73" s="1062" t="str">
        <f t="shared" si="18"/>
        <v>——</v>
      </c>
      <c r="I73" s="336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5" t="s">
        <v>3273</v>
      </c>
      <c r="B74" s="2130">
        <f>估价对象房地状况!C19</f>
        <v>0</v>
      </c>
      <c r="C74" s="2040"/>
      <c r="D74" s="1061">
        <f t="shared" si="17"/>
        <v>0</v>
      </c>
      <c r="E74" s="743"/>
      <c r="F74" s="1810"/>
      <c r="G74" s="1059"/>
      <c r="H74" s="1062" t="str">
        <f t="shared" si="18"/>
        <v>——</v>
      </c>
      <c r="I74" s="3363">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2067</v>
      </c>
      <c r="B75" s="2130">
        <f>估价对象房地状况!C24</f>
        <v>0</v>
      </c>
      <c r="C75" s="2040"/>
      <c r="D75" s="1061">
        <f t="shared" si="17"/>
        <v>0</v>
      </c>
      <c r="E75" s="743"/>
      <c r="F75" s="1810"/>
      <c r="G75" s="1059"/>
      <c r="H75" s="1062" t="str">
        <f t="shared" si="18"/>
        <v>——</v>
      </c>
      <c r="I75" s="3363">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5.5">
      <c r="A76" s="2126" t="s">
        <v>2059</v>
      </c>
      <c r="B76" s="1322" t="str">
        <f>估价对象房地状况!C21</f>
        <v>估价对象所在区域公共配套设施齐备情况</v>
      </c>
      <c r="C76" s="2040"/>
      <c r="D76" s="1061">
        <f t="shared" si="17"/>
        <v>0</v>
      </c>
      <c r="E76" s="743"/>
      <c r="F76" s="1810"/>
      <c r="G76" s="1059"/>
      <c r="H76" s="1062" t="str">
        <f t="shared" si="18"/>
        <v>——</v>
      </c>
      <c r="I76" s="3363">
        <v>0.08</v>
      </c>
      <c r="J76" s="1060">
        <f t="shared" si="19"/>
        <v>0</v>
      </c>
      <c r="K76" s="1060">
        <f t="shared" si="20"/>
        <v>0</v>
      </c>
      <c r="L76" s="1060">
        <v>0</v>
      </c>
      <c r="M76" s="1060">
        <f t="shared" si="21"/>
        <v>0</v>
      </c>
      <c r="N76" s="1060">
        <f t="shared" si="21"/>
        <v>0</v>
      </c>
      <c r="O76" s="1115"/>
      <c r="P76" s="1115"/>
      <c r="Z76" s="1994"/>
      <c r="AA76" s="2049"/>
      <c r="AG76" s="1117"/>
      <c r="AK76" s="2049"/>
    </row>
    <row r="77" spans="1:37" ht="25.5">
      <c r="A77" s="2126" t="s">
        <v>2060</v>
      </c>
      <c r="B77" s="1322" t="str">
        <f>估价对象房地状况!C22</f>
        <v>估价对象所在区域基础设施水平</v>
      </c>
      <c r="C77" s="2040"/>
      <c r="D77" s="1061">
        <f t="shared" si="17"/>
        <v>0</v>
      </c>
      <c r="E77" s="743"/>
      <c r="F77" s="1810"/>
      <c r="G77" s="1059"/>
      <c r="H77" s="1062" t="str">
        <f t="shared" si="18"/>
        <v>——</v>
      </c>
      <c r="I77" s="3363">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2057</v>
      </c>
      <c r="B78" s="2132" t="s">
        <v>2058</v>
      </c>
      <c r="C78" s="2040"/>
      <c r="D78" s="1061">
        <f t="shared" si="17"/>
        <v>0</v>
      </c>
      <c r="E78" s="743"/>
      <c r="F78" s="1810"/>
      <c r="G78" s="1059"/>
      <c r="H78" s="1062" t="str">
        <f t="shared" si="18"/>
        <v>——</v>
      </c>
      <c r="I78" s="3363">
        <v>0.05</v>
      </c>
      <c r="J78" s="1060">
        <f t="shared" si="19"/>
        <v>0</v>
      </c>
      <c r="K78" s="1060">
        <f t="shared" si="20"/>
        <v>0</v>
      </c>
      <c r="L78" s="1060">
        <v>0</v>
      </c>
      <c r="M78" s="1060">
        <f t="shared" si="21"/>
        <v>0</v>
      </c>
      <c r="N78" s="1060">
        <f t="shared" si="21"/>
        <v>0</v>
      </c>
      <c r="O78" s="1993"/>
      <c r="P78" s="1993"/>
      <c r="Z78" s="1994"/>
      <c r="AA78" s="2049"/>
      <c r="AG78" s="1117"/>
      <c r="AK78" s="2049"/>
    </row>
    <row r="79" spans="1:37" ht="25.5">
      <c r="A79" s="2126" t="s">
        <v>2061</v>
      </c>
      <c r="B79" s="2129" t="str">
        <f>估价对象房地状况!C20</f>
        <v>区域自然环境：；人文环境；综合评价环境状况一般</v>
      </c>
      <c r="C79" s="2040"/>
      <c r="D79" s="1061">
        <f t="shared" si="17"/>
        <v>0</v>
      </c>
      <c r="E79" s="743"/>
      <c r="F79" s="1810"/>
      <c r="G79" s="1059"/>
      <c r="H79" s="1062" t="str">
        <f t="shared" si="18"/>
        <v>——</v>
      </c>
      <c r="I79" s="3363">
        <v>0.12</v>
      </c>
      <c r="J79" s="1060">
        <f t="shared" si="19"/>
        <v>0</v>
      </c>
      <c r="K79" s="1060">
        <f t="shared" si="20"/>
        <v>0</v>
      </c>
      <c r="L79" s="1060">
        <v>0</v>
      </c>
      <c r="M79" s="1060">
        <f t="shared" si="21"/>
        <v>0</v>
      </c>
      <c r="N79" s="1060">
        <f t="shared" si="21"/>
        <v>0</v>
      </c>
      <c r="Z79" s="1994"/>
      <c r="AA79" s="2049"/>
      <c r="AG79" s="1117"/>
      <c r="AK79" s="2049"/>
    </row>
    <row r="80" spans="1:37" ht="24.75" thickBot="1">
      <c r="A80" s="2134" t="s">
        <v>2068</v>
      </c>
      <c r="B80" s="2138"/>
      <c r="C80" s="2040"/>
      <c r="D80" s="1061">
        <f t="shared" si="17"/>
        <v>0</v>
      </c>
      <c r="E80" s="744"/>
      <c r="F80" s="1810"/>
      <c r="G80" s="1059"/>
      <c r="H80" s="1062" t="str">
        <f t="shared" si="18"/>
        <v>——</v>
      </c>
      <c r="I80" s="3364">
        <v>0.05</v>
      </c>
      <c r="J80" s="1060">
        <f t="shared" si="19"/>
        <v>0</v>
      </c>
      <c r="K80" s="1060">
        <f t="shared" si="20"/>
        <v>0</v>
      </c>
      <c r="L80" s="1060">
        <v>0</v>
      </c>
      <c r="M80" s="1060">
        <f t="shared" si="21"/>
        <v>0</v>
      </c>
      <c r="N80" s="1060">
        <f t="shared" si="21"/>
        <v>0</v>
      </c>
      <c r="Z80" s="1994"/>
      <c r="AA80" s="2049"/>
      <c r="AG80" s="1117"/>
      <c r="AK80" s="2049"/>
    </row>
    <row r="81" spans="1:37" ht="15">
      <c r="A81" s="2122" t="s">
        <v>2069</v>
      </c>
      <c r="B81" s="2123">
        <f>1+E83</f>
        <v>0.99990000000000001</v>
      </c>
      <c r="C81" s="737"/>
      <c r="D81" s="737"/>
      <c r="E81" s="738"/>
      <c r="F81" s="2125"/>
      <c r="G81" s="3"/>
      <c r="H81" s="3"/>
      <c r="I81" s="3"/>
      <c r="J81" s="4"/>
      <c r="K81" s="4"/>
      <c r="L81" s="4"/>
      <c r="M81" s="4"/>
      <c r="N81" s="4"/>
      <c r="Z81" s="1994"/>
      <c r="AA81" s="2049"/>
      <c r="AG81" s="1117"/>
      <c r="AK81" s="2049"/>
    </row>
    <row r="82" spans="1:37" ht="24.75">
      <c r="A82" s="2126" t="s">
        <v>2044</v>
      </c>
      <c r="B82" s="1347"/>
      <c r="C82" s="1347" t="s">
        <v>2046</v>
      </c>
      <c r="D82" s="1347" t="s">
        <v>2047</v>
      </c>
      <c r="E82" s="739" t="s">
        <v>2048</v>
      </c>
      <c r="F82" s="2127" t="s">
        <v>2063</v>
      </c>
      <c r="G82" s="1347" t="s">
        <v>310</v>
      </c>
      <c r="H82" s="2128" t="s">
        <v>2050</v>
      </c>
      <c r="I82" s="1347" t="s">
        <v>2051</v>
      </c>
      <c r="J82" s="552" t="s">
        <v>1721</v>
      </c>
      <c r="K82" s="552" t="s">
        <v>1722</v>
      </c>
      <c r="L82" s="552" t="s">
        <v>1723</v>
      </c>
      <c r="M82" s="552" t="s">
        <v>1724</v>
      </c>
      <c r="N82" s="552" t="s">
        <v>1725</v>
      </c>
      <c r="Z82" s="1994"/>
      <c r="AA82" s="2049"/>
      <c r="AG82" s="1117"/>
      <c r="AK82" s="2049"/>
    </row>
    <row r="83" spans="1:37" ht="38.25">
      <c r="A83" s="2126" t="s">
        <v>2070</v>
      </c>
      <c r="B83" s="2130" t="str">
        <f>估价对象房地状况!G15</f>
        <v>估价对象位于XX开发区，园区建设成熟度XX，产业集聚程度XX</v>
      </c>
      <c r="C83" s="2040" t="s">
        <v>3415</v>
      </c>
      <c r="D83" s="1061">
        <f t="shared" ref="D83:D90" si="22">SUMIF($J$82:$N$82,C83,J83:N83)</f>
        <v>0</v>
      </c>
      <c r="E83" s="740">
        <f>ROUND(SUM(D83:D90),4)</f>
        <v>-1E-4</v>
      </c>
      <c r="F83" s="1810">
        <f>IF(E2="工业",SUMIF(L1:L12,G2,N1:N12),"——")</f>
        <v>0.14699999999999999</v>
      </c>
      <c r="G83" s="3455">
        <f t="shared" ref="G83:H90" si="23">IFERROR(ROUNDDOWN($F$83*H83/2,4),"——")</f>
        <v>1.4E-3</v>
      </c>
      <c r="H83" s="1062">
        <f t="shared" si="23"/>
        <v>1.9099999999999999E-2</v>
      </c>
      <c r="I83" s="3363">
        <v>0.26</v>
      </c>
      <c r="J83" s="1060">
        <f t="shared" ref="J83:J90" si="24">K83+$G83</f>
        <v>2.8E-3</v>
      </c>
      <c r="K83" s="1060">
        <f t="shared" ref="K83:K90" si="25">$L83+$G83</f>
        <v>1.4E-3</v>
      </c>
      <c r="L83" s="1060">
        <v>0</v>
      </c>
      <c r="M83" s="1060">
        <f t="shared" ref="M83:N90" si="26">L83-$G83</f>
        <v>-1.4E-3</v>
      </c>
      <c r="N83" s="1060">
        <f t="shared" si="26"/>
        <v>-2.8E-3</v>
      </c>
      <c r="Z83" s="1994"/>
      <c r="AA83" s="2049"/>
      <c r="AG83" s="1117"/>
      <c r="AK83" s="2049"/>
    </row>
    <row r="84" spans="1:37" ht="38.25">
      <c r="A84" s="2126" t="s">
        <v>2053</v>
      </c>
      <c r="B84" s="2130" t="str">
        <f>估价对象房地状况!G16</f>
        <v>估价对象周边道路状况、公共交通通达情况、停车便捷程度，综合评价交通便捷度较好</v>
      </c>
      <c r="C84" s="2040" t="s">
        <v>3415</v>
      </c>
      <c r="D84" s="1061">
        <f t="shared" si="22"/>
        <v>0</v>
      </c>
      <c r="E84" s="743"/>
      <c r="F84" s="1810"/>
      <c r="G84" s="3455">
        <f t="shared" si="23"/>
        <v>1.6000000000000001E-3</v>
      </c>
      <c r="H84" s="1062">
        <f t="shared" si="23"/>
        <v>2.1999999999999999E-2</v>
      </c>
      <c r="I84" s="3363">
        <v>0.3</v>
      </c>
      <c r="J84" s="1060">
        <f t="shared" si="24"/>
        <v>3.2000000000000002E-3</v>
      </c>
      <c r="K84" s="1060">
        <f t="shared" si="25"/>
        <v>1.6000000000000001E-3</v>
      </c>
      <c r="L84" s="1060">
        <v>0</v>
      </c>
      <c r="M84" s="1060">
        <f t="shared" si="26"/>
        <v>-1.6000000000000001E-3</v>
      </c>
      <c r="N84" s="1060">
        <f t="shared" si="26"/>
        <v>-3.2000000000000002E-3</v>
      </c>
      <c r="Z84" s="1994"/>
      <c r="AA84" s="2049"/>
      <c r="AG84" s="1117"/>
      <c r="AK84" s="2049"/>
    </row>
    <row r="85" spans="1:37" ht="36">
      <c r="A85" s="3365" t="s">
        <v>3274</v>
      </c>
      <c r="B85" s="2130">
        <f>估价对象房地状况!G17</f>
        <v>0</v>
      </c>
      <c r="C85" s="2040" t="s">
        <v>3415</v>
      </c>
      <c r="D85" s="1061">
        <f t="shared" si="22"/>
        <v>0</v>
      </c>
      <c r="E85" s="743"/>
      <c r="F85" s="1810"/>
      <c r="G85" s="3455">
        <f t="shared" si="23"/>
        <v>5.0000000000000001E-4</v>
      </c>
      <c r="H85" s="1062">
        <f t="shared" si="23"/>
        <v>7.3000000000000001E-3</v>
      </c>
      <c r="I85" s="3363">
        <v>0.1</v>
      </c>
      <c r="J85" s="1060">
        <f t="shared" si="24"/>
        <v>1E-3</v>
      </c>
      <c r="K85" s="1060">
        <f t="shared" si="25"/>
        <v>5.0000000000000001E-4</v>
      </c>
      <c r="L85" s="1060">
        <v>0</v>
      </c>
      <c r="M85" s="1060">
        <f t="shared" si="26"/>
        <v>-5.0000000000000001E-4</v>
      </c>
      <c r="N85" s="1060">
        <f t="shared" si="26"/>
        <v>-1E-3</v>
      </c>
      <c r="Z85" s="1994"/>
      <c r="AA85" s="2049"/>
      <c r="AG85" s="1117"/>
      <c r="AK85" s="2049"/>
    </row>
    <row r="86" spans="1:37" ht="14.25">
      <c r="A86" s="2126" t="s">
        <v>2067</v>
      </c>
      <c r="B86" s="2130">
        <f>估价对象房地状况!G22</f>
        <v>0</v>
      </c>
      <c r="C86" s="2040" t="s">
        <v>3460</v>
      </c>
      <c r="D86" s="1061">
        <f t="shared" si="22"/>
        <v>-4.0000000000000002E-4</v>
      </c>
      <c r="E86" s="743"/>
      <c r="F86" s="1810"/>
      <c r="G86" s="3455">
        <f t="shared" si="23"/>
        <v>2.0000000000000001E-4</v>
      </c>
      <c r="H86" s="1062">
        <f t="shared" si="23"/>
        <v>3.5999999999999999E-3</v>
      </c>
      <c r="I86" s="3363">
        <v>0.05</v>
      </c>
      <c r="J86" s="1060">
        <f t="shared" si="24"/>
        <v>4.0000000000000002E-4</v>
      </c>
      <c r="K86" s="1060">
        <f t="shared" si="25"/>
        <v>2.0000000000000001E-4</v>
      </c>
      <c r="L86" s="1060">
        <v>0</v>
      </c>
      <c r="M86" s="1060">
        <f t="shared" si="26"/>
        <v>-2.0000000000000001E-4</v>
      </c>
      <c r="N86" s="1060">
        <f t="shared" si="26"/>
        <v>-4.0000000000000002E-4</v>
      </c>
      <c r="Z86" s="1994"/>
      <c r="AA86" s="2049"/>
      <c r="AG86" s="1117"/>
      <c r="AK86" s="2049"/>
    </row>
    <row r="87" spans="1:37" ht="25.5">
      <c r="A87" s="2126" t="s">
        <v>2059</v>
      </c>
      <c r="B87" s="1322" t="str">
        <f>估价对象房地状况!G19</f>
        <v>估价对象所在区域公共配套设施齐备情况</v>
      </c>
      <c r="C87" s="2040" t="s">
        <v>3415</v>
      </c>
      <c r="D87" s="1061">
        <f t="shared" si="22"/>
        <v>0</v>
      </c>
      <c r="E87" s="743"/>
      <c r="F87" s="1810"/>
      <c r="G87" s="3455">
        <f t="shared" si="23"/>
        <v>2.9999999999999997E-4</v>
      </c>
      <c r="H87" s="1062">
        <f t="shared" si="23"/>
        <v>4.4000000000000003E-3</v>
      </c>
      <c r="I87" s="3363">
        <v>0.06</v>
      </c>
      <c r="J87" s="1060">
        <f t="shared" si="24"/>
        <v>5.9999999999999995E-4</v>
      </c>
      <c r="K87" s="1060">
        <f t="shared" si="25"/>
        <v>2.9999999999999997E-4</v>
      </c>
      <c r="L87" s="1060">
        <v>0</v>
      </c>
      <c r="M87" s="1060">
        <f t="shared" si="26"/>
        <v>-2.9999999999999997E-4</v>
      </c>
      <c r="N87" s="1060">
        <f t="shared" si="26"/>
        <v>-5.9999999999999995E-4</v>
      </c>
    </row>
    <row r="88" spans="1:37" ht="25.5">
      <c r="A88" s="2126" t="s">
        <v>2060</v>
      </c>
      <c r="B88" s="1322" t="str">
        <f>估价对象房地状况!G20</f>
        <v>估价对象所在区域基础设施水平</v>
      </c>
      <c r="C88" s="2040" t="s">
        <v>3415</v>
      </c>
      <c r="D88" s="1061">
        <f t="shared" si="22"/>
        <v>0</v>
      </c>
      <c r="E88" s="743"/>
      <c r="F88" s="1810"/>
      <c r="G88" s="3455">
        <f t="shared" si="23"/>
        <v>5.9999999999999995E-4</v>
      </c>
      <c r="H88" s="1062">
        <f t="shared" si="23"/>
        <v>8.8000000000000005E-3</v>
      </c>
      <c r="I88" s="3363">
        <v>0.12</v>
      </c>
      <c r="J88" s="1060">
        <f t="shared" si="24"/>
        <v>1.1999999999999999E-3</v>
      </c>
      <c r="K88" s="1060">
        <f t="shared" si="25"/>
        <v>5.9999999999999995E-4</v>
      </c>
      <c r="L88" s="1060">
        <v>0</v>
      </c>
      <c r="M88" s="1060">
        <f t="shared" si="26"/>
        <v>-5.9999999999999995E-4</v>
      </c>
      <c r="N88" s="1060">
        <f t="shared" si="26"/>
        <v>-1.1999999999999999E-3</v>
      </c>
    </row>
    <row r="89" spans="1:37" ht="24">
      <c r="A89" s="2126" t="s">
        <v>2057</v>
      </c>
      <c r="B89" s="2132" t="s">
        <v>2071</v>
      </c>
      <c r="C89" s="2040" t="s">
        <v>3416</v>
      </c>
      <c r="D89" s="1061">
        <f t="shared" si="22"/>
        <v>2.9999999999999997E-4</v>
      </c>
      <c r="E89" s="743"/>
      <c r="F89" s="1810"/>
      <c r="G89" s="3455">
        <f t="shared" si="23"/>
        <v>2.9999999999999997E-4</v>
      </c>
      <c r="H89" s="1062">
        <f t="shared" si="23"/>
        <v>4.4000000000000003E-3</v>
      </c>
      <c r="I89" s="3363">
        <v>0.06</v>
      </c>
      <c r="J89" s="1060">
        <f t="shared" si="24"/>
        <v>5.9999999999999995E-4</v>
      </c>
      <c r="K89" s="1060">
        <f t="shared" si="25"/>
        <v>2.9999999999999997E-4</v>
      </c>
      <c r="L89" s="1060">
        <v>0</v>
      </c>
      <c r="M89" s="1060">
        <f t="shared" si="26"/>
        <v>-2.9999999999999997E-4</v>
      </c>
      <c r="N89" s="1060">
        <f t="shared" si="26"/>
        <v>-5.9999999999999995E-4</v>
      </c>
    </row>
    <row r="90" spans="1:37" ht="39" thickBot="1">
      <c r="A90" s="2134" t="s">
        <v>2072</v>
      </c>
      <c r="B90" s="2139" t="str">
        <f>估价对象房地状况!G18</f>
        <v>该园区内是否有污染型企业，绿化情况，卫生条件，整体环境状况判断</v>
      </c>
      <c r="C90" s="2040" t="s">
        <v>3415</v>
      </c>
      <c r="D90" s="1061">
        <f t="shared" si="22"/>
        <v>0</v>
      </c>
      <c r="E90" s="744"/>
      <c r="F90" s="1810"/>
      <c r="G90" s="3455">
        <f t="shared" si="23"/>
        <v>2.0000000000000001E-4</v>
      </c>
      <c r="H90" s="1062">
        <f t="shared" si="23"/>
        <v>3.5999999999999999E-3</v>
      </c>
      <c r="I90" s="3364">
        <v>0.05</v>
      </c>
      <c r="J90" s="1060">
        <f t="shared" si="24"/>
        <v>4.0000000000000002E-4</v>
      </c>
      <c r="K90" s="1060">
        <f t="shared" si="25"/>
        <v>2.0000000000000001E-4</v>
      </c>
      <c r="L90" s="1060">
        <v>0</v>
      </c>
      <c r="M90" s="1060">
        <f t="shared" si="26"/>
        <v>-2.0000000000000001E-4</v>
      </c>
      <c r="N90" s="1060">
        <f t="shared" si="26"/>
        <v>-4.0000000000000002E-4</v>
      </c>
    </row>
    <row r="91" spans="1:37" ht="15">
      <c r="A91" s="3373" t="s">
        <v>2616</v>
      </c>
      <c r="B91" s="3374">
        <f>1+E93</f>
        <v>1</v>
      </c>
      <c r="C91" s="3367"/>
      <c r="D91" s="3368"/>
      <c r="E91" s="1810"/>
      <c r="F91" s="1810"/>
      <c r="G91" s="3369"/>
      <c r="H91" s="3370"/>
      <c r="I91" s="3371"/>
      <c r="J91" s="3372"/>
      <c r="K91" s="3372"/>
      <c r="L91" s="3372"/>
      <c r="M91" s="3372"/>
      <c r="N91" s="3372"/>
    </row>
    <row r="92" spans="1:37" ht="24.75">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3277</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3273</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3278</v>
      </c>
      <c r="B96" s="3381" t="s">
        <v>3289</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3279</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3280</v>
      </c>
      <c r="B98" s="3382" t="s">
        <v>3290</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3281</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3282</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3283</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97" t="s">
        <v>3298</v>
      </c>
      <c r="B103" s="3697"/>
      <c r="C103" s="3697"/>
      <c r="D103" s="3697"/>
      <c r="E103" s="3697"/>
      <c r="F103" s="3697"/>
      <c r="G103" s="3697"/>
      <c r="H103" s="3697"/>
      <c r="I103" s="3697"/>
      <c r="J103" s="3697"/>
      <c r="K103" s="3386"/>
      <c r="L103" s="3386"/>
      <c r="M103" s="3386"/>
      <c r="N103" s="3386"/>
    </row>
    <row r="104" spans="1:14">
      <c r="A104" s="3698" t="s">
        <v>3299</v>
      </c>
      <c r="B104" s="3698" t="s">
        <v>3300</v>
      </c>
      <c r="C104" s="3387" t="s">
        <v>3301</v>
      </c>
      <c r="D104" s="3388"/>
      <c r="E104" s="3388"/>
      <c r="F104" s="3388"/>
      <c r="G104" s="3388"/>
      <c r="H104" s="3388"/>
      <c r="I104" s="3388"/>
      <c r="J104" s="3389"/>
      <c r="K104" s="3390"/>
      <c r="L104" s="3390"/>
      <c r="M104" s="3390"/>
      <c r="N104" s="3390"/>
    </row>
    <row r="105" spans="1:14">
      <c r="A105" s="3698"/>
      <c r="B105" s="3698"/>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684"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8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8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8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8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85"/>
      <c r="B111" s="3391" t="s">
        <v>3272</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86"/>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87" t="s">
        <v>3315</v>
      </c>
      <c r="B113" s="3687"/>
      <c r="C113" s="3687"/>
      <c r="D113" s="3687"/>
      <c r="E113" s="3687"/>
      <c r="F113" s="3687"/>
      <c r="G113" s="3687"/>
      <c r="H113" s="3687"/>
      <c r="I113" s="3687"/>
      <c r="J113" s="368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3316</v>
      </c>
      <c r="B116" s="3412">
        <f>G3</f>
        <v>1</v>
      </c>
      <c r="C116" s="3396" t="s">
        <v>3317</v>
      </c>
      <c r="D116" s="3397">
        <f>SUMPRODUCT((A118:A122=F116)*(B117:M117=H116)*B118:M122)</f>
        <v>0.57150000000000001</v>
      </c>
      <c r="E116" s="1996" t="s">
        <v>3318</v>
      </c>
      <c r="F116" s="3398" t="str">
        <f>E2</f>
        <v>工业</v>
      </c>
      <c r="G116" s="1996" t="s">
        <v>3319</v>
      </c>
      <c r="H116" s="3398" t="str">
        <f>G2</f>
        <v>八级</v>
      </c>
      <c r="I116" s="1996"/>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3333</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3334</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5" thickBot="1">
      <c r="A121" s="3408" t="s">
        <v>3335</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2616</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7" priority="7" stopIfTrue="1" operator="notEqual">
      <formula>"——"</formula>
    </cfRule>
  </conditionalFormatting>
  <conditionalFormatting sqref="F61">
    <cfRule type="cellIs" dxfId="156" priority="6" stopIfTrue="1" operator="notEqual">
      <formula>"——"</formula>
    </cfRule>
  </conditionalFormatting>
  <conditionalFormatting sqref="F72">
    <cfRule type="cellIs" dxfId="155" priority="5" stopIfTrue="1" operator="notEqual">
      <formula>"——"</formula>
    </cfRule>
  </conditionalFormatting>
  <conditionalFormatting sqref="F83">
    <cfRule type="cellIs" dxfId="154" priority="4" stopIfTrue="1" operator="notEqual">
      <formula>"——"</formula>
    </cfRule>
  </conditionalFormatting>
  <conditionalFormatting sqref="H50:H58 H61:H69 H72:H80 H83:H91">
    <cfRule type="cellIs" dxfId="153" priority="3" operator="notEqual">
      <formula>"——"</formula>
    </cfRule>
  </conditionalFormatting>
  <conditionalFormatting sqref="H93:H101">
    <cfRule type="cellIs" dxfId="152" priority="2" operator="notEqual">
      <formula>"——"</formula>
    </cfRule>
  </conditionalFormatting>
  <conditionalFormatting sqref="G83:G90">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2439</v>
      </c>
      <c r="B1" s="2828"/>
      <c r="C1" s="2840"/>
      <c r="D1" s="2840"/>
      <c r="E1" s="2829"/>
      <c r="F1" s="2830"/>
      <c r="G1" s="2831"/>
      <c r="J1" s="2834" t="s">
        <v>2318</v>
      </c>
      <c r="K1" s="2835"/>
      <c r="L1" s="2835"/>
      <c r="M1" s="2835"/>
      <c r="N1" s="2835"/>
      <c r="O1" s="2835"/>
      <c r="P1" s="2835"/>
      <c r="Q1" s="2835"/>
      <c r="R1" s="2836"/>
      <c r="S1" s="2837"/>
      <c r="T1" s="2837"/>
      <c r="U1" s="2837"/>
    </row>
    <row r="2" spans="1:22" s="2849" customFormat="1" ht="13.15" customHeight="1">
      <c r="A2" s="1381" t="s">
        <v>2319</v>
      </c>
      <c r="B2" s="2839" t="e">
        <f>IF(D2="——",C40,C40+E2)</f>
        <v>#DIV/0!</v>
      </c>
      <c r="C2" s="2840" t="s">
        <v>2320</v>
      </c>
      <c r="D2" s="3439" t="s">
        <v>3363</v>
      </c>
      <c r="E2" s="3440"/>
      <c r="F2" s="2842"/>
      <c r="G2" s="2843"/>
      <c r="H2" s="2844"/>
      <c r="I2" s="2845"/>
      <c r="J2" s="3703" t="s">
        <v>2321</v>
      </c>
      <c r="K2" s="3704"/>
      <c r="L2" s="2846" t="s">
        <v>2322</v>
      </c>
      <c r="M2" s="2846" t="s">
        <v>2323</v>
      </c>
      <c r="N2" s="2846" t="s">
        <v>2324</v>
      </c>
      <c r="O2" s="2846" t="s">
        <v>2325</v>
      </c>
      <c r="P2" s="2846" t="s">
        <v>2326</v>
      </c>
      <c r="Q2" s="2847" t="s">
        <v>2327</v>
      </c>
      <c r="R2" s="2848" t="s">
        <v>2328</v>
      </c>
      <c r="S2" s="2837"/>
      <c r="T2" s="2837"/>
      <c r="U2" s="2837"/>
      <c r="V2" s="2845"/>
    </row>
    <row r="3" spans="1:22" s="2849" customFormat="1" ht="13.15" customHeight="1">
      <c r="A3" s="2850" t="s">
        <v>2329</v>
      </c>
      <c r="B3" s="2851" t="e">
        <f>ROUND(B2*10000/B4,0)</f>
        <v>#DIV/0!</v>
      </c>
      <c r="C3" s="2840" t="s">
        <v>2330</v>
      </c>
      <c r="D3" s="2840"/>
      <c r="E3" s="2841"/>
      <c r="F3" s="2842"/>
      <c r="G3" s="2843"/>
      <c r="H3" s="2844"/>
      <c r="I3" s="2845"/>
      <c r="J3" s="3705" t="s">
        <v>2331</v>
      </c>
      <c r="K3" s="3706"/>
      <c r="L3" s="2852"/>
      <c r="M3" s="2852"/>
      <c r="N3" s="2852"/>
      <c r="O3" s="2852"/>
      <c r="P3" s="2852"/>
      <c r="Q3" s="2853"/>
      <c r="R3" s="2854">
        <f>SUM(L3:Q3)</f>
        <v>0</v>
      </c>
      <c r="S3" s="2837"/>
      <c r="T3" s="2837"/>
      <c r="U3" s="2837"/>
      <c r="V3" s="2845"/>
    </row>
    <row r="4" spans="1:22" s="2849" customFormat="1" ht="13.15" customHeight="1">
      <c r="A4" s="2855" t="s">
        <v>2332</v>
      </c>
      <c r="B4" s="2856"/>
      <c r="C4" s="2840"/>
      <c r="D4" s="2840"/>
      <c r="E4" s="2841"/>
      <c r="F4" s="2842"/>
      <c r="G4" s="2843"/>
      <c r="H4" s="2844"/>
      <c r="I4" s="2845"/>
      <c r="J4" s="3705" t="s">
        <v>2333</v>
      </c>
      <c r="K4" s="3706"/>
      <c r="L4" s="2857"/>
      <c r="M4" s="2857"/>
      <c r="N4" s="2857"/>
      <c r="O4" s="2857"/>
      <c r="P4" s="2857"/>
      <c r="Q4" s="2858"/>
      <c r="R4" s="2859">
        <f>SUM(L4:Q4)</f>
        <v>0</v>
      </c>
      <c r="S4" s="2837"/>
      <c r="T4" s="2837"/>
      <c r="U4" s="2837"/>
      <c r="V4" s="2845"/>
    </row>
    <row r="5" spans="1:22" s="2849" customFormat="1" ht="13.15"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0</v>
      </c>
      <c r="S5" s="2837"/>
      <c r="T5" s="2837" t="s">
        <v>2336</v>
      </c>
      <c r="U5" s="2837" t="e">
        <f>ROUND(R5*10000/365/R3,1)</f>
        <v>#DIV/0!</v>
      </c>
      <c r="V5" s="2845"/>
    </row>
    <row r="6" spans="1:22" s="2849" customFormat="1" ht="13.15" customHeight="1" thickBot="1">
      <c r="A6" s="3707" t="s">
        <v>2337</v>
      </c>
      <c r="B6" s="3708"/>
      <c r="C6" s="3709"/>
      <c r="D6" s="2866"/>
      <c r="E6" s="2867"/>
      <c r="F6" s="2868"/>
      <c r="G6" s="2869"/>
      <c r="H6" s="2844"/>
      <c r="I6" s="2845"/>
      <c r="J6" s="3710">
        <v>1</v>
      </c>
      <c r="K6" s="3711"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15" customHeight="1">
      <c r="A7" s="2872" t="s">
        <v>2347</v>
      </c>
      <c r="B7" s="2873"/>
      <c r="C7" s="2874"/>
      <c r="D7" s="2875">
        <f>SUM(D9,D10,D11,D17,0)</f>
        <v>0</v>
      </c>
      <c r="E7" s="2876" t="e">
        <f>E9+E10+E11+E17</f>
        <v>#DIV/0!</v>
      </c>
      <c r="F7" s="2877"/>
      <c r="G7" s="2878"/>
      <c r="H7" s="2844"/>
      <c r="I7" s="2845"/>
      <c r="J7" s="3710"/>
      <c r="K7" s="3712"/>
      <c r="L7" s="2879" t="s">
        <v>2348</v>
      </c>
      <c r="M7" s="2880"/>
      <c r="N7" s="2856"/>
      <c r="O7" s="2881"/>
      <c r="P7" s="2881"/>
      <c r="Q7" s="2882">
        <v>365</v>
      </c>
      <c r="R7" s="2883">
        <f>ROUND(M7*N7*O7*P7*Q7/10000,0)</f>
        <v>0</v>
      </c>
      <c r="S7" s="2837"/>
      <c r="T7" s="2837" t="s">
        <v>2349</v>
      </c>
      <c r="U7" s="2837"/>
      <c r="V7" s="2845"/>
    </row>
    <row r="8" spans="1:22" s="2849" customFormat="1" ht="13.15" customHeight="1">
      <c r="A8" s="2884" t="s">
        <v>2350</v>
      </c>
      <c r="B8" s="3714" t="s">
        <v>2351</v>
      </c>
      <c r="C8" s="3715"/>
      <c r="D8" s="2885" t="s">
        <v>2352</v>
      </c>
      <c r="E8" s="2886" t="s">
        <v>2353</v>
      </c>
      <c r="F8" s="2887" t="s">
        <v>2354</v>
      </c>
      <c r="G8" s="2888"/>
      <c r="H8" s="2844"/>
      <c r="I8" s="2845"/>
      <c r="J8" s="3710"/>
      <c r="K8" s="3712"/>
      <c r="L8" s="2879" t="s">
        <v>2355</v>
      </c>
      <c r="M8" s="2880"/>
      <c r="N8" s="2856"/>
      <c r="O8" s="2881"/>
      <c r="P8" s="2881"/>
      <c r="Q8" s="2882">
        <v>365</v>
      </c>
      <c r="R8" s="2883">
        <f t="shared" ref="R8:R13" si="0">ROUND(M8*N8*O8*P8*Q8/10000,0)</f>
        <v>0</v>
      </c>
      <c r="S8" s="2837"/>
      <c r="T8" s="2837" t="s">
        <v>2356</v>
      </c>
      <c r="U8" s="2837"/>
      <c r="V8" s="2845"/>
    </row>
    <row r="9" spans="1:22" s="2849" customFormat="1" ht="13.15" customHeight="1">
      <c r="A9" s="2884">
        <v>1</v>
      </c>
      <c r="B9" s="3714" t="s">
        <v>2357</v>
      </c>
      <c r="C9" s="3715"/>
      <c r="D9" s="2885">
        <f>ROUND(D6*E9,0)</f>
        <v>0</v>
      </c>
      <c r="E9" s="2889"/>
      <c r="F9" s="2890" t="s">
        <v>2358</v>
      </c>
      <c r="G9" s="2869"/>
      <c r="H9" s="2844"/>
      <c r="I9" s="2845"/>
      <c r="J9" s="3710"/>
      <c r="K9" s="3712"/>
      <c r="L9" s="2879" t="s">
        <v>2359</v>
      </c>
      <c r="M9" s="2880"/>
      <c r="N9" s="2856"/>
      <c r="O9" s="2881"/>
      <c r="P9" s="2881"/>
      <c r="Q9" s="2882">
        <v>365</v>
      </c>
      <c r="R9" s="2883">
        <f t="shared" si="0"/>
        <v>0</v>
      </c>
      <c r="S9" s="2837"/>
      <c r="T9" s="2837"/>
      <c r="U9" s="2837"/>
      <c r="V9" s="2845"/>
    </row>
    <row r="10" spans="1:22" s="2849" customFormat="1" ht="13.15" customHeight="1">
      <c r="A10" s="2884">
        <v>2</v>
      </c>
      <c r="B10" s="3714" t="s">
        <v>2360</v>
      </c>
      <c r="C10" s="3715"/>
      <c r="D10" s="2885">
        <f>ROUND(D6*E10,0)</f>
        <v>0</v>
      </c>
      <c r="E10" s="2889"/>
      <c r="F10" s="2890" t="s">
        <v>2361</v>
      </c>
      <c r="G10" s="2869"/>
      <c r="H10" s="2844"/>
      <c r="I10" s="2845"/>
      <c r="J10" s="3710"/>
      <c r="K10" s="3712"/>
      <c r="L10" s="2879" t="s">
        <v>2362</v>
      </c>
      <c r="M10" s="2880"/>
      <c r="N10" s="2856"/>
      <c r="O10" s="2881"/>
      <c r="P10" s="2881"/>
      <c r="Q10" s="2882">
        <v>365</v>
      </c>
      <c r="R10" s="2883">
        <f t="shared" si="0"/>
        <v>0</v>
      </c>
      <c r="S10" s="2837"/>
      <c r="T10" s="2837"/>
      <c r="U10" s="2837"/>
      <c r="V10" s="2845"/>
    </row>
    <row r="11" spans="1:22" s="2849" customFormat="1" ht="13.15" customHeight="1">
      <c r="A11" s="2884">
        <v>3</v>
      </c>
      <c r="B11" s="3714" t="s">
        <v>2363</v>
      </c>
      <c r="C11" s="3715"/>
      <c r="D11" s="2885">
        <f>D12+D14+D15+D16</f>
        <v>0</v>
      </c>
      <c r="E11" s="2891" t="e">
        <f>D11/D6</f>
        <v>#DIV/0!</v>
      </c>
      <c r="F11" s="2887"/>
      <c r="G11" s="2888"/>
      <c r="H11" s="2844"/>
      <c r="I11" s="2845"/>
      <c r="J11" s="3710"/>
      <c r="K11" s="3712"/>
      <c r="L11" s="2879" t="s">
        <v>2364</v>
      </c>
      <c r="M11" s="2880"/>
      <c r="N11" s="2856"/>
      <c r="O11" s="2881"/>
      <c r="P11" s="2881"/>
      <c r="Q11" s="2882">
        <v>365</v>
      </c>
      <c r="R11" s="2883">
        <f t="shared" si="0"/>
        <v>0</v>
      </c>
      <c r="S11" s="2837"/>
      <c r="T11" s="2837"/>
      <c r="U11" s="2837"/>
      <c r="V11" s="2845"/>
    </row>
    <row r="12" spans="1:22" s="2849" customFormat="1" ht="13.15" customHeight="1">
      <c r="A12" s="2892" t="s">
        <v>2365</v>
      </c>
      <c r="B12" s="3716" t="s">
        <v>2366</v>
      </c>
      <c r="C12" s="3717"/>
      <c r="D12" s="2893">
        <f>ROUND(D13*1.2%*(1-30%),0)</f>
        <v>0</v>
      </c>
      <c r="E12" s="2894">
        <v>1.2E-2</v>
      </c>
      <c r="F12" s="2887" t="s">
        <v>2367</v>
      </c>
      <c r="G12" s="2888"/>
      <c r="H12" s="2844"/>
      <c r="I12" s="2845"/>
      <c r="J12" s="3710"/>
      <c r="K12" s="3712"/>
      <c r="L12" s="2879" t="s">
        <v>2368</v>
      </c>
      <c r="M12" s="2880"/>
      <c r="N12" s="2856"/>
      <c r="O12" s="2881"/>
      <c r="P12" s="2881"/>
      <c r="Q12" s="2882">
        <v>365</v>
      </c>
      <c r="R12" s="2883">
        <f t="shared" si="0"/>
        <v>0</v>
      </c>
      <c r="S12" s="2837"/>
      <c r="T12" s="2837"/>
      <c r="U12" s="2837"/>
      <c r="V12" s="2845"/>
    </row>
    <row r="13" spans="1:22" s="2849" customFormat="1" ht="13.15" customHeight="1">
      <c r="A13" s="2892"/>
      <c r="B13" s="2895"/>
      <c r="C13" s="2896" t="s">
        <v>2369</v>
      </c>
      <c r="D13" s="2897"/>
      <c r="E13" s="2898"/>
      <c r="F13" s="2887"/>
      <c r="G13" s="2888"/>
      <c r="H13" s="2844"/>
      <c r="I13" s="2845"/>
      <c r="J13" s="3710"/>
      <c r="K13" s="3712"/>
      <c r="L13" s="2879" t="s">
        <v>2370</v>
      </c>
      <c r="M13" s="2880"/>
      <c r="N13" s="2856"/>
      <c r="O13" s="2881"/>
      <c r="P13" s="2881"/>
      <c r="Q13" s="2882">
        <v>365</v>
      </c>
      <c r="R13" s="2883">
        <f t="shared" si="0"/>
        <v>0</v>
      </c>
      <c r="S13" s="2837"/>
      <c r="T13" s="2837"/>
      <c r="U13" s="2837"/>
      <c r="V13" s="2845"/>
    </row>
    <row r="14" spans="1:22" s="2849" customFormat="1" ht="13.15" customHeight="1">
      <c r="A14" s="2892" t="s">
        <v>2371</v>
      </c>
      <c r="B14" s="3716" t="s">
        <v>2372</v>
      </c>
      <c r="C14" s="3717"/>
      <c r="D14" s="2893">
        <f>ROUND(E14*B5/10000,0)</f>
        <v>0</v>
      </c>
      <c r="E14" s="2882"/>
      <c r="F14" s="2887" t="s">
        <v>2373</v>
      </c>
      <c r="G14" s="2888"/>
      <c r="H14" s="2844"/>
      <c r="I14" s="2845"/>
      <c r="J14" s="3710"/>
      <c r="K14" s="3713"/>
      <c r="L14" s="2899" t="s">
        <v>2374</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2375</v>
      </c>
      <c r="B15" s="3716" t="s">
        <v>2376</v>
      </c>
      <c r="C15" s="3717"/>
      <c r="D15" s="2893">
        <f>ROUND(D6*E15,0)</f>
        <v>0</v>
      </c>
      <c r="E15" s="2894">
        <v>5.5E-2</v>
      </c>
      <c r="F15" s="2887" t="s">
        <v>2377</v>
      </c>
      <c r="G15" s="2869"/>
      <c r="H15" s="2844"/>
      <c r="I15" s="2845"/>
      <c r="J15" s="3710">
        <v>2</v>
      </c>
      <c r="K15" s="3711"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15" customHeight="1">
      <c r="A16" s="2892" t="s">
        <v>2384</v>
      </c>
      <c r="B16" s="3716" t="s">
        <v>2385</v>
      </c>
      <c r="C16" s="3717"/>
      <c r="D16" s="2904">
        <f>D6*E16</f>
        <v>0</v>
      </c>
      <c r="E16" s="2905"/>
      <c r="F16" s="2890" t="s">
        <v>2386</v>
      </c>
      <c r="G16" s="2869"/>
      <c r="H16" s="2844"/>
      <c r="I16" s="2845"/>
      <c r="J16" s="3710"/>
      <c r="K16" s="3712"/>
      <c r="L16" s="2879" t="s">
        <v>2387</v>
      </c>
      <c r="M16" s="2880"/>
      <c r="N16" s="2880"/>
      <c r="O16" s="2881"/>
      <c r="P16" s="2882">
        <v>365</v>
      </c>
      <c r="Q16" s="2856"/>
      <c r="R16" s="2903">
        <f>ROUND(M16*N16*O16*P16/10000,0)</f>
        <v>0</v>
      </c>
      <c r="S16" s="2837"/>
      <c r="T16" s="2837"/>
      <c r="U16" s="2837"/>
      <c r="V16" s="2845"/>
    </row>
    <row r="17" spans="1:22" s="2849" customFormat="1" ht="13.15" customHeight="1" thickBot="1">
      <c r="A17" s="2906">
        <v>4</v>
      </c>
      <c r="B17" s="3718" t="s">
        <v>2388</v>
      </c>
      <c r="C17" s="3719"/>
      <c r="D17" s="2907">
        <f>ROUND(D6*E17,0)</f>
        <v>0</v>
      </c>
      <c r="E17" s="2908"/>
      <c r="F17" s="2909" t="s">
        <v>2389</v>
      </c>
      <c r="G17" s="2869"/>
      <c r="H17" s="2844"/>
      <c r="I17" s="2845"/>
      <c r="J17" s="3710"/>
      <c r="K17" s="3712"/>
      <c r="L17" s="2879" t="s">
        <v>2390</v>
      </c>
      <c r="M17" s="2880"/>
      <c r="N17" s="2880"/>
      <c r="O17" s="2881"/>
      <c r="P17" s="2882">
        <v>365</v>
      </c>
      <c r="Q17" s="2856"/>
      <c r="R17" s="2903">
        <f>ROUND(M17*N17*O17*P17/10000,0)</f>
        <v>0</v>
      </c>
      <c r="S17" s="2837"/>
      <c r="T17" s="2837"/>
      <c r="U17" s="2837"/>
      <c r="V17" s="2845"/>
    </row>
    <row r="18" spans="1:22" s="2849" customFormat="1" ht="13.15" customHeight="1" thickBot="1">
      <c r="A18" s="2872" t="s">
        <v>2391</v>
      </c>
      <c r="B18" s="2873"/>
      <c r="C18" s="2873"/>
      <c r="D18" s="2910">
        <f>ROUND(D6*E18,0)</f>
        <v>0</v>
      </c>
      <c r="E18" s="2911"/>
      <c r="F18" s="2912" t="s">
        <v>2392</v>
      </c>
      <c r="G18" s="2869"/>
      <c r="H18" s="2844"/>
      <c r="I18" s="2845"/>
      <c r="J18" s="3710"/>
      <c r="K18" s="3712"/>
      <c r="L18" s="2879" t="s">
        <v>2393</v>
      </c>
      <c r="M18" s="2880"/>
      <c r="N18" s="2880"/>
      <c r="O18" s="2881"/>
      <c r="P18" s="2882">
        <v>365</v>
      </c>
      <c r="Q18" s="2856"/>
      <c r="R18" s="2903">
        <f>ROUND(M18*N18*O18*P18/10000,0)</f>
        <v>0</v>
      </c>
      <c r="S18" s="2837"/>
      <c r="T18" s="2837"/>
      <c r="U18" s="2837"/>
      <c r="V18" s="2845"/>
    </row>
    <row r="19" spans="1:22" s="2849" customFormat="1" ht="13.15" customHeight="1" thickBot="1">
      <c r="A19" s="2913" t="s">
        <v>2394</v>
      </c>
      <c r="B19" s="2867"/>
      <c r="C19" s="2867"/>
      <c r="D19" s="2867"/>
      <c r="E19" s="2867"/>
      <c r="F19" s="2868"/>
      <c r="G19" s="2888"/>
      <c r="H19" s="2844"/>
      <c r="I19" s="2845"/>
      <c r="J19" s="3710"/>
      <c r="K19" s="3713"/>
      <c r="L19" s="2899" t="s">
        <v>2374</v>
      </c>
      <c r="M19" s="2900"/>
      <c r="N19" s="2900">
        <f>SUM(N16:N18)</f>
        <v>0</v>
      </c>
      <c r="O19" s="2901"/>
      <c r="P19" s="2914" t="s">
        <v>2438</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10">
        <v>3</v>
      </c>
      <c r="K20" s="3711"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15" customHeight="1">
      <c r="A21" s="2872"/>
      <c r="B21" s="2873"/>
      <c r="C21" s="2919" t="s">
        <v>2403</v>
      </c>
      <c r="D21" s="2920" t="s">
        <v>2404</v>
      </c>
      <c r="E21" s="2921" t="s">
        <v>2405</v>
      </c>
      <c r="F21" s="2916"/>
      <c r="G21" s="2888"/>
      <c r="H21" s="2844"/>
      <c r="I21" s="2845"/>
      <c r="J21" s="3710"/>
      <c r="K21" s="3712"/>
      <c r="L21" s="2879" t="s">
        <v>2406</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2407</v>
      </c>
      <c r="D22" s="2924" t="s">
        <v>2408</v>
      </c>
      <c r="E22" s="2925" t="s">
        <v>2409</v>
      </c>
      <c r="F22" s="2916"/>
      <c r="G22" s="2926"/>
      <c r="H22" s="2844"/>
      <c r="I22" s="2845"/>
      <c r="J22" s="3710"/>
      <c r="K22" s="3712"/>
      <c r="L22" s="2879" t="s">
        <v>2410</v>
      </c>
      <c r="M22" s="2880"/>
      <c r="N22" s="2880"/>
      <c r="O22" s="2881"/>
      <c r="P22" s="2882">
        <v>365</v>
      </c>
      <c r="Q22" s="2856"/>
      <c r="R22" s="2922">
        <f>ROUND(M22*N22*O22*P22/10000,0)</f>
        <v>0</v>
      </c>
      <c r="S22" s="2918"/>
      <c r="T22" s="2918"/>
      <c r="U22" s="2918"/>
      <c r="V22" s="2845"/>
    </row>
    <row r="23" spans="1:22" s="2849" customFormat="1" ht="13.15" customHeight="1">
      <c r="A23" s="2927">
        <v>1</v>
      </c>
      <c r="B23" s="2928" t="s">
        <v>2411</v>
      </c>
      <c r="C23" s="2929">
        <f>D6</f>
        <v>0</v>
      </c>
      <c r="D23" s="2930">
        <f>C23*(1+D24)</f>
        <v>0</v>
      </c>
      <c r="E23" s="2931">
        <f>D23*(1+E24)</f>
        <v>0</v>
      </c>
      <c r="F23" s="2932"/>
      <c r="G23" s="2933"/>
      <c r="H23" s="2844"/>
      <c r="I23" s="2845"/>
      <c r="J23" s="3710"/>
      <c r="K23" s="3712"/>
      <c r="L23" s="2879" t="s">
        <v>2412</v>
      </c>
      <c r="M23" s="2880"/>
      <c r="N23" s="2880"/>
      <c r="O23" s="2881"/>
      <c r="P23" s="2882">
        <v>365</v>
      </c>
      <c r="Q23" s="2856"/>
      <c r="R23" s="2922">
        <f>ROUND(M23*N23*O23*P23/10000,0)</f>
        <v>0</v>
      </c>
      <c r="S23" s="2837"/>
      <c r="T23" s="2837"/>
      <c r="U23" s="2837"/>
      <c r="V23" s="2845"/>
    </row>
    <row r="24" spans="1:22" s="2849" customFormat="1" ht="13.15" customHeight="1">
      <c r="A24" s="2934"/>
      <c r="B24" s="2935" t="s">
        <v>2413</v>
      </c>
      <c r="C24" s="2936"/>
      <c r="D24" s="2937"/>
      <c r="E24" s="2938"/>
      <c r="F24" s="2939"/>
      <c r="G24" s="2933"/>
      <c r="H24" s="2844"/>
      <c r="I24" s="2845"/>
      <c r="J24" s="3710"/>
      <c r="K24" s="3713"/>
      <c r="L24" s="2899" t="s">
        <v>2374</v>
      </c>
      <c r="M24" s="2900">
        <f>SUM(M21:M23)</f>
        <v>0</v>
      </c>
      <c r="N24" s="2900"/>
      <c r="O24" s="2901"/>
      <c r="P24" s="2914" t="s">
        <v>2438</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15" customHeight="1">
      <c r="A26" s="2927">
        <v>2</v>
      </c>
      <c r="B26" s="2928" t="s">
        <v>2415</v>
      </c>
      <c r="C26" s="2929">
        <f>D7</f>
        <v>0</v>
      </c>
      <c r="D26" s="2930">
        <f>D23*D27</f>
        <v>0</v>
      </c>
      <c r="E26" s="2931">
        <f>E23*E27</f>
        <v>0</v>
      </c>
      <c r="F26" s="2932"/>
      <c r="G26" s="2933"/>
      <c r="H26" s="2844"/>
      <c r="I26" s="2845"/>
      <c r="J26" s="3720">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15" customHeight="1">
      <c r="A27" s="2934"/>
      <c r="B27" s="2935" t="s">
        <v>2421</v>
      </c>
      <c r="C27" s="2953" t="e">
        <f>E7</f>
        <v>#DIV/0!</v>
      </c>
      <c r="D27" s="2937"/>
      <c r="E27" s="2938"/>
      <c r="F27" s="2939"/>
      <c r="G27" s="2933"/>
      <c r="H27" s="2954"/>
      <c r="I27" s="2945"/>
      <c r="J27" s="3721"/>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15" customHeight="1">
      <c r="A29" s="2927">
        <v>3</v>
      </c>
      <c r="B29" s="2928" t="s">
        <v>2427</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2421</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15" customHeight="1">
      <c r="A32" s="2927">
        <v>4</v>
      </c>
      <c r="B32" s="2928" t="s">
        <v>2429</v>
      </c>
      <c r="C32" s="2929">
        <f>C23-C26-C29</f>
        <v>0</v>
      </c>
      <c r="D32" s="2930">
        <f>D23-D26-D29</f>
        <v>0</v>
      </c>
      <c r="E32" s="2931">
        <f>E23-E26-E29</f>
        <v>0</v>
      </c>
      <c r="F32" s="2932"/>
      <c r="G32" s="2926"/>
      <c r="H32" s="2844"/>
      <c r="I32" s="2845"/>
      <c r="J32" s="3703" t="s">
        <v>2321</v>
      </c>
      <c r="K32" s="3704"/>
      <c r="L32" s="2846" t="s">
        <v>2322</v>
      </c>
      <c r="M32" s="2846" t="s">
        <v>2323</v>
      </c>
      <c r="N32" s="2846" t="s">
        <v>2324</v>
      </c>
      <c r="O32" s="2846" t="s">
        <v>2325</v>
      </c>
      <c r="P32" s="2846" t="s">
        <v>2326</v>
      </c>
      <c r="Q32" s="2847" t="s">
        <v>2327</v>
      </c>
      <c r="R32" s="2969" t="s">
        <v>2328</v>
      </c>
      <c r="S32" s="2918"/>
      <c r="T32" s="2837"/>
      <c r="U32" s="2837"/>
      <c r="V32" s="2945"/>
    </row>
    <row r="33" spans="1:23" s="2849" customFormat="1" ht="13.15" customHeight="1">
      <c r="A33" s="2927"/>
      <c r="B33" s="2928"/>
      <c r="C33" s="2929"/>
      <c r="D33" s="2970"/>
      <c r="E33" s="2971"/>
      <c r="F33" s="2932"/>
      <c r="G33" s="2926"/>
      <c r="H33" s="2954"/>
      <c r="I33" s="2945"/>
      <c r="J33" s="3705" t="s">
        <v>2331</v>
      </c>
      <c r="K33" s="3706"/>
      <c r="L33" s="2852"/>
      <c r="M33" s="2852"/>
      <c r="N33" s="2852"/>
      <c r="O33" s="2852"/>
      <c r="P33" s="2852"/>
      <c r="Q33" s="2853"/>
      <c r="R33" s="2972">
        <f>SUM(L33:Q33)</f>
        <v>0</v>
      </c>
      <c r="S33" s="2918"/>
      <c r="T33" s="2837"/>
      <c r="U33" s="2837"/>
      <c r="V33" s="2845"/>
    </row>
    <row r="34" spans="1:23" s="2849" customFormat="1" ht="13.15" customHeight="1">
      <c r="A34" s="2927">
        <v>5</v>
      </c>
      <c r="B34" s="2928" t="s">
        <v>2430</v>
      </c>
      <c r="C34" s="2973"/>
      <c r="D34" s="2974"/>
      <c r="E34" s="2975"/>
      <c r="F34" s="2932"/>
      <c r="G34" s="2926"/>
      <c r="H34" s="2954"/>
      <c r="I34" s="2945"/>
      <c r="J34" s="3705" t="s">
        <v>2333</v>
      </c>
      <c r="K34" s="3706"/>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2431</v>
      </c>
      <c r="C35" s="2977"/>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15" customHeight="1" thickBot="1">
      <c r="A36" s="2927">
        <v>7</v>
      </c>
      <c r="B36" s="2982" t="s">
        <v>2432</v>
      </c>
      <c r="C36" s="2983"/>
      <c r="D36" s="2984"/>
      <c r="E36" s="2985"/>
      <c r="F36" s="2986">
        <f>C36+D36+E36</f>
        <v>0</v>
      </c>
      <c r="G36" s="2926"/>
      <c r="H36" s="2844"/>
      <c r="I36" s="2845"/>
      <c r="J36" s="3710">
        <v>1</v>
      </c>
      <c r="K36" s="3711" t="s">
        <v>2433</v>
      </c>
      <c r="L36" s="2870"/>
      <c r="M36" s="2871"/>
      <c r="N36" s="2871"/>
      <c r="O36" s="2871"/>
      <c r="P36" s="2871"/>
      <c r="Q36" s="2871"/>
      <c r="R36" s="2854" t="s">
        <v>2345</v>
      </c>
      <c r="S36" s="2918"/>
      <c r="T36" s="2837" t="s">
        <v>2346</v>
      </c>
      <c r="U36" s="2837"/>
      <c r="V36" s="2845"/>
    </row>
    <row r="37" spans="1:23" s="2849" customFormat="1" ht="13.15" customHeight="1">
      <c r="A37" s="2927"/>
      <c r="B37" s="2928"/>
      <c r="C37" s="2928"/>
      <c r="D37" s="2928"/>
      <c r="E37" s="2928"/>
      <c r="F37" s="2932"/>
      <c r="G37" s="2926"/>
      <c r="H37" s="2844"/>
      <c r="I37" s="2845"/>
      <c r="J37" s="3710"/>
      <c r="K37" s="3712"/>
      <c r="L37" s="2879"/>
      <c r="M37" s="2880"/>
      <c r="N37" s="2856"/>
      <c r="O37" s="2881"/>
      <c r="P37" s="2881"/>
      <c r="Q37" s="2882"/>
      <c r="R37" s="2883"/>
      <c r="S37" s="2918"/>
      <c r="T37" s="2837" t="s">
        <v>2349</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10"/>
      <c r="K38" s="3712"/>
      <c r="L38" s="2879"/>
      <c r="M38" s="2880"/>
      <c r="N38" s="2856"/>
      <c r="O38" s="2881"/>
      <c r="P38" s="2881"/>
      <c r="Q38" s="2882"/>
      <c r="R38" s="2883"/>
      <c r="S38" s="2918"/>
      <c r="T38" s="2837" t="s">
        <v>2356</v>
      </c>
      <c r="U38" s="2837"/>
      <c r="V38" s="2845"/>
    </row>
    <row r="39" spans="1:23" s="2849" customFormat="1" ht="13.15" customHeight="1">
      <c r="A39" s="2927">
        <v>9</v>
      </c>
      <c r="B39" s="2928" t="s">
        <v>2434</v>
      </c>
      <c r="C39" s="2893" t="e">
        <f>C38</f>
        <v>#DIV/0!</v>
      </c>
      <c r="D39" s="2928">
        <f>D38/(1+D34)^C36</f>
        <v>0</v>
      </c>
      <c r="E39" s="2928">
        <f>E38/(1+E34)^(C36+D36)</f>
        <v>0</v>
      </c>
      <c r="F39" s="2932"/>
      <c r="G39" s="2987"/>
      <c r="H39" s="2844"/>
      <c r="I39" s="2845"/>
      <c r="J39" s="3710"/>
      <c r="K39" s="3712"/>
      <c r="L39" s="2879"/>
      <c r="M39" s="2880"/>
      <c r="N39" s="2856"/>
      <c r="O39" s="2881"/>
      <c r="P39" s="2881"/>
      <c r="Q39" s="2882"/>
      <c r="R39" s="2883"/>
      <c r="S39" s="2918"/>
      <c r="T39" s="2837"/>
      <c r="U39" s="2837"/>
      <c r="V39" s="2845"/>
    </row>
    <row r="40" spans="1:23" s="2849" customFormat="1" ht="13.15" customHeight="1">
      <c r="A40" s="2988">
        <v>10</v>
      </c>
      <c r="B40" s="2928" t="s">
        <v>2435</v>
      </c>
      <c r="C40" s="2989" t="e">
        <f>C39+D39+E39</f>
        <v>#DIV/0!</v>
      </c>
      <c r="D40" s="2990"/>
      <c r="E40" s="2990"/>
      <c r="F40" s="2991"/>
      <c r="G40" s="2926"/>
      <c r="H40" s="2844"/>
      <c r="I40" s="2845"/>
      <c r="J40" s="3710"/>
      <c r="K40" s="3713"/>
      <c r="L40" s="2899" t="s">
        <v>2374</v>
      </c>
      <c r="M40" s="2900"/>
      <c r="N40" s="2900"/>
      <c r="O40" s="2901"/>
      <c r="P40" s="2901"/>
      <c r="Q40" s="2902"/>
      <c r="R40" s="2848">
        <f>SUM(R37:R39)</f>
        <v>0</v>
      </c>
      <c r="S40" s="2918"/>
      <c r="T40" s="2837"/>
      <c r="U40" s="2837"/>
      <c r="V40" s="2845"/>
    </row>
    <row r="41" spans="1:23" s="2849" customFormat="1" ht="13.15" customHeight="1" thickBot="1">
      <c r="A41" s="2992">
        <v>11</v>
      </c>
      <c r="B41" s="2993" t="s">
        <v>2436</v>
      </c>
      <c r="C41" s="2993" t="e">
        <f>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15" customHeight="1">
      <c r="G42" s="2996"/>
      <c r="H42" s="2844"/>
      <c r="I42" s="2845"/>
      <c r="J42" s="3720">
        <v>3</v>
      </c>
      <c r="K42" s="2947" t="s">
        <v>2416</v>
      </c>
      <c r="L42" s="2948"/>
      <c r="M42" s="2949"/>
      <c r="N42" s="2950" t="s">
        <v>2417</v>
      </c>
      <c r="O42" s="2950" t="s">
        <v>2418</v>
      </c>
      <c r="P42" s="2951" t="s">
        <v>2419</v>
      </c>
      <c r="Q42" s="2951" t="s">
        <v>2420</v>
      </c>
      <c r="R42" s="2854" t="s">
        <v>2345</v>
      </c>
      <c r="S42" s="2952"/>
      <c r="T42" s="2952"/>
      <c r="U42" s="2837"/>
      <c r="V42" s="2845"/>
    </row>
    <row r="43" spans="1:23" ht="13.15" customHeight="1">
      <c r="A43" s="2849"/>
      <c r="B43" s="2849"/>
      <c r="C43" s="2849"/>
      <c r="D43" s="2849"/>
      <c r="E43" s="2849"/>
      <c r="F43" s="2849"/>
      <c r="I43" s="2832"/>
      <c r="J43" s="3721"/>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K22" sqref="K22"/>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1348.3255999999999</v>
      </c>
      <c r="C2" s="1868" t="s">
        <v>1651</v>
      </c>
      <c r="D2" s="1869" t="s">
        <v>1652</v>
      </c>
      <c r="E2" s="2603">
        <f>SUM(E6:E13)</f>
        <v>2447.34</v>
      </c>
      <c r="F2" s="2703"/>
      <c r="G2" s="1485"/>
      <c r="H2" s="1485"/>
      <c r="I2" s="1485"/>
      <c r="J2" s="1485"/>
      <c r="K2" s="1485"/>
      <c r="L2" s="1485"/>
      <c r="M2" s="1485"/>
      <c r="N2" s="1485"/>
      <c r="O2" s="1485"/>
      <c r="P2" s="1485"/>
      <c r="Q2" s="1485"/>
      <c r="R2" s="1485"/>
      <c r="S2" s="1485"/>
    </row>
    <row r="3" spans="1:22" ht="15.75">
      <c r="A3" s="1866" t="s">
        <v>686</v>
      </c>
      <c r="B3" s="2597">
        <f ca="1">ROUND(B2*10000/E2,0)</f>
        <v>5509</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22" t="s">
        <v>1654</v>
      </c>
      <c r="C5" s="3723"/>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 (元)</v>
      </c>
      <c r="B6" s="2598">
        <f ca="1">IF(F6="是",'数据-取费表'!AO6,0)</f>
        <v>1348.3255999999999</v>
      </c>
      <c r="C6" s="1868" t="s">
        <v>1651</v>
      </c>
      <c r="D6" s="2705"/>
      <c r="E6" s="2602">
        <f>IF(OR(A6=0,F6="否"),0,'数据-取费表'!K6+'数据-取费表'!S6)</f>
        <v>2447.34</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2"/>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2447.34</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5" t="s">
        <v>1666</v>
      </c>
      <c r="B4" s="356"/>
      <c r="C4" s="3742" t="s">
        <v>1667</v>
      </c>
      <c r="D4" s="3743"/>
      <c r="E4" s="3744" t="s">
        <v>1668</v>
      </c>
      <c r="F4" s="3745"/>
      <c r="G4" s="3742" t="s">
        <v>1669</v>
      </c>
      <c r="H4" s="3743"/>
      <c r="I4" s="3742" t="s">
        <v>1670</v>
      </c>
      <c r="J4" s="3743"/>
      <c r="K4" s="1885" t="s">
        <v>1671</v>
      </c>
      <c r="L4" s="2711"/>
      <c r="M4" s="2712"/>
      <c r="N4" s="2712"/>
      <c r="O4" s="2712"/>
      <c r="P4" s="3746" t="s">
        <v>1672</v>
      </c>
      <c r="Q4" s="3747"/>
      <c r="R4" s="3729" t="s">
        <v>1668</v>
      </c>
      <c r="S4" s="3730"/>
      <c r="T4" s="3729" t="s">
        <v>1669</v>
      </c>
      <c r="U4" s="3730"/>
      <c r="V4" s="3754" t="s">
        <v>1670</v>
      </c>
      <c r="W4" s="3754"/>
      <c r="X4" s="1351"/>
      <c r="Y4" s="3729" t="s">
        <v>1672</v>
      </c>
      <c r="Z4" s="3730"/>
      <c r="AA4" s="3724" t="s">
        <v>1668</v>
      </c>
      <c r="AB4" s="3724" t="s">
        <v>1669</v>
      </c>
      <c r="AC4" s="3724" t="s">
        <v>1670</v>
      </c>
    </row>
    <row r="5" spans="1:29" ht="15">
      <c r="A5" s="358"/>
      <c r="B5" s="359"/>
      <c r="C5" s="3735" t="s">
        <v>1673</v>
      </c>
      <c r="D5" s="3736"/>
      <c r="E5" s="3733" t="s">
        <v>1674</v>
      </c>
      <c r="F5" s="3734"/>
      <c r="G5" s="3735" t="s">
        <v>1675</v>
      </c>
      <c r="H5" s="3736"/>
      <c r="I5" s="3735" t="s">
        <v>1676</v>
      </c>
      <c r="J5" s="3736"/>
      <c r="K5" s="1886"/>
      <c r="L5" s="2711"/>
      <c r="M5" s="2712"/>
      <c r="N5" s="2712"/>
      <c r="O5" s="2712"/>
      <c r="P5" s="3748"/>
      <c r="Q5" s="3749"/>
      <c r="R5" s="3731"/>
      <c r="S5" s="3732"/>
      <c r="T5" s="3731"/>
      <c r="U5" s="3732"/>
      <c r="V5" s="3754"/>
      <c r="W5" s="3754"/>
      <c r="X5" s="1351"/>
      <c r="Y5" s="3731"/>
      <c r="Z5" s="3732"/>
      <c r="AA5" s="3725"/>
      <c r="AB5" s="3725"/>
      <c r="AC5" s="3725"/>
    </row>
    <row r="6" spans="1:29" ht="15.75" thickBot="1">
      <c r="A6" s="360"/>
      <c r="B6" s="361"/>
      <c r="C6" s="3737" t="s">
        <v>1677</v>
      </c>
      <c r="D6" s="3738"/>
      <c r="E6" s="3739" t="s">
        <v>1677</v>
      </c>
      <c r="F6" s="3740"/>
      <c r="G6" s="3737" t="s">
        <v>1677</v>
      </c>
      <c r="H6" s="3738"/>
      <c r="I6" s="3737" t="s">
        <v>1677</v>
      </c>
      <c r="J6" s="3738"/>
      <c r="K6" s="1886" t="s">
        <v>1678</v>
      </c>
      <c r="L6" s="2711"/>
      <c r="M6" s="2712"/>
      <c r="N6" s="2712"/>
      <c r="O6" s="2712"/>
      <c r="P6" s="3750"/>
      <c r="Q6" s="3751"/>
      <c r="R6" s="3731"/>
      <c r="S6" s="3732"/>
      <c r="T6" s="3752"/>
      <c r="U6" s="3753"/>
      <c r="V6" s="3754"/>
      <c r="W6" s="3754"/>
      <c r="X6" s="1351"/>
      <c r="Y6" s="3752"/>
      <c r="Z6" s="3753"/>
      <c r="AA6" s="3726"/>
      <c r="AB6" s="3726"/>
      <c r="AC6" s="3726"/>
    </row>
    <row r="7" spans="1:29" s="108" customFormat="1" ht="15.75" thickBot="1">
      <c r="A7" s="362" t="s">
        <v>1679</v>
      </c>
      <c r="B7" s="363"/>
      <c r="C7" s="364">
        <f>'数据-取费表'!B2</f>
        <v>45421</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27" t="s">
        <v>1680</v>
      </c>
      <c r="Q7" s="3755"/>
      <c r="R7" s="701" t="s">
        <v>20</v>
      </c>
      <c r="S7" s="702">
        <f t="shared" ref="S7:S15" si="0">F7</f>
        <v>0</v>
      </c>
      <c r="T7" s="701" t="s">
        <v>20</v>
      </c>
      <c r="U7" s="702">
        <f t="shared" ref="U7:U15" si="1">H7</f>
        <v>0</v>
      </c>
      <c r="V7" s="701" t="s">
        <v>20</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27" t="s">
        <v>1683</v>
      </c>
      <c r="Q8" s="3728"/>
      <c r="R8" s="701" t="s">
        <v>20</v>
      </c>
      <c r="S8" s="702">
        <f t="shared" si="0"/>
        <v>100</v>
      </c>
      <c r="T8" s="701" t="s">
        <v>20</v>
      </c>
      <c r="U8" s="702">
        <f t="shared" si="1"/>
        <v>100</v>
      </c>
      <c r="V8" s="701" t="s">
        <v>20</v>
      </c>
      <c r="W8" s="702">
        <f t="shared" si="2"/>
        <v>100</v>
      </c>
      <c r="X8" s="703"/>
      <c r="Y8" s="3727" t="s">
        <v>1683</v>
      </c>
      <c r="Z8" s="372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41"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41"/>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41"/>
      <c r="Q11" s="1339" t="str">
        <f t="shared" si="6"/>
        <v>容积率</v>
      </c>
      <c r="R11" s="701" t="s">
        <v>18</v>
      </c>
      <c r="S11" s="702" t="e">
        <f t="shared" si="0"/>
        <v>#N/A</v>
      </c>
      <c r="T11" s="701" t="s">
        <v>18</v>
      </c>
      <c r="U11" s="702" t="e">
        <f t="shared" si="1"/>
        <v>#N/A</v>
      </c>
      <c r="V11" s="701" t="s">
        <v>18</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41"/>
      <c r="Q12" s="1339">
        <f t="shared" si="6"/>
        <v>111</v>
      </c>
      <c r="R12" s="701" t="s">
        <v>18</v>
      </c>
      <c r="S12" s="702">
        <f t="shared" si="0"/>
        <v>100</v>
      </c>
      <c r="T12" s="701" t="s">
        <v>18</v>
      </c>
      <c r="U12" s="702">
        <f t="shared" si="1"/>
        <v>100</v>
      </c>
      <c r="V12" s="701" t="s">
        <v>18</v>
      </c>
      <c r="W12" s="702">
        <f t="shared" si="2"/>
        <v>100</v>
      </c>
      <c r="X12" s="703"/>
      <c r="Y12" s="3652"/>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41"/>
      <c r="Q13" s="1339">
        <f t="shared" si="6"/>
        <v>111</v>
      </c>
      <c r="R13" s="701" t="s">
        <v>18</v>
      </c>
      <c r="S13" s="702">
        <f t="shared" si="0"/>
        <v>100</v>
      </c>
      <c r="T13" s="701" t="s">
        <v>18</v>
      </c>
      <c r="U13" s="702">
        <f t="shared" si="1"/>
        <v>100</v>
      </c>
      <c r="V13" s="701" t="s">
        <v>18</v>
      </c>
      <c r="W13" s="702">
        <f t="shared" si="2"/>
        <v>100</v>
      </c>
      <c r="X13" s="703"/>
      <c r="Y13" s="3652"/>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41"/>
      <c r="Q14" s="1339">
        <f t="shared" si="6"/>
        <v>111</v>
      </c>
      <c r="R14" s="701" t="s">
        <v>18</v>
      </c>
      <c r="S14" s="702">
        <f t="shared" si="0"/>
        <v>100</v>
      </c>
      <c r="T14" s="701" t="s">
        <v>18</v>
      </c>
      <c r="U14" s="702">
        <f t="shared" si="1"/>
        <v>100</v>
      </c>
      <c r="V14" s="701" t="s">
        <v>18</v>
      </c>
      <c r="W14" s="702">
        <f t="shared" si="2"/>
        <v>100</v>
      </c>
      <c r="X14" s="703"/>
      <c r="Y14" s="3652"/>
      <c r="Z14" s="52">
        <f t="shared" si="7"/>
        <v>111</v>
      </c>
      <c r="AA14" s="704">
        <f t="shared" si="3"/>
        <v>1</v>
      </c>
      <c r="AB14" s="704">
        <f t="shared" si="4"/>
        <v>1</v>
      </c>
      <c r="AC14" s="704">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68" t="s">
        <v>1691</v>
      </c>
      <c r="Q15" s="1348" t="str">
        <f t="shared" si="6"/>
        <v>居住社区成熟度</v>
      </c>
      <c r="R15" s="705" t="s">
        <v>18</v>
      </c>
      <c r="S15" s="706">
        <f t="shared" si="0"/>
        <v>100</v>
      </c>
      <c r="T15" s="705" t="s">
        <v>18</v>
      </c>
      <c r="U15" s="706">
        <f t="shared" si="1"/>
        <v>100</v>
      </c>
      <c r="V15" s="705" t="s">
        <v>18</v>
      </c>
      <c r="W15" s="706">
        <f t="shared" si="2"/>
        <v>100</v>
      </c>
      <c r="X15" s="1351"/>
      <c r="Y15" s="3761"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69"/>
      <c r="Q16" s="1348"/>
      <c r="R16" s="705"/>
      <c r="S16" s="706"/>
      <c r="T16" s="705"/>
      <c r="U16" s="706"/>
      <c r="V16" s="705"/>
      <c r="W16" s="706"/>
      <c r="X16" s="1351"/>
      <c r="Y16" s="3762"/>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69"/>
      <c r="Q17" s="1348" t="str">
        <f>B17</f>
        <v>交通便捷度</v>
      </c>
      <c r="R17" s="705" t="s">
        <v>18</v>
      </c>
      <c r="S17" s="706">
        <f>F17</f>
        <v>100</v>
      </c>
      <c r="T17" s="705" t="s">
        <v>18</v>
      </c>
      <c r="U17" s="706">
        <f>H17</f>
        <v>100</v>
      </c>
      <c r="V17" s="705" t="s">
        <v>18</v>
      </c>
      <c r="W17" s="706">
        <f>J17</f>
        <v>100</v>
      </c>
      <c r="X17" s="1351"/>
      <c r="Y17" s="3762"/>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69"/>
      <c r="Q18" s="1348"/>
      <c r="R18" s="705"/>
      <c r="S18" s="706"/>
      <c r="T18" s="705"/>
      <c r="U18" s="706"/>
      <c r="V18" s="705"/>
      <c r="W18" s="706"/>
      <c r="X18" s="1351"/>
      <c r="Y18" s="3762"/>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69"/>
      <c r="Q19" s="1348" t="str">
        <f>B19</f>
        <v>公共配套设施</v>
      </c>
      <c r="R19" s="705" t="s">
        <v>18</v>
      </c>
      <c r="S19" s="706">
        <f>F19</f>
        <v>100</v>
      </c>
      <c r="T19" s="705" t="s">
        <v>18</v>
      </c>
      <c r="U19" s="706">
        <f>H19</f>
        <v>100</v>
      </c>
      <c r="V19" s="705" t="s">
        <v>18</v>
      </c>
      <c r="W19" s="706">
        <f>J19</f>
        <v>100</v>
      </c>
      <c r="X19" s="1351"/>
      <c r="Y19" s="3762"/>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69"/>
      <c r="Q20" s="1348"/>
      <c r="R20" s="705"/>
      <c r="S20" s="706"/>
      <c r="T20" s="705"/>
      <c r="U20" s="706"/>
      <c r="V20" s="705"/>
      <c r="W20" s="706"/>
      <c r="X20" s="1351"/>
      <c r="Y20" s="3762"/>
      <c r="Z20" s="1352"/>
      <c r="AA20" s="1349">
        <v>1</v>
      </c>
      <c r="AB20" s="1349">
        <v>1</v>
      </c>
      <c r="AC20" s="1349">
        <v>1</v>
      </c>
    </row>
    <row r="21" spans="1:29" ht="28.5">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69"/>
      <c r="Q21" s="1348" t="str">
        <f>B21</f>
        <v>基础设施水平</v>
      </c>
      <c r="R21" s="705" t="s">
        <v>14</v>
      </c>
      <c r="S21" s="706">
        <f>F21</f>
        <v>100</v>
      </c>
      <c r="T21" s="705" t="s">
        <v>14</v>
      </c>
      <c r="U21" s="706">
        <f>H21</f>
        <v>100</v>
      </c>
      <c r="V21" s="705" t="s">
        <v>14</v>
      </c>
      <c r="W21" s="706">
        <f>J21</f>
        <v>100</v>
      </c>
      <c r="X21" s="1351"/>
      <c r="Y21" s="3762"/>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69"/>
      <c r="Q22" s="1348"/>
      <c r="R22" s="705"/>
      <c r="S22" s="706"/>
      <c r="T22" s="705"/>
      <c r="U22" s="706"/>
      <c r="V22" s="705"/>
      <c r="W22" s="706"/>
      <c r="X22" s="1351"/>
      <c r="Y22" s="3762"/>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69"/>
      <c r="Q23" s="1348" t="str">
        <f>B23</f>
        <v>自然及人文环境</v>
      </c>
      <c r="R23" s="705" t="s">
        <v>18</v>
      </c>
      <c r="S23" s="706">
        <f>F23</f>
        <v>100</v>
      </c>
      <c r="T23" s="705" t="s">
        <v>18</v>
      </c>
      <c r="U23" s="706">
        <f>H23</f>
        <v>100</v>
      </c>
      <c r="V23" s="705" t="s">
        <v>18</v>
      </c>
      <c r="W23" s="706">
        <f>J23</f>
        <v>100</v>
      </c>
      <c r="X23" s="1351"/>
      <c r="Y23" s="3762"/>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69"/>
      <c r="Q24" s="1348"/>
      <c r="R24" s="705"/>
      <c r="S24" s="706"/>
      <c r="T24" s="705"/>
      <c r="U24" s="706"/>
      <c r="V24" s="705"/>
      <c r="W24" s="706"/>
      <c r="X24" s="1351"/>
      <c r="Y24" s="3762"/>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69"/>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62"/>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69"/>
      <c r="Q26" s="1348" t="str">
        <f t="shared" si="11"/>
        <v>朝向</v>
      </c>
      <c r="R26" s="705" t="s">
        <v>18</v>
      </c>
      <c r="S26" s="706">
        <f t="shared" si="12"/>
        <v>100</v>
      </c>
      <c r="T26" s="705" t="s">
        <v>18</v>
      </c>
      <c r="U26" s="706">
        <f t="shared" si="13"/>
        <v>100</v>
      </c>
      <c r="V26" s="705" t="s">
        <v>18</v>
      </c>
      <c r="W26" s="706">
        <f t="shared" si="14"/>
        <v>100</v>
      </c>
      <c r="X26" s="1351"/>
      <c r="Y26" s="3762"/>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69"/>
      <c r="Q27" s="1339">
        <f t="shared" si="11"/>
        <v>111</v>
      </c>
      <c r="R27" s="701" t="s">
        <v>18</v>
      </c>
      <c r="S27" s="702">
        <f t="shared" si="12"/>
        <v>100</v>
      </c>
      <c r="T27" s="701" t="s">
        <v>18</v>
      </c>
      <c r="U27" s="702">
        <f t="shared" si="13"/>
        <v>100</v>
      </c>
      <c r="V27" s="701" t="s">
        <v>18</v>
      </c>
      <c r="W27" s="702">
        <f t="shared" si="14"/>
        <v>100</v>
      </c>
      <c r="X27" s="703"/>
      <c r="Y27" s="3762"/>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69"/>
      <c r="Q28" s="1348">
        <f t="shared" si="11"/>
        <v>111</v>
      </c>
      <c r="R28" s="705" t="s">
        <v>18</v>
      </c>
      <c r="S28" s="706">
        <f t="shared" si="12"/>
        <v>100</v>
      </c>
      <c r="T28" s="705" t="s">
        <v>18</v>
      </c>
      <c r="U28" s="706">
        <f t="shared" si="13"/>
        <v>100</v>
      </c>
      <c r="V28" s="705" t="s">
        <v>18</v>
      </c>
      <c r="W28" s="706">
        <f t="shared" si="14"/>
        <v>100</v>
      </c>
      <c r="X28" s="1351"/>
      <c r="Y28" s="3762"/>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69"/>
      <c r="Q29" s="1348">
        <f t="shared" si="11"/>
        <v>111</v>
      </c>
      <c r="R29" s="705" t="s">
        <v>18</v>
      </c>
      <c r="S29" s="706">
        <f t="shared" si="12"/>
        <v>100</v>
      </c>
      <c r="T29" s="705" t="s">
        <v>18</v>
      </c>
      <c r="U29" s="706">
        <f t="shared" si="13"/>
        <v>100</v>
      </c>
      <c r="V29" s="705" t="s">
        <v>18</v>
      </c>
      <c r="W29" s="706">
        <f t="shared" si="14"/>
        <v>100</v>
      </c>
      <c r="X29" s="1351"/>
      <c r="Y29" s="3762"/>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69"/>
      <c r="Q30" s="1348">
        <f t="shared" si="11"/>
        <v>111</v>
      </c>
      <c r="R30" s="705" t="s">
        <v>18</v>
      </c>
      <c r="S30" s="706">
        <f t="shared" si="12"/>
        <v>100</v>
      </c>
      <c r="T30" s="705" t="s">
        <v>18</v>
      </c>
      <c r="U30" s="706">
        <f t="shared" si="13"/>
        <v>100</v>
      </c>
      <c r="V30" s="705" t="s">
        <v>18</v>
      </c>
      <c r="W30" s="706">
        <f t="shared" si="14"/>
        <v>100</v>
      </c>
      <c r="X30" s="1351"/>
      <c r="Y30" s="3762"/>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69"/>
      <c r="Q31" s="1348">
        <f t="shared" si="11"/>
        <v>111</v>
      </c>
      <c r="R31" s="705" t="s">
        <v>18</v>
      </c>
      <c r="S31" s="706">
        <f t="shared" si="12"/>
        <v>100</v>
      </c>
      <c r="T31" s="705" t="s">
        <v>18</v>
      </c>
      <c r="U31" s="706">
        <f t="shared" si="13"/>
        <v>100</v>
      </c>
      <c r="V31" s="705" t="s">
        <v>18</v>
      </c>
      <c r="W31" s="706">
        <f t="shared" si="14"/>
        <v>100</v>
      </c>
      <c r="X31" s="1351"/>
      <c r="Y31" s="3762"/>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63" t="s">
        <v>1696</v>
      </c>
      <c r="Q32" s="1348" t="str">
        <f t="shared" si="11"/>
        <v>建筑类型</v>
      </c>
      <c r="R32" s="705" t="s">
        <v>18</v>
      </c>
      <c r="S32" s="706">
        <f t="shared" si="12"/>
        <v>100</v>
      </c>
      <c r="T32" s="705" t="s">
        <v>18</v>
      </c>
      <c r="U32" s="706">
        <f t="shared" si="13"/>
        <v>100</v>
      </c>
      <c r="V32" s="705" t="s">
        <v>18</v>
      </c>
      <c r="W32" s="706">
        <f t="shared" si="14"/>
        <v>100</v>
      </c>
      <c r="X32" s="1351"/>
      <c r="Y32" s="3766"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64"/>
      <c r="Q33" s="707" t="str">
        <f t="shared" si="11"/>
        <v>项目建筑规模</v>
      </c>
      <c r="R33" s="708" t="s">
        <v>18</v>
      </c>
      <c r="S33" s="709" t="e">
        <f t="shared" si="12"/>
        <v>#N/A</v>
      </c>
      <c r="T33" s="708" t="s">
        <v>18</v>
      </c>
      <c r="U33" s="709" t="e">
        <f t="shared" si="13"/>
        <v>#N/A</v>
      </c>
      <c r="V33" s="708" t="s">
        <v>18</v>
      </c>
      <c r="W33" s="709" t="e">
        <f t="shared" si="14"/>
        <v>#N/A</v>
      </c>
      <c r="X33" s="710"/>
      <c r="Y33" s="3766"/>
      <c r="Z33" s="711"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64"/>
      <c r="Q34" s="1348" t="str">
        <f t="shared" si="11"/>
        <v>建筑结构</v>
      </c>
      <c r="R34" s="705" t="s">
        <v>18</v>
      </c>
      <c r="S34" s="706">
        <f t="shared" si="12"/>
        <v>100</v>
      </c>
      <c r="T34" s="705" t="s">
        <v>18</v>
      </c>
      <c r="U34" s="706">
        <f t="shared" si="13"/>
        <v>100</v>
      </c>
      <c r="V34" s="705" t="s">
        <v>18</v>
      </c>
      <c r="W34" s="706">
        <f t="shared" si="14"/>
        <v>100</v>
      </c>
      <c r="X34" s="1351"/>
      <c r="Y34" s="3766"/>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64"/>
      <c r="Q35" s="1348" t="str">
        <f t="shared" si="11"/>
        <v>建筑品质</v>
      </c>
      <c r="R35" s="705" t="s">
        <v>18</v>
      </c>
      <c r="S35" s="706">
        <f t="shared" si="12"/>
        <v>100</v>
      </c>
      <c r="T35" s="705" t="s">
        <v>18</v>
      </c>
      <c r="U35" s="706">
        <f t="shared" si="13"/>
        <v>100</v>
      </c>
      <c r="V35" s="705" t="s">
        <v>18</v>
      </c>
      <c r="W35" s="706">
        <f t="shared" si="14"/>
        <v>100</v>
      </c>
      <c r="X35" s="1351"/>
      <c r="Y35" s="3766"/>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64"/>
      <c r="Q36" s="1348" t="str">
        <f t="shared" si="11"/>
        <v>公共部分装修</v>
      </c>
      <c r="R36" s="705" t="s">
        <v>18</v>
      </c>
      <c r="S36" s="706">
        <f t="shared" si="12"/>
        <v>100</v>
      </c>
      <c r="T36" s="705" t="s">
        <v>18</v>
      </c>
      <c r="U36" s="706">
        <f t="shared" si="13"/>
        <v>100</v>
      </c>
      <c r="V36" s="705" t="s">
        <v>18</v>
      </c>
      <c r="W36" s="706">
        <f t="shared" si="14"/>
        <v>100</v>
      </c>
      <c r="X36" s="1351"/>
      <c r="Y36" s="3766"/>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64"/>
      <c r="Q37" s="1339" t="str">
        <f t="shared" si="11"/>
        <v>成新度</v>
      </c>
      <c r="R37" s="701" t="s">
        <v>18</v>
      </c>
      <c r="S37" s="702" t="e">
        <f t="shared" si="12"/>
        <v>#N/A</v>
      </c>
      <c r="T37" s="701" t="s">
        <v>18</v>
      </c>
      <c r="U37" s="702" t="e">
        <f t="shared" si="13"/>
        <v>#N/A</v>
      </c>
      <c r="V37" s="701" t="s">
        <v>18</v>
      </c>
      <c r="W37" s="702" t="e">
        <f t="shared" si="14"/>
        <v>#N/A</v>
      </c>
      <c r="X37" s="703"/>
      <c r="Y37" s="3766"/>
      <c r="Z37" s="52" t="str">
        <f t="shared" si="18"/>
        <v>成新度</v>
      </c>
      <c r="AA37" s="704" t="e">
        <f t="shared" si="15"/>
        <v>#N/A</v>
      </c>
      <c r="AB37" s="704" t="e">
        <f t="shared" si="16"/>
        <v>#N/A</v>
      </c>
      <c r="AC37" s="704"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64" t="s">
        <v>1696</v>
      </c>
      <c r="Q38" s="1348" t="str">
        <f t="shared" si="11"/>
        <v>物业管理</v>
      </c>
      <c r="R38" s="705" t="s">
        <v>18</v>
      </c>
      <c r="S38" s="706">
        <f t="shared" si="12"/>
        <v>100</v>
      </c>
      <c r="T38" s="705" t="s">
        <v>18</v>
      </c>
      <c r="U38" s="706">
        <f t="shared" si="13"/>
        <v>100</v>
      </c>
      <c r="V38" s="705" t="s">
        <v>18</v>
      </c>
      <c r="W38" s="706">
        <f t="shared" si="14"/>
        <v>100</v>
      </c>
      <c r="X38" s="1351"/>
      <c r="Y38" s="3766"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64"/>
      <c r="Q39" s="1348" t="str">
        <f t="shared" si="11"/>
        <v>市政基础设施</v>
      </c>
      <c r="R39" s="705" t="s">
        <v>18</v>
      </c>
      <c r="S39" s="706">
        <f t="shared" si="12"/>
        <v>100</v>
      </c>
      <c r="T39" s="705" t="s">
        <v>18</v>
      </c>
      <c r="U39" s="706">
        <f t="shared" si="13"/>
        <v>100</v>
      </c>
      <c r="V39" s="705" t="s">
        <v>18</v>
      </c>
      <c r="W39" s="706">
        <f t="shared" si="14"/>
        <v>100</v>
      </c>
      <c r="X39" s="1351"/>
      <c r="Y39" s="3766"/>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64"/>
      <c r="Q40" s="1348" t="str">
        <f t="shared" si="11"/>
        <v>房型</v>
      </c>
      <c r="R40" s="705" t="s">
        <v>18</v>
      </c>
      <c r="S40" s="706">
        <f t="shared" si="12"/>
        <v>100</v>
      </c>
      <c r="T40" s="705" t="s">
        <v>18</v>
      </c>
      <c r="U40" s="706">
        <f t="shared" si="13"/>
        <v>100</v>
      </c>
      <c r="V40" s="705" t="s">
        <v>18</v>
      </c>
      <c r="W40" s="706">
        <f t="shared" si="14"/>
        <v>100</v>
      </c>
      <c r="X40" s="1351"/>
      <c r="Y40" s="3766"/>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64"/>
      <c r="Q41" s="707" t="str">
        <f t="shared" si="11"/>
        <v>单套/主力户型建筑面积</v>
      </c>
      <c r="R41" s="708" t="s">
        <v>18</v>
      </c>
      <c r="S41" s="709">
        <f t="shared" si="12"/>
        <v>100</v>
      </c>
      <c r="T41" s="708" t="s">
        <v>18</v>
      </c>
      <c r="U41" s="709">
        <f t="shared" si="13"/>
        <v>100</v>
      </c>
      <c r="V41" s="708" t="s">
        <v>18</v>
      </c>
      <c r="W41" s="709">
        <f t="shared" si="14"/>
        <v>100</v>
      </c>
      <c r="X41" s="710"/>
      <c r="Y41" s="3766"/>
      <c r="Z41" s="711"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64"/>
      <c r="Q42" s="1348" t="str">
        <f t="shared" si="11"/>
        <v>内部装修</v>
      </c>
      <c r="R42" s="705" t="s">
        <v>18</v>
      </c>
      <c r="S42" s="706">
        <f t="shared" si="12"/>
        <v>100</v>
      </c>
      <c r="T42" s="705" t="s">
        <v>18</v>
      </c>
      <c r="U42" s="706">
        <f t="shared" si="13"/>
        <v>100</v>
      </c>
      <c r="V42" s="705" t="s">
        <v>18</v>
      </c>
      <c r="W42" s="706">
        <f t="shared" si="14"/>
        <v>100</v>
      </c>
      <c r="X42" s="1351"/>
      <c r="Y42" s="3766"/>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64"/>
      <c r="Q43" s="1348" t="str">
        <f t="shared" si="11"/>
        <v>内部装修维护情况</v>
      </c>
      <c r="R43" s="705" t="s">
        <v>18</v>
      </c>
      <c r="S43" s="706">
        <f t="shared" si="12"/>
        <v>100</v>
      </c>
      <c r="T43" s="705" t="s">
        <v>18</v>
      </c>
      <c r="U43" s="706">
        <f t="shared" si="13"/>
        <v>100</v>
      </c>
      <c r="V43" s="705" t="s">
        <v>18</v>
      </c>
      <c r="W43" s="706">
        <f t="shared" si="14"/>
        <v>100</v>
      </c>
      <c r="X43" s="1351"/>
      <c r="Y43" s="3766"/>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64"/>
      <c r="Q44" s="1339">
        <f t="shared" si="11"/>
        <v>111</v>
      </c>
      <c r="R44" s="701" t="s">
        <v>18</v>
      </c>
      <c r="S44" s="702">
        <f t="shared" si="12"/>
        <v>100</v>
      </c>
      <c r="T44" s="701" t="s">
        <v>18</v>
      </c>
      <c r="U44" s="702">
        <f t="shared" si="13"/>
        <v>100</v>
      </c>
      <c r="V44" s="701" t="s">
        <v>18</v>
      </c>
      <c r="W44" s="702">
        <f t="shared" si="14"/>
        <v>100</v>
      </c>
      <c r="X44" s="703"/>
      <c r="Y44" s="3766"/>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64"/>
      <c r="Q45" s="1348">
        <f t="shared" si="11"/>
        <v>111</v>
      </c>
      <c r="R45" s="705" t="s">
        <v>18</v>
      </c>
      <c r="S45" s="706">
        <f t="shared" si="12"/>
        <v>100</v>
      </c>
      <c r="T45" s="705" t="s">
        <v>18</v>
      </c>
      <c r="U45" s="706">
        <f t="shared" si="13"/>
        <v>100</v>
      </c>
      <c r="V45" s="705" t="s">
        <v>18</v>
      </c>
      <c r="W45" s="706">
        <f t="shared" si="14"/>
        <v>100</v>
      </c>
      <c r="X45" s="1351"/>
      <c r="Y45" s="3766"/>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65"/>
      <c r="Q46" s="1348">
        <f t="shared" si="11"/>
        <v>111</v>
      </c>
      <c r="R46" s="705" t="s">
        <v>17</v>
      </c>
      <c r="S46" s="706">
        <f t="shared" si="12"/>
        <v>100</v>
      </c>
      <c r="T46" s="705" t="s">
        <v>17</v>
      </c>
      <c r="U46" s="706">
        <f t="shared" si="13"/>
        <v>100</v>
      </c>
      <c r="V46" s="705" t="s">
        <v>17</v>
      </c>
      <c r="W46" s="706">
        <f t="shared" si="14"/>
        <v>100</v>
      </c>
      <c r="X46" s="1351"/>
      <c r="Y46" s="3767"/>
      <c r="Z46" s="1352">
        <f t="shared" si="18"/>
        <v>111</v>
      </c>
      <c r="AA46" s="1349">
        <f t="shared" si="15"/>
        <v>1</v>
      </c>
      <c r="AB46" s="1349">
        <f t="shared" si="16"/>
        <v>1</v>
      </c>
      <c r="AC46" s="1349">
        <f t="shared" si="17"/>
        <v>1</v>
      </c>
    </row>
    <row r="47" spans="1:29" ht="15">
      <c r="A47" s="430" t="s">
        <v>1708</v>
      </c>
      <c r="B47" s="431"/>
      <c r="C47" s="1150" t="s">
        <v>16</v>
      </c>
      <c r="D47" s="1151"/>
      <c r="E47" s="1152"/>
      <c r="F47" s="1153"/>
      <c r="G47" s="1154"/>
      <c r="H47" s="1155"/>
      <c r="I47" s="1152"/>
      <c r="J47" s="1155"/>
      <c r="K47" s="1910"/>
      <c r="L47" s="2720"/>
      <c r="M47" s="2721"/>
      <c r="N47" s="2712"/>
      <c r="O47" s="2721"/>
      <c r="P47" s="3759" t="str">
        <f>A47</f>
        <v>成交单价（元/平方米）</v>
      </c>
      <c r="Q47" s="3759"/>
      <c r="R47" s="3760">
        <f>E47</f>
        <v>0</v>
      </c>
      <c r="S47" s="3760"/>
      <c r="T47" s="3760">
        <f>G47</f>
        <v>0</v>
      </c>
      <c r="U47" s="3760"/>
      <c r="V47" s="3760">
        <f>I47</f>
        <v>0</v>
      </c>
      <c r="W47" s="3760"/>
      <c r="X47" s="690"/>
      <c r="Y47" s="712"/>
      <c r="Z47" s="690"/>
      <c r="AA47" s="690"/>
      <c r="AB47" s="690"/>
      <c r="AC47" s="690"/>
    </row>
    <row r="48" spans="1:29" ht="15.75" thickBot="1">
      <c r="A48" s="437" t="s">
        <v>1709</v>
      </c>
      <c r="B48" s="438"/>
      <c r="C48" s="1156" t="e">
        <f>R49</f>
        <v>#DIV/0!</v>
      </c>
      <c r="D48" s="2313" t="s">
        <v>2138</v>
      </c>
      <c r="E48" s="1157" t="e">
        <f>R48</f>
        <v>#DIV/0!</v>
      </c>
      <c r="F48" s="2314"/>
      <c r="G48" s="1156" t="e">
        <f>T48</f>
        <v>#DIV/0!</v>
      </c>
      <c r="H48" s="2314"/>
      <c r="I48" s="1157" t="e">
        <f>V48</f>
        <v>#DIV/0!</v>
      </c>
      <c r="J48" s="2314"/>
      <c r="K48" s="2315">
        <f>F48+H48+J48</f>
        <v>0</v>
      </c>
      <c r="L48" s="2720"/>
      <c r="M48" s="2721"/>
      <c r="N48" s="2721"/>
      <c r="O48" s="2721"/>
      <c r="P48" s="3759" t="str">
        <f>A48</f>
        <v>比较价值（元/平方米）</v>
      </c>
      <c r="Q48" s="3759"/>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90"/>
      <c r="Y48" s="690"/>
      <c r="Z48" s="690"/>
      <c r="AA48" s="690"/>
      <c r="AB48" s="690"/>
      <c r="AC48" s="690"/>
    </row>
    <row r="49" spans="1:29" ht="15.75" thickBot="1">
      <c r="A49" s="441" t="s">
        <v>1710</v>
      </c>
      <c r="B49" s="442"/>
      <c r="C49" s="1158" t="e">
        <f>R49</f>
        <v>#DIV/0!</v>
      </c>
      <c r="D49" s="1159"/>
      <c r="E49" s="1159"/>
      <c r="F49" s="1159"/>
      <c r="G49" s="1159"/>
      <c r="H49" s="1159"/>
      <c r="I49" s="1159"/>
      <c r="J49" s="1159"/>
      <c r="K49" s="1911"/>
      <c r="L49" s="2720"/>
      <c r="M49" s="2721"/>
      <c r="N49" s="2721"/>
      <c r="O49" s="2721"/>
      <c r="P49" s="3756" t="str">
        <f>A49</f>
        <v>估价对象XX用房的比较价值（楼面单价，元/平方米）</v>
      </c>
      <c r="Q49" s="3757"/>
      <c r="R49" s="3758" t="e">
        <f>IF(F1="售价",ROUND(IF(D48="简单平均",AVERAGE(R48:V48),R48*F48+T48*H48+V48*J48),0),ROUND(IF(D48="简单平均",AVERAGE(R48:V48),R48*F48+T48*H48+V48*J48),1))</f>
        <v>#DIV/0!</v>
      </c>
      <c r="S49" s="3758"/>
      <c r="T49" s="3758"/>
      <c r="U49" s="3758"/>
      <c r="V49" s="3758"/>
      <c r="W49" s="375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37"/>
      <c r="L57" s="938"/>
      <c r="M57" s="936"/>
      <c r="N57" s="936"/>
      <c r="O57" s="936"/>
      <c r="P57" s="1914"/>
      <c r="Q57" s="453"/>
    </row>
    <row r="58" spans="1:29" s="457" customFormat="1" ht="15">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1719</v>
      </c>
      <c r="B63" s="477" t="s">
        <v>1685</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1688</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1734</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1735</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1694</v>
      </c>
      <c r="B100" s="477" t="s">
        <v>1736</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3">
        <v>6</v>
      </c>
      <c r="C139" s="864">
        <v>96</v>
      </c>
      <c r="D139" s="1936" t="s">
        <v>1755</v>
      </c>
      <c r="E139" s="865">
        <v>100</v>
      </c>
      <c r="F139" s="866">
        <v>102.5</v>
      </c>
      <c r="G139" s="1936" t="s">
        <v>1755</v>
      </c>
      <c r="H139" s="867">
        <v>105</v>
      </c>
      <c r="I139" s="1937" t="s">
        <v>1756</v>
      </c>
      <c r="J139" s="864">
        <v>20</v>
      </c>
      <c r="K139" s="868">
        <f>C145/(J139-2)</f>
        <v>4.0555555555555553E-3</v>
      </c>
    </row>
    <row r="140" spans="1:17" ht="15">
      <c r="B140" s="869">
        <v>5</v>
      </c>
      <c r="C140" s="870">
        <v>100</v>
      </c>
      <c r="D140" s="870"/>
      <c r="E140" s="871"/>
      <c r="F140" s="872">
        <v>102</v>
      </c>
      <c r="G140" s="870"/>
      <c r="H140" s="873"/>
      <c r="I140" s="1938" t="s">
        <v>1757</v>
      </c>
      <c r="J140" s="271">
        <f>ROUNDUP((J139-1)/2,0)</f>
        <v>10</v>
      </c>
      <c r="K140" s="874">
        <v>100</v>
      </c>
    </row>
    <row r="141" spans="1:17" ht="15">
      <c r="B141" s="869">
        <v>4</v>
      </c>
      <c r="C141" s="870">
        <v>102</v>
      </c>
      <c r="D141" s="870"/>
      <c r="E141" s="871"/>
      <c r="F141" s="872">
        <v>101.5</v>
      </c>
      <c r="G141" s="870"/>
      <c r="H141" s="873"/>
      <c r="I141" s="1938" t="s">
        <v>1758</v>
      </c>
      <c r="J141" s="271">
        <v>1</v>
      </c>
      <c r="K141" s="875">
        <f>ROUND(100+(J141-J140)*K139*100,1)</f>
        <v>96.4</v>
      </c>
    </row>
    <row r="142" spans="1:17" ht="15">
      <c r="B142" s="869">
        <v>3</v>
      </c>
      <c r="C142" s="870">
        <v>103</v>
      </c>
      <c r="D142" s="870"/>
      <c r="E142" s="871"/>
      <c r="F142" s="872">
        <v>101</v>
      </c>
      <c r="G142" s="870"/>
      <c r="H142" s="873"/>
      <c r="I142" s="1938" t="s">
        <v>1759</v>
      </c>
      <c r="J142" s="271">
        <f>J139</f>
        <v>20</v>
      </c>
      <c r="K142" s="876">
        <v>95</v>
      </c>
    </row>
    <row r="143" spans="1:17" ht="15">
      <c r="B143" s="869">
        <v>2</v>
      </c>
      <c r="C143" s="870">
        <v>100</v>
      </c>
      <c r="D143" s="870"/>
      <c r="E143" s="871"/>
      <c r="F143" s="872">
        <v>100.5</v>
      </c>
      <c r="G143" s="870"/>
      <c r="H143" s="873"/>
      <c r="I143" s="1938" t="s">
        <v>1760</v>
      </c>
      <c r="J143" s="870">
        <v>15</v>
      </c>
      <c r="K143" s="875">
        <f>ROUND(100+(J143-J140)*K139*100,1)</f>
        <v>102</v>
      </c>
    </row>
    <row r="144" spans="1:17" ht="15">
      <c r="B144" s="869">
        <v>1</v>
      </c>
      <c r="C144" s="870">
        <v>98</v>
      </c>
      <c r="D144" s="1939" t="s">
        <v>1761</v>
      </c>
      <c r="E144" s="871">
        <v>102</v>
      </c>
      <c r="F144" s="877">
        <v>100</v>
      </c>
      <c r="G144" s="1939" t="s">
        <v>1761</v>
      </c>
      <c r="H144" s="873">
        <v>105</v>
      </c>
      <c r="I144" s="1938" t="s">
        <v>1760</v>
      </c>
      <c r="J144" s="870">
        <v>18</v>
      </c>
      <c r="K144" s="875">
        <f>ROUND(100+(J144-J140)*K139*100,1)</f>
        <v>103.2</v>
      </c>
    </row>
    <row r="145" spans="2:11" ht="15.75" thickBot="1">
      <c r="B145" s="1940" t="s">
        <v>1762</v>
      </c>
      <c r="C145" s="878">
        <f>ROUND(MAX(C139:C144)/MIN(C139:C144)-1,3)</f>
        <v>7.2999999999999995E-2</v>
      </c>
      <c r="D145" s="879"/>
      <c r="E145" s="879"/>
      <c r="F145" s="1941" t="s">
        <v>1763</v>
      </c>
      <c r="G145" s="1942"/>
      <c r="H145" s="1943"/>
      <c r="I145" s="1944" t="s">
        <v>1760</v>
      </c>
      <c r="J145" s="880">
        <v>8</v>
      </c>
      <c r="K145" s="881">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c r="E1" s="3422"/>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2447.34</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29" t="s">
        <v>1771</v>
      </c>
      <c r="S4" s="3730"/>
      <c r="T4" s="3729" t="s">
        <v>1772</v>
      </c>
      <c r="U4" s="3730"/>
      <c r="V4" s="3754" t="s">
        <v>1773</v>
      </c>
      <c r="W4" s="3754"/>
      <c r="X4" s="1351"/>
      <c r="Y4" s="3729" t="s">
        <v>1775</v>
      </c>
      <c r="Z4" s="3730"/>
      <c r="AA4" s="3724" t="s">
        <v>1771</v>
      </c>
      <c r="AB4" s="3754" t="s">
        <v>1772</v>
      </c>
      <c r="AC4" s="3724" t="s">
        <v>1773</v>
      </c>
    </row>
    <row r="5" spans="1:29" ht="15">
      <c r="A5" s="358"/>
      <c r="B5" s="359"/>
      <c r="C5" s="3735" t="s">
        <v>1673</v>
      </c>
      <c r="D5" s="3736"/>
      <c r="E5" s="3733" t="s">
        <v>1674</v>
      </c>
      <c r="F5" s="3734"/>
      <c r="G5" s="3735" t="s">
        <v>1675</v>
      </c>
      <c r="H5" s="3736"/>
      <c r="I5" s="3735" t="s">
        <v>1676</v>
      </c>
      <c r="J5" s="3736"/>
      <c r="K5" s="559"/>
      <c r="L5" s="2711"/>
      <c r="M5" s="2712"/>
      <c r="N5" s="2712"/>
      <c r="O5" s="2712"/>
      <c r="P5" s="3748"/>
      <c r="Q5" s="3749"/>
      <c r="R5" s="3731"/>
      <c r="S5" s="3732"/>
      <c r="T5" s="3731"/>
      <c r="U5" s="3732"/>
      <c r="V5" s="3754"/>
      <c r="W5" s="3754"/>
      <c r="X5" s="1351"/>
      <c r="Y5" s="3731"/>
      <c r="Z5" s="3732"/>
      <c r="AA5" s="3725"/>
      <c r="AB5" s="3754"/>
      <c r="AC5" s="3725"/>
    </row>
    <row r="6" spans="1:29" ht="15.75" thickBot="1">
      <c r="A6" s="360"/>
      <c r="B6" s="361"/>
      <c r="C6" s="3737" t="s">
        <v>1677</v>
      </c>
      <c r="D6" s="3738"/>
      <c r="E6" s="3739" t="s">
        <v>1677</v>
      </c>
      <c r="F6" s="3740"/>
      <c r="G6" s="3737" t="s">
        <v>1677</v>
      </c>
      <c r="H6" s="3738"/>
      <c r="I6" s="3737" t="s">
        <v>1677</v>
      </c>
      <c r="J6" s="3738"/>
      <c r="K6" s="559" t="s">
        <v>1678</v>
      </c>
      <c r="L6" s="2711"/>
      <c r="M6" s="2712"/>
      <c r="N6" s="2712"/>
      <c r="O6" s="2712"/>
      <c r="P6" s="3750"/>
      <c r="Q6" s="3751"/>
      <c r="R6" s="3731"/>
      <c r="S6" s="3732"/>
      <c r="T6" s="3752"/>
      <c r="U6" s="3753"/>
      <c r="V6" s="3754"/>
      <c r="W6" s="3754"/>
      <c r="X6" s="1351"/>
      <c r="Y6" s="3752"/>
      <c r="Z6" s="3753"/>
      <c r="AA6" s="3726"/>
      <c r="AB6" s="3754"/>
      <c r="AC6" s="3726"/>
    </row>
    <row r="7" spans="1:29" s="108" customFormat="1" ht="15.75" thickBot="1">
      <c r="A7" s="362" t="s">
        <v>1679</v>
      </c>
      <c r="B7" s="363"/>
      <c r="C7" s="364">
        <f>'数据-取费表'!B2</f>
        <v>45421</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27" t="s">
        <v>1680</v>
      </c>
      <c r="Q7" s="3755"/>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27" t="s">
        <v>1683</v>
      </c>
      <c r="Q8" s="3728"/>
      <c r="R8" s="701" t="s">
        <v>14</v>
      </c>
      <c r="S8" s="702">
        <f t="shared" si="0"/>
        <v>100</v>
      </c>
      <c r="T8" s="701" t="s">
        <v>14</v>
      </c>
      <c r="U8" s="702">
        <f t="shared" si="1"/>
        <v>100</v>
      </c>
      <c r="V8" s="701" t="s">
        <v>14</v>
      </c>
      <c r="W8" s="702">
        <f t="shared" si="2"/>
        <v>100</v>
      </c>
      <c r="X8" s="703"/>
      <c r="Y8" s="3727" t="s">
        <v>1683</v>
      </c>
      <c r="Z8" s="372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41"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41"/>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41"/>
      <c r="Q11" s="1339"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41"/>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41"/>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41"/>
      <c r="Q14" s="1339">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68" t="s">
        <v>1691</v>
      </c>
      <c r="Q15" s="1348" t="str">
        <f t="shared" si="6"/>
        <v>商业繁华度</v>
      </c>
      <c r="R15" s="705" t="s">
        <v>14</v>
      </c>
      <c r="S15" s="706">
        <f t="shared" si="0"/>
        <v>100</v>
      </c>
      <c r="T15" s="705" t="s">
        <v>14</v>
      </c>
      <c r="U15" s="706">
        <f t="shared" si="1"/>
        <v>100</v>
      </c>
      <c r="V15" s="705" t="s">
        <v>14</v>
      </c>
      <c r="W15" s="706">
        <f t="shared" si="2"/>
        <v>100</v>
      </c>
      <c r="X15" s="1351"/>
      <c r="Y15" s="3761"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8"/>
      <c r="M16" s="2712"/>
      <c r="N16" s="2712"/>
      <c r="O16" s="2712"/>
      <c r="P16" s="3769"/>
      <c r="Q16" s="1348"/>
      <c r="R16" s="705"/>
      <c r="S16" s="706"/>
      <c r="T16" s="705"/>
      <c r="U16" s="706"/>
      <c r="V16" s="705"/>
      <c r="W16" s="706"/>
      <c r="X16" s="1351"/>
      <c r="Y16" s="3762"/>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69"/>
      <c r="Q17" s="1348" t="str">
        <f>B17</f>
        <v>交通便捷度</v>
      </c>
      <c r="R17" s="705" t="s">
        <v>14</v>
      </c>
      <c r="S17" s="706">
        <f>F17</f>
        <v>100</v>
      </c>
      <c r="T17" s="705" t="s">
        <v>14</v>
      </c>
      <c r="U17" s="706">
        <f>H17</f>
        <v>100</v>
      </c>
      <c r="V17" s="705" t="s">
        <v>14</v>
      </c>
      <c r="W17" s="706">
        <f>J17</f>
        <v>100</v>
      </c>
      <c r="X17" s="1351"/>
      <c r="Y17" s="3762"/>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8"/>
      <c r="M18" s="2712"/>
      <c r="N18" s="2712"/>
      <c r="O18" s="2712"/>
      <c r="P18" s="3769"/>
      <c r="Q18" s="1348"/>
      <c r="R18" s="705"/>
      <c r="S18" s="706"/>
      <c r="T18" s="705"/>
      <c r="U18" s="706"/>
      <c r="V18" s="705"/>
      <c r="W18" s="706"/>
      <c r="X18" s="1351"/>
      <c r="Y18" s="3762"/>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69"/>
      <c r="Q19" s="1348" t="str">
        <f>B19</f>
        <v>公共配套设施</v>
      </c>
      <c r="R19" s="705" t="s">
        <v>14</v>
      </c>
      <c r="S19" s="706">
        <f>F19</f>
        <v>100</v>
      </c>
      <c r="T19" s="705" t="s">
        <v>14</v>
      </c>
      <c r="U19" s="706">
        <f>H19</f>
        <v>100</v>
      </c>
      <c r="V19" s="705" t="s">
        <v>14</v>
      </c>
      <c r="W19" s="706">
        <f>J19</f>
        <v>100</v>
      </c>
      <c r="X19" s="1351"/>
      <c r="Y19" s="3762"/>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8"/>
      <c r="M20" s="2712"/>
      <c r="N20" s="2712"/>
      <c r="O20" s="2712"/>
      <c r="P20" s="3769"/>
      <c r="Q20" s="1348"/>
      <c r="R20" s="705"/>
      <c r="S20" s="706"/>
      <c r="T20" s="705"/>
      <c r="U20" s="706"/>
      <c r="V20" s="705"/>
      <c r="W20" s="706"/>
      <c r="X20" s="1351"/>
      <c r="Y20" s="3762"/>
      <c r="Z20" s="1352"/>
      <c r="AA20" s="1349">
        <v>1</v>
      </c>
      <c r="AB20" s="1349">
        <v>1</v>
      </c>
      <c r="AC20" s="1349">
        <v>1</v>
      </c>
    </row>
    <row r="21" spans="1:29" ht="28.5">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69"/>
      <c r="Q21" s="1348" t="str">
        <f>B21</f>
        <v>基础设施水平</v>
      </c>
      <c r="R21" s="705" t="s">
        <v>14</v>
      </c>
      <c r="S21" s="706">
        <f>F21</f>
        <v>100</v>
      </c>
      <c r="T21" s="705" t="s">
        <v>14</v>
      </c>
      <c r="U21" s="706">
        <f>H21</f>
        <v>100</v>
      </c>
      <c r="V21" s="705" t="s">
        <v>14</v>
      </c>
      <c r="W21" s="706">
        <f>J21</f>
        <v>100</v>
      </c>
      <c r="X21" s="1351"/>
      <c r="Y21" s="3762"/>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8"/>
      <c r="M22" s="2712"/>
      <c r="N22" s="2712"/>
      <c r="O22" s="2712"/>
      <c r="P22" s="3769"/>
      <c r="Q22" s="1348"/>
      <c r="R22" s="705"/>
      <c r="S22" s="706"/>
      <c r="T22" s="705"/>
      <c r="U22" s="706"/>
      <c r="V22" s="705"/>
      <c r="W22" s="706"/>
      <c r="X22" s="1351"/>
      <c r="Y22" s="3762"/>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69"/>
      <c r="Q23" s="1348" t="str">
        <f>B23</f>
        <v>自然及人文环境</v>
      </c>
      <c r="R23" s="705" t="s">
        <v>14</v>
      </c>
      <c r="S23" s="706">
        <f>F23</f>
        <v>100</v>
      </c>
      <c r="T23" s="705" t="s">
        <v>14</v>
      </c>
      <c r="U23" s="706">
        <f>H23</f>
        <v>100</v>
      </c>
      <c r="V23" s="705" t="s">
        <v>14</v>
      </c>
      <c r="W23" s="706">
        <f>J23</f>
        <v>100</v>
      </c>
      <c r="X23" s="1351"/>
      <c r="Y23" s="3762"/>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8"/>
      <c r="M24" s="2712"/>
      <c r="N24" s="2712"/>
      <c r="O24" s="2712"/>
      <c r="P24" s="3769"/>
      <c r="Q24" s="1348"/>
      <c r="R24" s="705"/>
      <c r="S24" s="706"/>
      <c r="T24" s="705"/>
      <c r="U24" s="706"/>
      <c r="V24" s="705"/>
      <c r="W24" s="706"/>
      <c r="X24" s="1351"/>
      <c r="Y24" s="3762"/>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69"/>
      <c r="Q25" s="1348" t="str">
        <f t="shared" ref="Q25:Q46" si="11">B25</f>
        <v>临街状况</v>
      </c>
      <c r="R25" s="705" t="s">
        <v>14</v>
      </c>
      <c r="S25" s="706">
        <f>F25</f>
        <v>100</v>
      </c>
      <c r="T25" s="705" t="s">
        <v>14</v>
      </c>
      <c r="U25" s="706">
        <f>H25</f>
        <v>100</v>
      </c>
      <c r="V25" s="705" t="s">
        <v>14</v>
      </c>
      <c r="W25" s="706">
        <f>J25</f>
        <v>100</v>
      </c>
      <c r="X25" s="1351"/>
      <c r="Y25" s="3762"/>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69"/>
      <c r="Q26" s="1348" t="str">
        <f t="shared" si="11"/>
        <v>平面位置/可视性</v>
      </c>
      <c r="R26" s="705" t="s">
        <v>14</v>
      </c>
      <c r="S26" s="706">
        <f>F26</f>
        <v>100</v>
      </c>
      <c r="T26" s="705" t="s">
        <v>14</v>
      </c>
      <c r="U26" s="706">
        <f>H26</f>
        <v>100</v>
      </c>
      <c r="V26" s="705" t="s">
        <v>14</v>
      </c>
      <c r="W26" s="706">
        <f>J26</f>
        <v>100</v>
      </c>
      <c r="X26" s="1351"/>
      <c r="Y26" s="3762"/>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69"/>
      <c r="Q27" s="1339" t="str">
        <f t="shared" si="11"/>
        <v>人流量</v>
      </c>
      <c r="R27" s="701" t="s">
        <v>14</v>
      </c>
      <c r="S27" s="702">
        <f>F27</f>
        <v>100</v>
      </c>
      <c r="T27" s="701" t="s">
        <v>14</v>
      </c>
      <c r="U27" s="702">
        <f>H27</f>
        <v>100</v>
      </c>
      <c r="V27" s="701" t="s">
        <v>14</v>
      </c>
      <c r="W27" s="702">
        <f>J27</f>
        <v>100</v>
      </c>
      <c r="X27" s="703"/>
      <c r="Y27" s="3762"/>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69"/>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62"/>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69"/>
      <c r="Q29" s="1348">
        <f t="shared" si="11"/>
        <v>111</v>
      </c>
      <c r="R29" s="705" t="s">
        <v>14</v>
      </c>
      <c r="S29" s="706">
        <f t="shared" si="12"/>
        <v>100</v>
      </c>
      <c r="T29" s="705" t="s">
        <v>14</v>
      </c>
      <c r="U29" s="706">
        <f t="shared" si="13"/>
        <v>100</v>
      </c>
      <c r="V29" s="705" t="s">
        <v>14</v>
      </c>
      <c r="W29" s="706">
        <f t="shared" si="14"/>
        <v>100</v>
      </c>
      <c r="X29" s="1351"/>
      <c r="Y29" s="3762"/>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69"/>
      <c r="Q30" s="1348">
        <f t="shared" si="11"/>
        <v>111</v>
      </c>
      <c r="R30" s="705" t="s">
        <v>14</v>
      </c>
      <c r="S30" s="706">
        <f t="shared" si="12"/>
        <v>100</v>
      </c>
      <c r="T30" s="705" t="s">
        <v>14</v>
      </c>
      <c r="U30" s="706">
        <f t="shared" si="13"/>
        <v>100</v>
      </c>
      <c r="V30" s="705" t="s">
        <v>14</v>
      </c>
      <c r="W30" s="706">
        <f t="shared" si="14"/>
        <v>100</v>
      </c>
      <c r="X30" s="1351"/>
      <c r="Y30" s="3762"/>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69"/>
      <c r="Q31" s="1348">
        <f t="shared" si="11"/>
        <v>111</v>
      </c>
      <c r="R31" s="705" t="s">
        <v>14</v>
      </c>
      <c r="S31" s="706">
        <f t="shared" si="12"/>
        <v>100</v>
      </c>
      <c r="T31" s="705" t="s">
        <v>14</v>
      </c>
      <c r="U31" s="706">
        <f t="shared" si="13"/>
        <v>100</v>
      </c>
      <c r="V31" s="705" t="s">
        <v>14</v>
      </c>
      <c r="W31" s="706">
        <f t="shared" si="14"/>
        <v>100</v>
      </c>
      <c r="X31" s="1351"/>
      <c r="Y31" s="3762"/>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8"/>
      <c r="M32" s="2712"/>
      <c r="N32" s="2712"/>
      <c r="O32" s="2712"/>
      <c r="P32" s="3763" t="s">
        <v>1696</v>
      </c>
      <c r="Q32" s="1348" t="str">
        <f t="shared" si="11"/>
        <v>商业类型</v>
      </c>
      <c r="R32" s="705" t="s">
        <v>14</v>
      </c>
      <c r="S32" s="706">
        <f t="shared" si="12"/>
        <v>100</v>
      </c>
      <c r="T32" s="705" t="s">
        <v>14</v>
      </c>
      <c r="U32" s="706">
        <f t="shared" si="13"/>
        <v>100</v>
      </c>
      <c r="V32" s="705" t="s">
        <v>14</v>
      </c>
      <c r="W32" s="706">
        <f t="shared" si="14"/>
        <v>100</v>
      </c>
      <c r="X32" s="1351"/>
      <c r="Y32" s="3766"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64"/>
      <c r="Q33" s="707" t="str">
        <f t="shared" si="11"/>
        <v>项目建筑规模</v>
      </c>
      <c r="R33" s="708" t="s">
        <v>14</v>
      </c>
      <c r="S33" s="709" t="e">
        <f t="shared" si="12"/>
        <v>#N/A</v>
      </c>
      <c r="T33" s="708" t="s">
        <v>14</v>
      </c>
      <c r="U33" s="709" t="e">
        <f t="shared" si="13"/>
        <v>#N/A</v>
      </c>
      <c r="V33" s="708" t="s">
        <v>14</v>
      </c>
      <c r="W33" s="709" t="e">
        <f t="shared" si="14"/>
        <v>#N/A</v>
      </c>
      <c r="X33" s="710"/>
      <c r="Y33" s="3766"/>
      <c r="Z33" s="711"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764"/>
      <c r="Q34" s="1348" t="str">
        <f t="shared" si="11"/>
        <v>建筑结构</v>
      </c>
      <c r="R34" s="705" t="s">
        <v>14</v>
      </c>
      <c r="S34" s="706">
        <f t="shared" si="12"/>
        <v>100</v>
      </c>
      <c r="T34" s="705" t="s">
        <v>14</v>
      </c>
      <c r="U34" s="706">
        <f t="shared" si="13"/>
        <v>100</v>
      </c>
      <c r="V34" s="705" t="s">
        <v>14</v>
      </c>
      <c r="W34" s="706">
        <f t="shared" si="14"/>
        <v>100</v>
      </c>
      <c r="X34" s="1351"/>
      <c r="Y34" s="3766"/>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64"/>
      <c r="Q35" s="1348" t="str">
        <f t="shared" si="11"/>
        <v>公共部分装修</v>
      </c>
      <c r="R35" s="705" t="s">
        <v>14</v>
      </c>
      <c r="S35" s="706">
        <f t="shared" si="12"/>
        <v>100</v>
      </c>
      <c r="T35" s="705" t="s">
        <v>14</v>
      </c>
      <c r="U35" s="706">
        <f t="shared" si="13"/>
        <v>100</v>
      </c>
      <c r="V35" s="705" t="s">
        <v>14</v>
      </c>
      <c r="W35" s="706">
        <f t="shared" si="14"/>
        <v>100</v>
      </c>
      <c r="X35" s="1351"/>
      <c r="Y35" s="3766"/>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64"/>
      <c r="Q36" s="1348" t="str">
        <f t="shared" si="11"/>
        <v>成新度</v>
      </c>
      <c r="R36" s="705" t="s">
        <v>14</v>
      </c>
      <c r="S36" s="706" t="e">
        <f t="shared" si="12"/>
        <v>#N/A</v>
      </c>
      <c r="T36" s="705" t="s">
        <v>14</v>
      </c>
      <c r="U36" s="706" t="e">
        <f t="shared" si="13"/>
        <v>#N/A</v>
      </c>
      <c r="V36" s="705" t="s">
        <v>14</v>
      </c>
      <c r="W36" s="706" t="e">
        <f t="shared" si="14"/>
        <v>#N/A</v>
      </c>
      <c r="X36" s="1351"/>
      <c r="Y36" s="3766"/>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764"/>
      <c r="Q37" s="1339" t="str">
        <f t="shared" si="11"/>
        <v>市政基础设施</v>
      </c>
      <c r="R37" s="701" t="s">
        <v>14</v>
      </c>
      <c r="S37" s="702">
        <f t="shared" si="12"/>
        <v>100</v>
      </c>
      <c r="T37" s="701" t="s">
        <v>14</v>
      </c>
      <c r="U37" s="702">
        <f t="shared" si="13"/>
        <v>100</v>
      </c>
      <c r="V37" s="701" t="s">
        <v>14</v>
      </c>
      <c r="W37" s="702">
        <f t="shared" si="14"/>
        <v>100</v>
      </c>
      <c r="X37" s="703"/>
      <c r="Y37" s="3766"/>
      <c r="Z37" s="52" t="str">
        <f t="shared" si="15"/>
        <v>市政基础设施</v>
      </c>
      <c r="AA37" s="704">
        <f t="shared" si="3"/>
        <v>1</v>
      </c>
      <c r="AB37" s="704">
        <f t="shared" si="4"/>
        <v>1</v>
      </c>
      <c r="AC37" s="704">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764" t="s">
        <v>1696</v>
      </c>
      <c r="Q38" s="1348" t="str">
        <f t="shared" si="11"/>
        <v>业态</v>
      </c>
      <c r="R38" s="705" t="s">
        <v>14</v>
      </c>
      <c r="S38" s="706">
        <f t="shared" si="12"/>
        <v>100</v>
      </c>
      <c r="T38" s="705" t="s">
        <v>14</v>
      </c>
      <c r="U38" s="706">
        <f t="shared" si="13"/>
        <v>100</v>
      </c>
      <c r="V38" s="705" t="s">
        <v>14</v>
      </c>
      <c r="W38" s="706">
        <f t="shared" si="14"/>
        <v>100</v>
      </c>
      <c r="X38" s="1351"/>
      <c r="Y38" s="3766"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64"/>
      <c r="Q39" s="1348" t="str">
        <f t="shared" si="11"/>
        <v>层高</v>
      </c>
      <c r="R39" s="705" t="s">
        <v>14</v>
      </c>
      <c r="S39" s="706">
        <f t="shared" si="12"/>
        <v>100</v>
      </c>
      <c r="T39" s="705" t="s">
        <v>14</v>
      </c>
      <c r="U39" s="706">
        <f t="shared" si="13"/>
        <v>100</v>
      </c>
      <c r="V39" s="705" t="s">
        <v>14</v>
      </c>
      <c r="W39" s="706">
        <f t="shared" si="14"/>
        <v>100</v>
      </c>
      <c r="X39" s="1351"/>
      <c r="Y39" s="3766"/>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64"/>
      <c r="Q40" s="1348" t="str">
        <f t="shared" si="11"/>
        <v>单套建筑面积</v>
      </c>
      <c r="R40" s="705" t="s">
        <v>14</v>
      </c>
      <c r="S40" s="706">
        <f t="shared" si="12"/>
        <v>100</v>
      </c>
      <c r="T40" s="705" t="s">
        <v>14</v>
      </c>
      <c r="U40" s="706">
        <f t="shared" si="13"/>
        <v>100</v>
      </c>
      <c r="V40" s="705" t="s">
        <v>14</v>
      </c>
      <c r="W40" s="706">
        <f t="shared" si="14"/>
        <v>100</v>
      </c>
      <c r="X40" s="1351"/>
      <c r="Y40" s="3766"/>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64"/>
      <c r="Q41" s="707" t="str">
        <f t="shared" si="11"/>
        <v>进深比</v>
      </c>
      <c r="R41" s="708" t="s">
        <v>14</v>
      </c>
      <c r="S41" s="709">
        <f t="shared" si="12"/>
        <v>100</v>
      </c>
      <c r="T41" s="708" t="s">
        <v>14</v>
      </c>
      <c r="U41" s="709">
        <f t="shared" si="13"/>
        <v>100</v>
      </c>
      <c r="V41" s="708" t="s">
        <v>14</v>
      </c>
      <c r="W41" s="709">
        <f t="shared" si="14"/>
        <v>100</v>
      </c>
      <c r="X41" s="710"/>
      <c r="Y41" s="3766"/>
      <c r="Z41" s="711"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764"/>
      <c r="Q42" s="1348" t="str">
        <f t="shared" si="11"/>
        <v>内部装修</v>
      </c>
      <c r="R42" s="705" t="s">
        <v>14</v>
      </c>
      <c r="S42" s="706">
        <f t="shared" si="12"/>
        <v>100</v>
      </c>
      <c r="T42" s="705" t="s">
        <v>14</v>
      </c>
      <c r="U42" s="706">
        <f t="shared" si="13"/>
        <v>100</v>
      </c>
      <c r="V42" s="705" t="s">
        <v>14</v>
      </c>
      <c r="W42" s="706">
        <f t="shared" si="14"/>
        <v>100</v>
      </c>
      <c r="X42" s="1351"/>
      <c r="Y42" s="3766"/>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764"/>
      <c r="Q43" s="1348" t="str">
        <f t="shared" si="11"/>
        <v>内部装修维护情况</v>
      </c>
      <c r="R43" s="705" t="s">
        <v>14</v>
      </c>
      <c r="S43" s="706">
        <f t="shared" si="12"/>
        <v>100</v>
      </c>
      <c r="T43" s="705" t="s">
        <v>14</v>
      </c>
      <c r="U43" s="706">
        <f t="shared" si="13"/>
        <v>100</v>
      </c>
      <c r="V43" s="705" t="s">
        <v>14</v>
      </c>
      <c r="W43" s="706">
        <f t="shared" si="14"/>
        <v>100</v>
      </c>
      <c r="X43" s="1351"/>
      <c r="Y43" s="3766"/>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64"/>
      <c r="Q44" s="1339">
        <f t="shared" si="11"/>
        <v>111</v>
      </c>
      <c r="R44" s="701" t="s">
        <v>14</v>
      </c>
      <c r="S44" s="702">
        <f t="shared" si="12"/>
        <v>100</v>
      </c>
      <c r="T44" s="701" t="s">
        <v>14</v>
      </c>
      <c r="U44" s="702">
        <f t="shared" si="13"/>
        <v>100</v>
      </c>
      <c r="V44" s="701" t="s">
        <v>14</v>
      </c>
      <c r="W44" s="702">
        <f t="shared" si="14"/>
        <v>100</v>
      </c>
      <c r="X44" s="703"/>
      <c r="Y44" s="3766"/>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64"/>
      <c r="Q45" s="1348">
        <f t="shared" si="11"/>
        <v>111</v>
      </c>
      <c r="R45" s="705" t="s">
        <v>14</v>
      </c>
      <c r="S45" s="706">
        <f t="shared" si="12"/>
        <v>100</v>
      </c>
      <c r="T45" s="705" t="s">
        <v>14</v>
      </c>
      <c r="U45" s="706">
        <f t="shared" si="13"/>
        <v>100</v>
      </c>
      <c r="V45" s="705" t="s">
        <v>14</v>
      </c>
      <c r="W45" s="706">
        <f t="shared" si="14"/>
        <v>100</v>
      </c>
      <c r="X45" s="1351"/>
      <c r="Y45" s="3766"/>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65"/>
      <c r="Q46" s="1348">
        <f t="shared" si="11"/>
        <v>111</v>
      </c>
      <c r="R46" s="705" t="s">
        <v>14</v>
      </c>
      <c r="S46" s="706">
        <f t="shared" si="12"/>
        <v>100</v>
      </c>
      <c r="T46" s="705" t="s">
        <v>14</v>
      </c>
      <c r="U46" s="706">
        <f t="shared" si="13"/>
        <v>100</v>
      </c>
      <c r="V46" s="705" t="s">
        <v>14</v>
      </c>
      <c r="W46" s="706">
        <f t="shared" si="14"/>
        <v>100</v>
      </c>
      <c r="X46" s="1351"/>
      <c r="Y46" s="3767"/>
      <c r="Z46" s="1352">
        <f t="shared" si="15"/>
        <v>111</v>
      </c>
      <c r="AA46" s="1349">
        <f t="shared" si="3"/>
        <v>1</v>
      </c>
      <c r="AB46" s="1349">
        <f t="shared" si="4"/>
        <v>1</v>
      </c>
      <c r="AC46" s="1349">
        <f t="shared" si="5"/>
        <v>1</v>
      </c>
    </row>
    <row r="47" spans="1:29" ht="15">
      <c r="A47" s="430" t="s">
        <v>1708</v>
      </c>
      <c r="B47" s="431"/>
      <c r="C47" s="1150" t="s">
        <v>0</v>
      </c>
      <c r="D47" s="1151"/>
      <c r="E47" s="1152"/>
      <c r="F47" s="1153"/>
      <c r="G47" s="1154"/>
      <c r="H47" s="1155"/>
      <c r="I47" s="1152"/>
      <c r="J47" s="1155"/>
      <c r="K47" s="714"/>
      <c r="L47" s="2720"/>
      <c r="M47" s="2721"/>
      <c r="N47" s="2712"/>
      <c r="O47" s="2721"/>
      <c r="P47" s="3759" t="str">
        <f>A47</f>
        <v>成交单价（元/平方米）</v>
      </c>
      <c r="Q47" s="3759"/>
      <c r="R47" s="3754">
        <f>E47</f>
        <v>0</v>
      </c>
      <c r="S47" s="3754"/>
      <c r="T47" s="3754">
        <f>G47</f>
        <v>0</v>
      </c>
      <c r="U47" s="3754"/>
      <c r="V47" s="3754">
        <f>I47</f>
        <v>0</v>
      </c>
      <c r="W47" s="3754"/>
      <c r="X47" s="690"/>
      <c r="Y47" s="712"/>
      <c r="Z47" s="690"/>
      <c r="AA47" s="690"/>
      <c r="AB47" s="690"/>
      <c r="AC47" s="690"/>
    </row>
    <row r="48" spans="1:29" ht="15.75" thickBot="1">
      <c r="A48" s="437" t="s">
        <v>1793</v>
      </c>
      <c r="B48" s="438"/>
      <c r="C48" s="1156" t="e">
        <f>R49</f>
        <v>#DIV/0!</v>
      </c>
      <c r="D48" s="2313" t="s">
        <v>2138</v>
      </c>
      <c r="E48" s="1157" t="e">
        <f>R48</f>
        <v>#DIV/0!</v>
      </c>
      <c r="F48" s="2314"/>
      <c r="G48" s="1156" t="e">
        <f>T48</f>
        <v>#DIV/0!</v>
      </c>
      <c r="H48" s="2314"/>
      <c r="I48" s="1157" t="e">
        <f>V48</f>
        <v>#DIV/0!</v>
      </c>
      <c r="J48" s="2314"/>
      <c r="K48" s="2316">
        <f>F48+H48+J48</f>
        <v>0</v>
      </c>
      <c r="L48" s="2720"/>
      <c r="M48" s="2721"/>
      <c r="N48" s="2712"/>
      <c r="O48" s="2721"/>
      <c r="P48" s="3759" t="str">
        <f>A48</f>
        <v>比较价值（元/平方米）</v>
      </c>
      <c r="Q48" s="3759"/>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90"/>
      <c r="Y48" s="690"/>
      <c r="Z48" s="690"/>
      <c r="AA48" s="690"/>
      <c r="AB48" s="690"/>
      <c r="AC48" s="690"/>
    </row>
    <row r="49" spans="1:29" ht="15.75" thickBot="1">
      <c r="A49" s="441" t="s">
        <v>1794</v>
      </c>
      <c r="B49" s="442"/>
      <c r="C49" s="1159" t="e">
        <f>R49</f>
        <v>#DIV/0!</v>
      </c>
      <c r="D49" s="1159"/>
      <c r="E49" s="1159"/>
      <c r="F49" s="1159"/>
      <c r="G49" s="1159"/>
      <c r="H49" s="1159"/>
      <c r="I49" s="1159"/>
      <c r="J49" s="1159"/>
      <c r="K49" s="715"/>
      <c r="L49" s="2720"/>
      <c r="M49" s="2721"/>
      <c r="N49" s="2712"/>
      <c r="O49" s="2721"/>
      <c r="P49" s="3756" t="str">
        <f>A49</f>
        <v>估价对象XX用房的比较价值（楼面单价，元/平方米）</v>
      </c>
      <c r="Q49" s="3757"/>
      <c r="R49" s="3758" t="e">
        <f>IF(F1="售价",ROUND(IF(D48="简单平均",AVERAGE(R48:V48),R48*F48+T48*H48+V48*J48),0),ROUND(IF(D48="简单平均",AVERAGE(R48:V48),R48*F48+T48*H48+V48*J48),1))</f>
        <v>#DIV/0!</v>
      </c>
      <c r="S49" s="3758"/>
      <c r="T49" s="3758"/>
      <c r="U49" s="3758"/>
      <c r="V49" s="3758"/>
      <c r="W49" s="375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38"/>
      <c r="M57" s="936"/>
      <c r="N57" s="936"/>
      <c r="O57" s="936"/>
      <c r="P57" s="2734"/>
      <c r="Q57" s="2735"/>
      <c r="R57" s="2721"/>
      <c r="S57" s="2721"/>
      <c r="T57" s="2721"/>
      <c r="U57" s="2721"/>
      <c r="V57" s="2721"/>
      <c r="W57" s="2721"/>
      <c r="X57" s="2721"/>
      <c r="Y57" s="2721"/>
      <c r="Z57" s="2721"/>
      <c r="AA57" s="2721"/>
      <c r="AB57" s="2721"/>
      <c r="AC57" s="2721"/>
    </row>
    <row r="58" spans="1:29" s="457" customFormat="1" ht="15">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 怀柔区开放东路21号3幢1层、4幢1层、5幢1层、6幢1层、7-2幢1层全部房地产抵押价值进行了预评估。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 怀柔区开放东路21号3幢1层、4幢1层、5幢1层、6幢1层、7-2幢1层全部房地产，为所有。根据《国有土地使用证》[]，估价对象（分摊）出让国有建设用地使用权面积为5389.47平方米，建筑面积为2447.34平方米。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 怀柔区开放东路21号3幢1层、4幢1层、5幢1层、6幢1层、7-2幢1层全部房地产,属开发建设的工业项目，该项目尚在开发建设中。根据《国有土地使用证》[]，估价对象（分摊）出让国有建设用地使用权面积为5389.47平方米，规划建筑面积为2447.34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 怀柔区开放东路21号3幢1层、4幢1层、5幢1层、6幢1层、7-2幢1层全部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2024年5月9日（评估专业人员实地查勘之日）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9日，估价对象规划用途为厂房，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2447.34</v>
      </c>
      <c r="E3" s="1950"/>
      <c r="F3" s="905"/>
      <c r="G3" s="904"/>
      <c r="H3" s="904"/>
      <c r="I3" s="904"/>
      <c r="J3" s="904"/>
      <c r="K3" s="906"/>
      <c r="L3" s="2730"/>
      <c r="M3" s="2731"/>
      <c r="N3" s="2731"/>
      <c r="O3" s="2731"/>
      <c r="P3" s="699"/>
      <c r="Q3" s="699"/>
      <c r="R3" s="699"/>
      <c r="S3" s="699"/>
      <c r="T3" s="699"/>
      <c r="U3" s="699"/>
      <c r="V3" s="699"/>
      <c r="W3" s="699"/>
      <c r="X3" s="699"/>
      <c r="Y3" s="699"/>
      <c r="Z3" s="699"/>
      <c r="AA3" s="699"/>
      <c r="AB3" s="699"/>
      <c r="AC3" s="700"/>
    </row>
    <row r="4" spans="1:29" ht="15">
      <c r="A4" s="355" t="s">
        <v>1769</v>
      </c>
      <c r="B4" s="356"/>
      <c r="C4" s="3742" t="s">
        <v>1770</v>
      </c>
      <c r="D4" s="3743"/>
      <c r="E4" s="3744" t="s">
        <v>1771</v>
      </c>
      <c r="F4" s="3745"/>
      <c r="G4" s="3742" t="s">
        <v>1772</v>
      </c>
      <c r="H4" s="3743"/>
      <c r="I4" s="3742" t="s">
        <v>1773</v>
      </c>
      <c r="J4" s="3743"/>
      <c r="K4" s="559" t="s">
        <v>1774</v>
      </c>
      <c r="L4" s="2711"/>
      <c r="M4" s="2712"/>
      <c r="N4" s="2712"/>
      <c r="O4" s="2712"/>
      <c r="P4" s="3776" t="s">
        <v>1775</v>
      </c>
      <c r="Q4" s="3777"/>
      <c r="R4" s="3771" t="s">
        <v>1771</v>
      </c>
      <c r="S4" s="3772"/>
      <c r="T4" s="3771" t="s">
        <v>1772</v>
      </c>
      <c r="U4" s="3772"/>
      <c r="V4" s="3780" t="s">
        <v>1773</v>
      </c>
      <c r="W4" s="3780"/>
      <c r="X4" s="1954"/>
      <c r="Y4" s="3771" t="s">
        <v>1775</v>
      </c>
      <c r="Z4" s="3772"/>
      <c r="AA4" s="3770" t="s">
        <v>1771</v>
      </c>
      <c r="AB4" s="3770" t="s">
        <v>1772</v>
      </c>
      <c r="AC4" s="3773" t="s">
        <v>1773</v>
      </c>
    </row>
    <row r="5" spans="1:29" ht="15">
      <c r="A5" s="358"/>
      <c r="B5" s="359"/>
      <c r="C5" s="3735" t="s">
        <v>1673</v>
      </c>
      <c r="D5" s="3736"/>
      <c r="E5" s="3733" t="s">
        <v>1674</v>
      </c>
      <c r="F5" s="3734"/>
      <c r="G5" s="3735" t="s">
        <v>1675</v>
      </c>
      <c r="H5" s="3736"/>
      <c r="I5" s="3735" t="s">
        <v>1676</v>
      </c>
      <c r="J5" s="3736"/>
      <c r="K5" s="559"/>
      <c r="L5" s="2711"/>
      <c r="M5" s="2712"/>
      <c r="N5" s="2712"/>
      <c r="O5" s="2712"/>
      <c r="P5" s="3778"/>
      <c r="Q5" s="3749"/>
      <c r="R5" s="3731"/>
      <c r="S5" s="3732"/>
      <c r="T5" s="3731"/>
      <c r="U5" s="3732"/>
      <c r="V5" s="3754"/>
      <c r="W5" s="3754"/>
      <c r="X5" s="1351"/>
      <c r="Y5" s="3731"/>
      <c r="Z5" s="3732"/>
      <c r="AA5" s="3725"/>
      <c r="AB5" s="3725"/>
      <c r="AC5" s="3774"/>
    </row>
    <row r="6" spans="1:29" ht="15.75" thickBot="1">
      <c r="A6" s="360"/>
      <c r="B6" s="361"/>
      <c r="C6" s="3737" t="s">
        <v>1677</v>
      </c>
      <c r="D6" s="3738"/>
      <c r="E6" s="3739" t="s">
        <v>1677</v>
      </c>
      <c r="F6" s="3740"/>
      <c r="G6" s="3737" t="s">
        <v>1677</v>
      </c>
      <c r="H6" s="3738"/>
      <c r="I6" s="3737" t="s">
        <v>1677</v>
      </c>
      <c r="J6" s="3738"/>
      <c r="K6" s="559" t="s">
        <v>1678</v>
      </c>
      <c r="L6" s="2711"/>
      <c r="M6" s="2712"/>
      <c r="N6" s="2712"/>
      <c r="O6" s="2712"/>
      <c r="P6" s="3779"/>
      <c r="Q6" s="3751"/>
      <c r="R6" s="3731"/>
      <c r="S6" s="3732"/>
      <c r="T6" s="3752"/>
      <c r="U6" s="3753"/>
      <c r="V6" s="3754"/>
      <c r="W6" s="3754"/>
      <c r="X6" s="1351"/>
      <c r="Y6" s="3752"/>
      <c r="Z6" s="3753"/>
      <c r="AA6" s="3726"/>
      <c r="AB6" s="3726"/>
      <c r="AC6" s="3775"/>
    </row>
    <row r="7" spans="1:29" s="108" customFormat="1" ht="15.75" thickBot="1">
      <c r="A7" s="362" t="s">
        <v>1679</v>
      </c>
      <c r="B7" s="363"/>
      <c r="C7" s="364">
        <f>'数据-取费表'!B2</f>
        <v>45421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1" t="s">
        <v>1680</v>
      </c>
      <c r="Q7" s="3755"/>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1" t="s">
        <v>1683</v>
      </c>
      <c r="Q8" s="3728"/>
      <c r="R8" s="701" t="s">
        <v>14</v>
      </c>
      <c r="S8" s="702">
        <f t="shared" si="0"/>
        <v>100</v>
      </c>
      <c r="T8" s="701" t="s">
        <v>14</v>
      </c>
      <c r="U8" s="702">
        <f t="shared" si="1"/>
        <v>100</v>
      </c>
      <c r="V8" s="701" t="s">
        <v>14</v>
      </c>
      <c r="W8" s="702">
        <f t="shared" si="2"/>
        <v>100</v>
      </c>
      <c r="X8" s="703"/>
      <c r="Y8" s="3727" t="s">
        <v>1683</v>
      </c>
      <c r="Z8" s="3728"/>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41"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41"/>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41"/>
      <c r="Q11" s="1339" t="str">
        <f t="shared" si="6"/>
        <v>容积率</v>
      </c>
      <c r="R11" s="701" t="s">
        <v>14</v>
      </c>
      <c r="S11" s="702">
        <f t="shared" si="0"/>
        <v>100</v>
      </c>
      <c r="T11" s="701" t="s">
        <v>14</v>
      </c>
      <c r="U11" s="702">
        <f t="shared" si="1"/>
        <v>100</v>
      </c>
      <c r="V11" s="701" t="s">
        <v>14</v>
      </c>
      <c r="W11" s="702">
        <f t="shared" si="2"/>
        <v>100</v>
      </c>
      <c r="X11" s="703"/>
      <c r="Y11" s="3652"/>
      <c r="Z11" s="52" t="str">
        <f t="shared" si="7"/>
        <v>容积率</v>
      </c>
      <c r="AA11" s="704">
        <f t="shared" si="3"/>
        <v>1</v>
      </c>
      <c r="AB11" s="704">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41"/>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41"/>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41"/>
      <c r="Q14" s="1339">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68" t="s">
        <v>1691</v>
      </c>
      <c r="Q15" s="1348" t="str">
        <f t="shared" si="6"/>
        <v>办公集聚程度</v>
      </c>
      <c r="R15" s="705" t="s">
        <v>14</v>
      </c>
      <c r="S15" s="706">
        <f t="shared" si="0"/>
        <v>100</v>
      </c>
      <c r="T15" s="705" t="s">
        <v>14</v>
      </c>
      <c r="U15" s="706">
        <f t="shared" si="1"/>
        <v>100</v>
      </c>
      <c r="V15" s="705" t="s">
        <v>14</v>
      </c>
      <c r="W15" s="706">
        <f t="shared" si="2"/>
        <v>100</v>
      </c>
      <c r="X15" s="1351"/>
      <c r="Y15" s="3761" t="s">
        <v>1691</v>
      </c>
      <c r="Z15" s="1352" t="str">
        <f t="shared" si="7"/>
        <v>办公集聚程度</v>
      </c>
      <c r="AA15" s="1349">
        <f t="shared" si="3"/>
        <v>1</v>
      </c>
      <c r="AB15" s="1349">
        <f t="shared" si="4"/>
        <v>1</v>
      </c>
      <c r="AC15" s="1958">
        <f t="shared" si="5"/>
        <v>1</v>
      </c>
    </row>
    <row r="16" spans="1:29" ht="15">
      <c r="A16" s="379"/>
      <c r="B16" s="578"/>
      <c r="C16" s="1900"/>
      <c r="D16" s="399"/>
      <c r="E16" s="398"/>
      <c r="F16" s="399"/>
      <c r="G16" s="1900"/>
      <c r="H16" s="401"/>
      <c r="I16" s="398"/>
      <c r="J16" s="399"/>
      <c r="K16" s="564"/>
      <c r="L16" s="2718"/>
      <c r="M16" s="2712"/>
      <c r="N16" s="2712"/>
      <c r="O16" s="2712"/>
      <c r="P16" s="3769"/>
      <c r="Q16" s="1348"/>
      <c r="R16" s="705"/>
      <c r="S16" s="706"/>
      <c r="T16" s="705"/>
      <c r="U16" s="706"/>
      <c r="V16" s="705"/>
      <c r="W16" s="706"/>
      <c r="X16" s="1351"/>
      <c r="Y16" s="3762"/>
      <c r="Z16" s="1352"/>
      <c r="AA16" s="1349">
        <v>1</v>
      </c>
      <c r="AB16" s="13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69"/>
      <c r="Q17" s="1348" t="str">
        <f>B17</f>
        <v>交通便捷度</v>
      </c>
      <c r="R17" s="705" t="s">
        <v>14</v>
      </c>
      <c r="S17" s="706">
        <f>F17</f>
        <v>100</v>
      </c>
      <c r="T17" s="705" t="s">
        <v>14</v>
      </c>
      <c r="U17" s="706">
        <f>H17</f>
        <v>100</v>
      </c>
      <c r="V17" s="705" t="s">
        <v>14</v>
      </c>
      <c r="W17" s="706">
        <f>J17</f>
        <v>100</v>
      </c>
      <c r="X17" s="1351"/>
      <c r="Y17" s="3762"/>
      <c r="Z17" s="1352" t="str">
        <f>Q17</f>
        <v>交通便捷度</v>
      </c>
      <c r="AA17" s="1349">
        <f t="shared" si="3"/>
        <v>1</v>
      </c>
      <c r="AB17" s="1349">
        <f t="shared" si="4"/>
        <v>1</v>
      </c>
      <c r="AC17" s="1958">
        <f t="shared" si="5"/>
        <v>1</v>
      </c>
    </row>
    <row r="18" spans="1:29" ht="15">
      <c r="A18" s="379"/>
      <c r="B18" s="580"/>
      <c r="C18" s="1960"/>
      <c r="D18" s="401"/>
      <c r="E18" s="1898"/>
      <c r="F18" s="401"/>
      <c r="G18" s="1899"/>
      <c r="H18" s="399"/>
      <c r="I18" s="1899"/>
      <c r="J18" s="399"/>
      <c r="K18" s="564"/>
      <c r="L18" s="2718"/>
      <c r="M18" s="2712"/>
      <c r="N18" s="2712"/>
      <c r="O18" s="2712"/>
      <c r="P18" s="3769"/>
      <c r="Q18" s="1348"/>
      <c r="R18" s="705"/>
      <c r="S18" s="706"/>
      <c r="T18" s="705"/>
      <c r="U18" s="706"/>
      <c r="V18" s="705"/>
      <c r="W18" s="706"/>
      <c r="X18" s="1351"/>
      <c r="Y18" s="3762"/>
      <c r="Z18" s="1352"/>
      <c r="AA18" s="1349">
        <v>1</v>
      </c>
      <c r="AB18" s="13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69"/>
      <c r="Q19" s="1348" t="str">
        <f>B19</f>
        <v>公共配套设施</v>
      </c>
      <c r="R19" s="705" t="s">
        <v>14</v>
      </c>
      <c r="S19" s="706">
        <f>F19</f>
        <v>100</v>
      </c>
      <c r="T19" s="705" t="s">
        <v>14</v>
      </c>
      <c r="U19" s="706">
        <f>H19</f>
        <v>100</v>
      </c>
      <c r="V19" s="705" t="s">
        <v>14</v>
      </c>
      <c r="W19" s="706">
        <f>J19</f>
        <v>100</v>
      </c>
      <c r="X19" s="1351"/>
      <c r="Y19" s="3762"/>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8"/>
      <c r="M20" s="2712"/>
      <c r="N20" s="2712"/>
      <c r="O20" s="2712"/>
      <c r="P20" s="3769"/>
      <c r="Q20" s="1348"/>
      <c r="R20" s="705"/>
      <c r="S20" s="706"/>
      <c r="T20" s="705"/>
      <c r="U20" s="706"/>
      <c r="V20" s="705"/>
      <c r="W20" s="706"/>
      <c r="X20" s="1351"/>
      <c r="Y20" s="3762"/>
      <c r="Z20" s="1352"/>
      <c r="AA20" s="1349">
        <v>1</v>
      </c>
      <c r="AB20" s="13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69"/>
      <c r="Q21" s="1348" t="str">
        <f>B21</f>
        <v>基础设施水平</v>
      </c>
      <c r="R21" s="705" t="s">
        <v>14</v>
      </c>
      <c r="S21" s="706">
        <f>F21</f>
        <v>100</v>
      </c>
      <c r="T21" s="705" t="s">
        <v>14</v>
      </c>
      <c r="U21" s="706">
        <f>H21</f>
        <v>100</v>
      </c>
      <c r="V21" s="705" t="s">
        <v>14</v>
      </c>
      <c r="W21" s="706">
        <f>J21</f>
        <v>100</v>
      </c>
      <c r="X21" s="1351"/>
      <c r="Y21" s="3762"/>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6"/>
      <c r="L22" s="2718"/>
      <c r="M22" s="2712"/>
      <c r="N22" s="2712"/>
      <c r="O22" s="2712"/>
      <c r="P22" s="3769"/>
      <c r="Q22" s="1348"/>
      <c r="R22" s="705"/>
      <c r="S22" s="706"/>
      <c r="T22" s="705"/>
      <c r="U22" s="706"/>
      <c r="V22" s="705"/>
      <c r="W22" s="706"/>
      <c r="X22" s="1351"/>
      <c r="Y22" s="3762"/>
      <c r="Z22" s="1352"/>
      <c r="AA22" s="1349">
        <v>1</v>
      </c>
      <c r="AB22" s="13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69"/>
      <c r="Q23" s="1348" t="str">
        <f>B23</f>
        <v>环境质量</v>
      </c>
      <c r="R23" s="705" t="s">
        <v>14</v>
      </c>
      <c r="S23" s="706">
        <f>F23</f>
        <v>100</v>
      </c>
      <c r="T23" s="705" t="s">
        <v>14</v>
      </c>
      <c r="U23" s="706">
        <f>H23</f>
        <v>100</v>
      </c>
      <c r="V23" s="705" t="s">
        <v>14</v>
      </c>
      <c r="W23" s="706">
        <f>J23</f>
        <v>100</v>
      </c>
      <c r="X23" s="1351"/>
      <c r="Y23" s="3762"/>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8"/>
      <c r="M24" s="2712"/>
      <c r="N24" s="2712"/>
      <c r="O24" s="2712"/>
      <c r="P24" s="3769"/>
      <c r="Q24" s="1348"/>
      <c r="R24" s="705"/>
      <c r="S24" s="706"/>
      <c r="T24" s="705"/>
      <c r="U24" s="706"/>
      <c r="V24" s="705"/>
      <c r="W24" s="706"/>
      <c r="X24" s="1351"/>
      <c r="Y24" s="3762"/>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69"/>
      <c r="Q25" s="1348" t="str">
        <f>B25</f>
        <v>毗邻道路的类型与等级</v>
      </c>
      <c r="R25" s="705" t="s">
        <v>14</v>
      </c>
      <c r="S25" s="706">
        <f>F25</f>
        <v>100</v>
      </c>
      <c r="T25" s="705" t="s">
        <v>14</v>
      </c>
      <c r="U25" s="706">
        <f>H25</f>
        <v>100</v>
      </c>
      <c r="V25" s="705" t="s">
        <v>14</v>
      </c>
      <c r="W25" s="706">
        <f>J25</f>
        <v>100</v>
      </c>
      <c r="X25" s="1351"/>
      <c r="Y25" s="3762"/>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69"/>
      <c r="Q26" s="1348"/>
      <c r="R26" s="705"/>
      <c r="S26" s="706"/>
      <c r="T26" s="705"/>
      <c r="U26" s="706"/>
      <c r="V26" s="705"/>
      <c r="W26" s="706"/>
      <c r="X26" s="1351"/>
      <c r="Y26" s="3762"/>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69"/>
      <c r="Q27" s="1348" t="str">
        <f t="shared" ref="Q27:Q47" si="11">B27</f>
        <v>楼层</v>
      </c>
      <c r="R27" s="705" t="s">
        <v>14</v>
      </c>
      <c r="S27" s="706">
        <f>F27</f>
        <v>100</v>
      </c>
      <c r="T27" s="705" t="s">
        <v>14</v>
      </c>
      <c r="U27" s="706">
        <f>H27</f>
        <v>100</v>
      </c>
      <c r="V27" s="705" t="s">
        <v>14</v>
      </c>
      <c r="W27" s="706">
        <f>J27</f>
        <v>100</v>
      </c>
      <c r="X27" s="1351"/>
      <c r="Y27" s="3762"/>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69"/>
      <c r="Q28" s="1339" t="str">
        <f t="shared" si="11"/>
        <v>朝向</v>
      </c>
      <c r="R28" s="701" t="s">
        <v>14</v>
      </c>
      <c r="S28" s="702">
        <f>F28</f>
        <v>100</v>
      </c>
      <c r="T28" s="701" t="s">
        <v>14</v>
      </c>
      <c r="U28" s="702">
        <f>H28</f>
        <v>100</v>
      </c>
      <c r="V28" s="701" t="s">
        <v>14</v>
      </c>
      <c r="W28" s="702">
        <f>J28</f>
        <v>100</v>
      </c>
      <c r="X28" s="703"/>
      <c r="Y28" s="3762"/>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69"/>
      <c r="Q29" s="1348">
        <f t="shared" si="11"/>
        <v>111</v>
      </c>
      <c r="R29" s="705" t="s">
        <v>14</v>
      </c>
      <c r="S29" s="706">
        <f t="shared" ref="S29:S47" si="12">F29</f>
        <v>100</v>
      </c>
      <c r="T29" s="705" t="s">
        <v>14</v>
      </c>
      <c r="U29" s="706">
        <f t="shared" ref="U29:U47" si="13">H29</f>
        <v>100</v>
      </c>
      <c r="V29" s="705" t="s">
        <v>14</v>
      </c>
      <c r="W29" s="706">
        <f t="shared" ref="W29:W47" si="14">J29</f>
        <v>100</v>
      </c>
      <c r="X29" s="1351"/>
      <c r="Y29" s="3762"/>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69"/>
      <c r="Q30" s="1348">
        <f t="shared" si="11"/>
        <v>111</v>
      </c>
      <c r="R30" s="705" t="s">
        <v>14</v>
      </c>
      <c r="S30" s="706">
        <f t="shared" si="12"/>
        <v>100</v>
      </c>
      <c r="T30" s="705" t="s">
        <v>14</v>
      </c>
      <c r="U30" s="706">
        <f t="shared" si="13"/>
        <v>100</v>
      </c>
      <c r="V30" s="705" t="s">
        <v>14</v>
      </c>
      <c r="W30" s="706">
        <f t="shared" si="14"/>
        <v>100</v>
      </c>
      <c r="X30" s="1351"/>
      <c r="Y30" s="3762"/>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69"/>
      <c r="Q31" s="1348">
        <f t="shared" si="11"/>
        <v>111</v>
      </c>
      <c r="R31" s="705" t="s">
        <v>14</v>
      </c>
      <c r="S31" s="706">
        <f t="shared" si="12"/>
        <v>100</v>
      </c>
      <c r="T31" s="705" t="s">
        <v>14</v>
      </c>
      <c r="U31" s="706">
        <f t="shared" si="13"/>
        <v>100</v>
      </c>
      <c r="V31" s="705" t="s">
        <v>14</v>
      </c>
      <c r="W31" s="706">
        <f t="shared" si="14"/>
        <v>100</v>
      </c>
      <c r="X31" s="1351"/>
      <c r="Y31" s="3762"/>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69"/>
      <c r="Q32" s="1348">
        <f t="shared" si="11"/>
        <v>111</v>
      </c>
      <c r="R32" s="705" t="s">
        <v>14</v>
      </c>
      <c r="S32" s="706">
        <f t="shared" si="12"/>
        <v>100</v>
      </c>
      <c r="T32" s="705" t="s">
        <v>14</v>
      </c>
      <c r="U32" s="706">
        <f t="shared" si="13"/>
        <v>100</v>
      </c>
      <c r="V32" s="705" t="s">
        <v>14</v>
      </c>
      <c r="W32" s="706">
        <f t="shared" si="14"/>
        <v>100</v>
      </c>
      <c r="X32" s="1351"/>
      <c r="Y32" s="3762"/>
      <c r="Z32" s="1352">
        <f t="shared" si="15"/>
        <v>111</v>
      </c>
      <c r="AA32" s="1349">
        <f t="shared" si="3"/>
        <v>1</v>
      </c>
      <c r="AB32" s="1349">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63" t="s">
        <v>1696</v>
      </c>
      <c r="Q33" s="1348" t="str">
        <f t="shared" si="11"/>
        <v>建筑类型</v>
      </c>
      <c r="R33" s="705" t="s">
        <v>14</v>
      </c>
      <c r="S33" s="706">
        <f t="shared" si="12"/>
        <v>100</v>
      </c>
      <c r="T33" s="705" t="s">
        <v>14</v>
      </c>
      <c r="U33" s="706">
        <f t="shared" si="13"/>
        <v>100</v>
      </c>
      <c r="V33" s="705" t="s">
        <v>14</v>
      </c>
      <c r="W33" s="706">
        <f t="shared" si="14"/>
        <v>100</v>
      </c>
      <c r="X33" s="1351"/>
      <c r="Y33" s="3766" t="s">
        <v>1696</v>
      </c>
      <c r="Z33" s="1352" t="str">
        <f t="shared" si="15"/>
        <v>建筑类型</v>
      </c>
      <c r="AA33" s="1349">
        <f t="shared" si="3"/>
        <v>1</v>
      </c>
      <c r="AB33" s="1349">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64"/>
      <c r="Q34" s="707" t="str">
        <f t="shared" si="11"/>
        <v>项目建筑规模</v>
      </c>
      <c r="R34" s="708" t="s">
        <v>14</v>
      </c>
      <c r="S34" s="709" t="e">
        <f t="shared" si="12"/>
        <v>#N/A</v>
      </c>
      <c r="T34" s="708" t="s">
        <v>14</v>
      </c>
      <c r="U34" s="709" t="e">
        <f t="shared" si="13"/>
        <v>#N/A</v>
      </c>
      <c r="V34" s="708" t="s">
        <v>14</v>
      </c>
      <c r="W34" s="709" t="e">
        <f t="shared" si="14"/>
        <v>#N/A</v>
      </c>
      <c r="X34" s="710"/>
      <c r="Y34" s="3766"/>
      <c r="Z34" s="711" t="str">
        <f t="shared" si="15"/>
        <v>项目建筑规模</v>
      </c>
      <c r="AA34" s="1349" t="e">
        <f t="shared" si="3"/>
        <v>#N/A</v>
      </c>
      <c r="AB34" s="1349"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64"/>
      <c r="Q35" s="1348" t="str">
        <f t="shared" si="11"/>
        <v>建筑结构</v>
      </c>
      <c r="R35" s="705" t="s">
        <v>14</v>
      </c>
      <c r="S35" s="706">
        <f t="shared" si="12"/>
        <v>100</v>
      </c>
      <c r="T35" s="705" t="s">
        <v>14</v>
      </c>
      <c r="U35" s="706">
        <f t="shared" si="13"/>
        <v>100</v>
      </c>
      <c r="V35" s="705" t="s">
        <v>14</v>
      </c>
      <c r="W35" s="706">
        <f t="shared" si="14"/>
        <v>100</v>
      </c>
      <c r="X35" s="1351"/>
      <c r="Y35" s="3766"/>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64"/>
      <c r="Q36" s="1348" t="str">
        <f t="shared" si="11"/>
        <v>公共部分装修</v>
      </c>
      <c r="R36" s="705" t="s">
        <v>14</v>
      </c>
      <c r="S36" s="706">
        <f t="shared" si="12"/>
        <v>100</v>
      </c>
      <c r="T36" s="705" t="s">
        <v>14</v>
      </c>
      <c r="U36" s="706">
        <f t="shared" si="13"/>
        <v>100</v>
      </c>
      <c r="V36" s="705" t="s">
        <v>14</v>
      </c>
      <c r="W36" s="706">
        <f t="shared" si="14"/>
        <v>100</v>
      </c>
      <c r="X36" s="1351"/>
      <c r="Y36" s="3766"/>
      <c r="Z36" s="1352" t="str">
        <f t="shared" si="15"/>
        <v>公共部分装修</v>
      </c>
      <c r="AA36" s="1349">
        <f t="shared" si="3"/>
        <v>1</v>
      </c>
      <c r="AB36" s="1349">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64"/>
      <c r="Q37" s="1348" t="str">
        <f t="shared" si="11"/>
        <v>成新度</v>
      </c>
      <c r="R37" s="705" t="s">
        <v>14</v>
      </c>
      <c r="S37" s="706" t="e">
        <f t="shared" si="12"/>
        <v>#N/A</v>
      </c>
      <c r="T37" s="705" t="s">
        <v>14</v>
      </c>
      <c r="U37" s="706" t="e">
        <f t="shared" si="13"/>
        <v>#N/A</v>
      </c>
      <c r="V37" s="705" t="s">
        <v>14</v>
      </c>
      <c r="W37" s="706" t="e">
        <f t="shared" si="14"/>
        <v>#N/A</v>
      </c>
      <c r="X37" s="1351"/>
      <c r="Y37" s="3766"/>
      <c r="Z37" s="1352" t="str">
        <f t="shared" si="15"/>
        <v>成新度</v>
      </c>
      <c r="AA37" s="1349" t="e">
        <f t="shared" si="3"/>
        <v>#N/A</v>
      </c>
      <c r="AB37" s="1349"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64"/>
      <c r="Q38" s="1339" t="str">
        <f t="shared" si="11"/>
        <v>写字楼等级</v>
      </c>
      <c r="R38" s="701" t="s">
        <v>14</v>
      </c>
      <c r="S38" s="702">
        <f t="shared" si="12"/>
        <v>100</v>
      </c>
      <c r="T38" s="701" t="s">
        <v>14</v>
      </c>
      <c r="U38" s="702">
        <f t="shared" si="13"/>
        <v>100</v>
      </c>
      <c r="V38" s="701" t="s">
        <v>14</v>
      </c>
      <c r="W38" s="702">
        <f t="shared" si="14"/>
        <v>100</v>
      </c>
      <c r="X38" s="703"/>
      <c r="Y38" s="3766"/>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64" t="s">
        <v>1696</v>
      </c>
      <c r="Q39" s="1348" t="str">
        <f t="shared" si="11"/>
        <v>物业管理</v>
      </c>
      <c r="R39" s="705" t="s">
        <v>14</v>
      </c>
      <c r="S39" s="706">
        <f t="shared" si="12"/>
        <v>100</v>
      </c>
      <c r="T39" s="705" t="s">
        <v>14</v>
      </c>
      <c r="U39" s="706">
        <f t="shared" si="13"/>
        <v>100</v>
      </c>
      <c r="V39" s="705" t="s">
        <v>14</v>
      </c>
      <c r="W39" s="706">
        <f t="shared" si="14"/>
        <v>100</v>
      </c>
      <c r="X39" s="1351"/>
      <c r="Y39" s="3766"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64"/>
      <c r="Q40" s="1348" t="str">
        <f t="shared" si="11"/>
        <v>市政基础设施</v>
      </c>
      <c r="R40" s="705" t="s">
        <v>14</v>
      </c>
      <c r="S40" s="706">
        <f t="shared" si="12"/>
        <v>100</v>
      </c>
      <c r="T40" s="705" t="s">
        <v>14</v>
      </c>
      <c r="U40" s="706">
        <f t="shared" si="13"/>
        <v>100</v>
      </c>
      <c r="V40" s="705" t="s">
        <v>14</v>
      </c>
      <c r="W40" s="706">
        <f t="shared" si="14"/>
        <v>100</v>
      </c>
      <c r="X40" s="1351"/>
      <c r="Y40" s="3766"/>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64"/>
      <c r="Q41" s="1348" t="str">
        <f t="shared" si="11"/>
        <v>层高</v>
      </c>
      <c r="R41" s="705" t="s">
        <v>14</v>
      </c>
      <c r="S41" s="706">
        <f t="shared" si="12"/>
        <v>100</v>
      </c>
      <c r="T41" s="705" t="s">
        <v>14</v>
      </c>
      <c r="U41" s="706">
        <f t="shared" si="13"/>
        <v>100</v>
      </c>
      <c r="V41" s="705" t="s">
        <v>14</v>
      </c>
      <c r="W41" s="706">
        <f t="shared" si="14"/>
        <v>100</v>
      </c>
      <c r="X41" s="1351"/>
      <c r="Y41" s="3766"/>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64"/>
      <c r="Q42" s="707" t="str">
        <f t="shared" si="11"/>
        <v>单套建筑面积</v>
      </c>
      <c r="R42" s="708" t="s">
        <v>14</v>
      </c>
      <c r="S42" s="709">
        <f t="shared" si="12"/>
        <v>100</v>
      </c>
      <c r="T42" s="708" t="s">
        <v>14</v>
      </c>
      <c r="U42" s="709">
        <f t="shared" si="13"/>
        <v>100</v>
      </c>
      <c r="V42" s="708" t="s">
        <v>14</v>
      </c>
      <c r="W42" s="709">
        <f t="shared" si="14"/>
        <v>100</v>
      </c>
      <c r="X42" s="710"/>
      <c r="Y42" s="3766"/>
      <c r="Z42" s="711"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64"/>
      <c r="Q43" s="1348" t="str">
        <f t="shared" si="11"/>
        <v>内部装修</v>
      </c>
      <c r="R43" s="705" t="s">
        <v>14</v>
      </c>
      <c r="S43" s="706">
        <f t="shared" si="12"/>
        <v>100</v>
      </c>
      <c r="T43" s="705" t="s">
        <v>14</v>
      </c>
      <c r="U43" s="706">
        <f t="shared" si="13"/>
        <v>100</v>
      </c>
      <c r="V43" s="705" t="s">
        <v>14</v>
      </c>
      <c r="W43" s="706">
        <f t="shared" si="14"/>
        <v>100</v>
      </c>
      <c r="X43" s="1351"/>
      <c r="Y43" s="3766"/>
      <c r="Z43" s="1352" t="str">
        <f t="shared" si="15"/>
        <v>内部装修</v>
      </c>
      <c r="AA43" s="1349">
        <f t="shared" si="3"/>
        <v>1</v>
      </c>
      <c r="AB43" s="1349">
        <f t="shared" si="4"/>
        <v>1</v>
      </c>
      <c r="AC43" s="1958">
        <f t="shared" si="5"/>
        <v>1</v>
      </c>
    </row>
    <row r="44" spans="1:29" ht="15">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64"/>
      <c r="Q44" s="1348" t="str">
        <f t="shared" si="11"/>
        <v>内部装修维护情况</v>
      </c>
      <c r="R44" s="705" t="s">
        <v>14</v>
      </c>
      <c r="S44" s="706">
        <f t="shared" si="12"/>
        <v>100</v>
      </c>
      <c r="T44" s="705" t="s">
        <v>14</v>
      </c>
      <c r="U44" s="706">
        <f t="shared" si="13"/>
        <v>100</v>
      </c>
      <c r="V44" s="705" t="s">
        <v>14</v>
      </c>
      <c r="W44" s="706">
        <f t="shared" si="14"/>
        <v>100</v>
      </c>
      <c r="X44" s="1351"/>
      <c r="Y44" s="3766"/>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64"/>
      <c r="Q45" s="1339">
        <f t="shared" si="11"/>
        <v>111</v>
      </c>
      <c r="R45" s="701" t="s">
        <v>14</v>
      </c>
      <c r="S45" s="702">
        <f t="shared" si="12"/>
        <v>100</v>
      </c>
      <c r="T45" s="701" t="s">
        <v>14</v>
      </c>
      <c r="U45" s="702">
        <f t="shared" si="13"/>
        <v>100</v>
      </c>
      <c r="V45" s="701" t="s">
        <v>14</v>
      </c>
      <c r="W45" s="702">
        <f t="shared" si="14"/>
        <v>100</v>
      </c>
      <c r="X45" s="703"/>
      <c r="Y45" s="3766"/>
      <c r="Z45" s="52">
        <f t="shared" si="15"/>
        <v>111</v>
      </c>
      <c r="AA45" s="704">
        <f t="shared" si="3"/>
        <v>1</v>
      </c>
      <c r="AB45" s="704">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64"/>
      <c r="Q46" s="1348">
        <f t="shared" si="11"/>
        <v>111</v>
      </c>
      <c r="R46" s="705" t="s">
        <v>14</v>
      </c>
      <c r="S46" s="706">
        <f t="shared" si="12"/>
        <v>100</v>
      </c>
      <c r="T46" s="705" t="s">
        <v>14</v>
      </c>
      <c r="U46" s="706">
        <f t="shared" si="13"/>
        <v>100</v>
      </c>
      <c r="V46" s="705" t="s">
        <v>14</v>
      </c>
      <c r="W46" s="706">
        <f t="shared" si="14"/>
        <v>100</v>
      </c>
      <c r="X46" s="1351"/>
      <c r="Y46" s="3766"/>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65"/>
      <c r="Q47" s="1348">
        <f t="shared" si="11"/>
        <v>111</v>
      </c>
      <c r="R47" s="705" t="s">
        <v>14</v>
      </c>
      <c r="S47" s="706">
        <f t="shared" si="12"/>
        <v>100</v>
      </c>
      <c r="T47" s="705" t="s">
        <v>14</v>
      </c>
      <c r="U47" s="706">
        <f t="shared" si="13"/>
        <v>100</v>
      </c>
      <c r="V47" s="705" t="s">
        <v>14</v>
      </c>
      <c r="W47" s="706">
        <f t="shared" si="14"/>
        <v>100</v>
      </c>
      <c r="X47" s="1351"/>
      <c r="Y47" s="3767"/>
      <c r="Z47" s="1352">
        <f t="shared" si="15"/>
        <v>111</v>
      </c>
      <c r="AA47" s="1349">
        <f t="shared" si="3"/>
        <v>1</v>
      </c>
      <c r="AB47" s="1349">
        <f t="shared" si="4"/>
        <v>1</v>
      </c>
      <c r="AC47" s="1958">
        <f t="shared" si="5"/>
        <v>1</v>
      </c>
    </row>
    <row r="48" spans="1:29" ht="15">
      <c r="A48" s="430" t="s">
        <v>1708</v>
      </c>
      <c r="B48" s="431"/>
      <c r="C48" s="1150" t="s">
        <v>0</v>
      </c>
      <c r="D48" s="1151"/>
      <c r="E48" s="1152"/>
      <c r="F48" s="1153"/>
      <c r="G48" s="1154"/>
      <c r="H48" s="1155"/>
      <c r="I48" s="1152"/>
      <c r="J48" s="436"/>
      <c r="K48" s="714"/>
      <c r="L48" s="2720"/>
      <c r="M48" s="2712"/>
      <c r="N48" s="2712"/>
      <c r="O48" s="2712"/>
      <c r="P48" s="3741" t="str">
        <f>A48</f>
        <v>成交单价（元/平方米）</v>
      </c>
      <c r="Q48" s="3759"/>
      <c r="R48" s="3760">
        <f>E48</f>
        <v>0</v>
      </c>
      <c r="S48" s="3760"/>
      <c r="T48" s="3760">
        <f>G48</f>
        <v>0</v>
      </c>
      <c r="U48" s="3760"/>
      <c r="V48" s="3760">
        <f>I48</f>
        <v>0</v>
      </c>
      <c r="W48" s="3760"/>
      <c r="X48" s="397"/>
      <c r="Y48" s="712"/>
      <c r="Z48" s="397"/>
      <c r="AA48" s="397"/>
      <c r="AB48" s="397"/>
      <c r="AC48" s="578"/>
    </row>
    <row r="49" spans="1:29" ht="15.75" thickBot="1">
      <c r="A49" s="437" t="s">
        <v>1793</v>
      </c>
      <c r="B49" s="438"/>
      <c r="C49" s="1156" t="e">
        <f>R50</f>
        <v>#DIV/0!</v>
      </c>
      <c r="D49" s="2313" t="s">
        <v>2138</v>
      </c>
      <c r="E49" s="1157" t="e">
        <f>R49</f>
        <v>#DIV/0!</v>
      </c>
      <c r="F49" s="2314"/>
      <c r="G49" s="1156" t="e">
        <f>T49</f>
        <v>#DIV/0!</v>
      </c>
      <c r="H49" s="2314"/>
      <c r="I49" s="1157" t="e">
        <f>V49</f>
        <v>#DIV/0!</v>
      </c>
      <c r="J49" s="2314"/>
      <c r="K49" s="2316">
        <f>F49+H49+J49</f>
        <v>0</v>
      </c>
      <c r="L49" s="2720"/>
      <c r="M49" s="2712"/>
      <c r="N49" s="2712"/>
      <c r="O49" s="2712"/>
      <c r="P49" s="3741" t="str">
        <f>A49</f>
        <v>比较价值（元/平方米）</v>
      </c>
      <c r="Q49" s="3759"/>
      <c r="R49" s="3760" t="e">
        <f>IF(F1="售价",ROUND(PRODUCT(R48,AA7:AA47),0),ROUND(PRODUCT(R48,AA7:AA47),1))</f>
        <v>#DIV/0!</v>
      </c>
      <c r="S49" s="3760"/>
      <c r="T49" s="3760" t="e">
        <f>IF(F1="售价",ROUND(PRODUCT(T48,AB7:AB47),0),ROUND(PRODUCT(T48,AB7:AB47),1))</f>
        <v>#DIV/0!</v>
      </c>
      <c r="U49" s="3760"/>
      <c r="V49" s="3760" t="e">
        <f>IF(F1="售价",ROUND(PRODUCT(V48,AC7:AC47),0),ROUND(PRODUCT(V48,AC7:AC47),1))</f>
        <v>#DIV/0!</v>
      </c>
      <c r="W49" s="3760"/>
      <c r="X49" s="397"/>
      <c r="Y49" s="397"/>
      <c r="Z49" s="397"/>
      <c r="AA49" s="397"/>
      <c r="AB49" s="397"/>
      <c r="AC49" s="578"/>
    </row>
    <row r="50" spans="1:29" ht="15.75" thickBot="1">
      <c r="A50" s="441" t="s">
        <v>1794</v>
      </c>
      <c r="B50" s="442"/>
      <c r="C50" s="1159" t="e">
        <f>R50</f>
        <v>#DIV/0!</v>
      </c>
      <c r="D50" s="1159"/>
      <c r="E50" s="1159"/>
      <c r="F50" s="1159"/>
      <c r="G50" s="1159"/>
      <c r="H50" s="1159"/>
      <c r="I50" s="1159"/>
      <c r="J50" s="443"/>
      <c r="K50" s="715"/>
      <c r="L50" s="2720"/>
      <c r="M50" s="2712"/>
      <c r="N50" s="2712"/>
      <c r="O50" s="2712"/>
      <c r="P50" s="3782" t="str">
        <f>A50</f>
        <v>估价对象XX用房的比较价值（楼面单价，元/平方米）</v>
      </c>
      <c r="Q50" s="3783"/>
      <c r="R50" s="3784" t="e">
        <f>IF(F1="售价",ROUND(IF(D49="简单平均",AVERAGE(R49:V49),R49*F49+T49*H49+V49*J49),0),ROUND(IF(D49="简单平均",AVERAGE(R49:V49),R49*F49+T49*H49+V49*J49),1))</f>
        <v>#DIV/0!</v>
      </c>
      <c r="S50" s="3784"/>
      <c r="T50" s="3784"/>
      <c r="U50" s="3784"/>
      <c r="V50" s="3784"/>
      <c r="W50" s="3784"/>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38"/>
      <c r="M58" s="936"/>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18"/>
  <sheetViews>
    <sheetView workbookViewId="0">
      <selection activeCell="K29" sqref="K29"/>
    </sheetView>
  </sheetViews>
  <sheetFormatPr defaultRowHeight="13.5"/>
  <cols>
    <col min="2" max="2" width="12.375" customWidth="1"/>
    <col min="5" max="5" width="16.875" customWidth="1"/>
  </cols>
  <sheetData>
    <row r="1" spans="1:8">
      <c r="A1" s="3467" t="s">
        <v>3452</v>
      </c>
      <c r="B1" s="2667"/>
      <c r="C1" s="3467" t="s">
        <v>3448</v>
      </c>
      <c r="D1" s="3467" t="s">
        <v>3449</v>
      </c>
      <c r="E1" s="3467" t="s">
        <v>3450</v>
      </c>
      <c r="F1" s="3467" t="s">
        <v>3451</v>
      </c>
      <c r="H1" s="3467" t="s">
        <v>3497</v>
      </c>
    </row>
    <row r="2" spans="1:8">
      <c r="A2" s="2667"/>
      <c r="B2" s="3468">
        <v>44151</v>
      </c>
      <c r="C2" s="3468">
        <v>49618</v>
      </c>
      <c r="D2" s="2667"/>
      <c r="E2" s="2667"/>
      <c r="F2" s="2667"/>
    </row>
    <row r="3" spans="1:8">
      <c r="A3" s="2667">
        <v>1</v>
      </c>
      <c r="B3" s="3468">
        <v>44141</v>
      </c>
      <c r="C3" s="3468">
        <v>44505</v>
      </c>
      <c r="D3" s="2667">
        <v>365</v>
      </c>
      <c r="E3" s="2667">
        <v>1000000</v>
      </c>
      <c r="F3" s="2667">
        <f>ROUND(E3/D3/'数据-汇总表'!$E$3,2)</f>
        <v>1.1200000000000001</v>
      </c>
      <c r="H3" s="3487">
        <f>E4/E3-1</f>
        <v>0.10000000000000009</v>
      </c>
    </row>
    <row r="4" spans="1:8">
      <c r="A4" s="2667">
        <v>2</v>
      </c>
      <c r="B4" s="3468">
        <v>44506</v>
      </c>
      <c r="C4" s="3468">
        <v>44870</v>
      </c>
      <c r="D4" s="2667">
        <v>365</v>
      </c>
      <c r="E4" s="2667">
        <f>E3*1.1</f>
        <v>1100000</v>
      </c>
      <c r="F4" s="2667">
        <f>ROUND(E4/D4/'数据-汇总表'!$E$3,2)</f>
        <v>1.23</v>
      </c>
      <c r="H4" s="3487">
        <f t="shared" ref="H4:H16" si="0">E5/E4-1</f>
        <v>0.10000000000000009</v>
      </c>
    </row>
    <row r="5" spans="1:8">
      <c r="A5" s="2667">
        <v>3</v>
      </c>
      <c r="B5" s="3468">
        <f t="shared" ref="B5:B17" si="1">C4+1</f>
        <v>44871</v>
      </c>
      <c r="C5" s="3468">
        <v>45235</v>
      </c>
      <c r="D5" s="2667">
        <v>365</v>
      </c>
      <c r="E5" s="2667">
        <f>E4*1.1</f>
        <v>1210000</v>
      </c>
      <c r="F5" s="2667">
        <f>ROUND(E5/D5/'数据-汇总表'!$E$3,2)</f>
        <v>1.35</v>
      </c>
      <c r="H5" s="3487">
        <f t="shared" si="0"/>
        <v>0.10000000000000009</v>
      </c>
    </row>
    <row r="6" spans="1:8">
      <c r="A6" s="2667">
        <v>4</v>
      </c>
      <c r="B6" s="3468">
        <f t="shared" si="1"/>
        <v>45236</v>
      </c>
      <c r="C6" s="3468">
        <v>45601</v>
      </c>
      <c r="D6" s="2667">
        <v>365</v>
      </c>
      <c r="E6" s="2667">
        <f>E5*1.1</f>
        <v>1331000</v>
      </c>
      <c r="F6" s="2667">
        <f>ROUND(E6/D6/'数据-汇总表'!$E$3,2)</f>
        <v>1.49</v>
      </c>
      <c r="H6" s="3487">
        <f t="shared" si="0"/>
        <v>0.10000000000000009</v>
      </c>
    </row>
    <row r="7" spans="1:8">
      <c r="A7" s="2667">
        <v>5</v>
      </c>
      <c r="B7" s="3468">
        <f t="shared" si="1"/>
        <v>45602</v>
      </c>
      <c r="C7" s="3468">
        <v>45966</v>
      </c>
      <c r="D7" s="2667">
        <v>365</v>
      </c>
      <c r="E7" s="2667">
        <f>E6*1.1</f>
        <v>1464100.0000000002</v>
      </c>
      <c r="F7" s="2667">
        <f>ROUND(E7/D7/'数据-汇总表'!$E$3,2)</f>
        <v>1.64</v>
      </c>
      <c r="H7" s="3487">
        <f t="shared" si="0"/>
        <v>5.1840721262208733E-2</v>
      </c>
    </row>
    <row r="8" spans="1:8">
      <c r="A8" s="2667">
        <v>6</v>
      </c>
      <c r="B8" s="3468">
        <f t="shared" si="1"/>
        <v>45967</v>
      </c>
      <c r="C8" s="3468">
        <v>46331</v>
      </c>
      <c r="D8" s="2667">
        <v>365</v>
      </c>
      <c r="E8" s="2667">
        <v>1540000</v>
      </c>
      <c r="F8" s="2667">
        <f>ROUND(E8/D8/'数据-汇总表'!$E$3,2)</f>
        <v>1.72</v>
      </c>
      <c r="H8" s="3487">
        <f t="shared" si="0"/>
        <v>9.0909090909090828E-2</v>
      </c>
    </row>
    <row r="9" spans="1:8">
      <c r="A9" s="2667">
        <v>7</v>
      </c>
      <c r="B9" s="3468">
        <f t="shared" si="1"/>
        <v>46332</v>
      </c>
      <c r="C9" s="3468">
        <v>46696</v>
      </c>
      <c r="D9" s="2667">
        <v>365</v>
      </c>
      <c r="E9" s="2667">
        <v>1680000</v>
      </c>
      <c r="F9" s="2667">
        <f>ROUND(E9/D9/'数据-汇总表'!$E$3,2)</f>
        <v>1.88</v>
      </c>
      <c r="H9" s="3487">
        <f t="shared" si="0"/>
        <v>8.3333333333333259E-2</v>
      </c>
    </row>
    <row r="10" spans="1:8">
      <c r="A10" s="2667">
        <v>8</v>
      </c>
      <c r="B10" s="3468">
        <f t="shared" si="1"/>
        <v>46697</v>
      </c>
      <c r="C10" s="3468">
        <v>47062</v>
      </c>
      <c r="D10" s="2667">
        <v>365</v>
      </c>
      <c r="E10" s="2667">
        <v>1820000</v>
      </c>
      <c r="F10" s="2667">
        <f>ROUND(E10/D10/'数据-汇总表'!$E$3,2)</f>
        <v>2.04</v>
      </c>
      <c r="H10" s="3487">
        <f t="shared" si="0"/>
        <v>7.6923076923076872E-2</v>
      </c>
    </row>
    <row r="11" spans="1:8">
      <c r="A11" s="2667">
        <v>9</v>
      </c>
      <c r="B11" s="3468">
        <f t="shared" si="1"/>
        <v>47063</v>
      </c>
      <c r="C11" s="3468">
        <v>47427</v>
      </c>
      <c r="D11" s="2667">
        <v>365</v>
      </c>
      <c r="E11" s="2667">
        <v>1960000</v>
      </c>
      <c r="F11" s="2667">
        <f>ROUND(E11/D11/'数据-汇总表'!$E$3,2)</f>
        <v>2.19</v>
      </c>
      <c r="H11" s="3487">
        <f t="shared" si="0"/>
        <v>7.1428571428571397E-2</v>
      </c>
    </row>
    <row r="12" spans="1:8">
      <c r="A12" s="2667">
        <v>10</v>
      </c>
      <c r="B12" s="3468">
        <f t="shared" si="1"/>
        <v>47428</v>
      </c>
      <c r="C12" s="3468">
        <v>47792</v>
      </c>
      <c r="D12" s="2667">
        <v>365</v>
      </c>
      <c r="E12" s="2667">
        <v>2100000</v>
      </c>
      <c r="F12" s="2667">
        <f>ROUND(E12/D12/'数据-汇总表'!$E$3,2)</f>
        <v>2.35</v>
      </c>
      <c r="H12" s="3487">
        <f t="shared" si="0"/>
        <v>0.10000000000000009</v>
      </c>
    </row>
    <row r="13" spans="1:8">
      <c r="A13" s="2667">
        <v>11</v>
      </c>
      <c r="B13" s="3468">
        <f t="shared" si="1"/>
        <v>47793</v>
      </c>
      <c r="C13" s="3468">
        <v>48157</v>
      </c>
      <c r="D13" s="2667">
        <v>365</v>
      </c>
      <c r="E13" s="2667">
        <v>2310000</v>
      </c>
      <c r="F13" s="2667">
        <f>ROUND(E13/D13/'数据-汇总表'!$E$3,2)</f>
        <v>2.59</v>
      </c>
      <c r="H13" s="3487">
        <f t="shared" si="0"/>
        <v>9.0909090909090828E-2</v>
      </c>
    </row>
    <row r="14" spans="1:8">
      <c r="A14" s="2667">
        <v>12</v>
      </c>
      <c r="B14" s="3468">
        <f t="shared" si="1"/>
        <v>48158</v>
      </c>
      <c r="C14" s="3468">
        <v>48523</v>
      </c>
      <c r="D14" s="2667">
        <v>365</v>
      </c>
      <c r="E14" s="2667">
        <v>2520000</v>
      </c>
      <c r="F14" s="2667">
        <f>ROUND(E14/D14/'数据-汇总表'!$E$3,2)</f>
        <v>2.82</v>
      </c>
      <c r="H14" s="3487">
        <f t="shared" si="0"/>
        <v>8.3333333333333259E-2</v>
      </c>
    </row>
    <row r="15" spans="1:8">
      <c r="A15" s="2667">
        <v>13</v>
      </c>
      <c r="B15" s="3468">
        <f t="shared" si="1"/>
        <v>48524</v>
      </c>
      <c r="C15" s="3468">
        <v>48888</v>
      </c>
      <c r="D15" s="2667">
        <v>365</v>
      </c>
      <c r="E15" s="2667">
        <v>2730000</v>
      </c>
      <c r="F15" s="2667">
        <f>ROUND(E15/D15/'数据-汇总表'!$E$3,2)</f>
        <v>3.06</v>
      </c>
      <c r="H15" s="3487">
        <f t="shared" si="0"/>
        <v>7.6923076923076872E-2</v>
      </c>
    </row>
    <row r="16" spans="1:8">
      <c r="A16" s="2667">
        <v>14</v>
      </c>
      <c r="B16" s="3468">
        <f t="shared" si="1"/>
        <v>48889</v>
      </c>
      <c r="C16" s="3468">
        <v>49253</v>
      </c>
      <c r="D16" s="2667">
        <v>365</v>
      </c>
      <c r="E16" s="2667">
        <v>2940000</v>
      </c>
      <c r="F16" s="2667">
        <f>ROUND(E16/D16/'数据-汇总表'!$E$3,2)</f>
        <v>3.29</v>
      </c>
      <c r="H16" s="3487">
        <f t="shared" si="0"/>
        <v>7.1428571428571397E-2</v>
      </c>
    </row>
    <row r="17" spans="1:9">
      <c r="A17" s="2667">
        <v>15</v>
      </c>
      <c r="B17" s="3468">
        <f t="shared" si="1"/>
        <v>49254</v>
      </c>
      <c r="C17" s="3468">
        <v>49618</v>
      </c>
      <c r="D17" s="2667">
        <v>365</v>
      </c>
      <c r="E17" s="2667">
        <v>3150000</v>
      </c>
      <c r="F17" s="2667">
        <f>ROUND(E17/D17/'数据-汇总表'!$E$3,2)</f>
        <v>3.53</v>
      </c>
      <c r="H17" s="3487"/>
    </row>
    <row r="18" spans="1:9">
      <c r="A18" s="2667"/>
      <c r="B18" s="2667"/>
      <c r="C18" s="3468"/>
      <c r="D18" s="2667"/>
      <c r="E18" s="3467" t="s">
        <v>3457</v>
      </c>
      <c r="F18" s="2667">
        <f>ROUND(AVERAGE(F3:F17),2)</f>
        <v>2.15</v>
      </c>
      <c r="I18" s="3456" t="s">
        <v>3467</v>
      </c>
    </row>
  </sheetData>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
  <sheetViews>
    <sheetView workbookViewId="0">
      <selection activeCell="M34" sqref="M34"/>
    </sheetView>
  </sheetViews>
  <sheetFormatPr defaultRowHeight="13.5"/>
  <sheetData>
    <row r="1" spans="1:1">
      <c r="A1" s="3456"/>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33" sqref="E3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t="s">
        <v>3</v>
      </c>
      <c r="E1" s="3429"/>
      <c r="F1" s="1875" t="s">
        <v>3430</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t="s">
        <v>43</v>
      </c>
      <c r="D2" s="903">
        <f ca="1">IF(E1="项目模式",SUMIF(INDIRECT("'"&amp;F2&amp;"'"&amp;"!A:A"),"承租人权益价值",INDIRECT("'"&amp;F2&amp;"'"&amp;"!c:c")),SUMIF(INDIRECT("'"&amp;F2&amp;"'"&amp;"!A:A"),"承租人权益价值（单套）",INDIRECT("'"&amp;F2&amp;"'"&amp;"!c:c")))</f>
        <v>-609.53650000000005</v>
      </c>
      <c r="E2" s="1878" t="s">
        <v>1463</v>
      </c>
      <c r="F2" s="1879" t="s">
        <v>3406</v>
      </c>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0.9</v>
      </c>
      <c r="C3" s="354" t="s">
        <v>1768</v>
      </c>
      <c r="D3" s="353">
        <f>IF(D1="",'数据-汇总表'!E3,SUMIF('数据-汇总表'!$C19:$C33,D1,'数据-汇总表'!$E19:$E33))</f>
        <v>2447.34</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1769</v>
      </c>
      <c r="B4" s="356"/>
      <c r="C4" s="3742" t="s">
        <v>1770</v>
      </c>
      <c r="D4" s="3743"/>
      <c r="E4" s="3744" t="s">
        <v>1771</v>
      </c>
      <c r="F4" s="3745"/>
      <c r="G4" s="3742" t="s">
        <v>1772</v>
      </c>
      <c r="H4" s="3743"/>
      <c r="I4" s="3742" t="s">
        <v>1773</v>
      </c>
      <c r="J4" s="3743"/>
      <c r="K4" s="559" t="s">
        <v>1774</v>
      </c>
      <c r="L4" s="909"/>
      <c r="M4" s="910"/>
      <c r="N4" s="910"/>
      <c r="O4" s="910"/>
      <c r="P4" s="3746" t="s">
        <v>1775</v>
      </c>
      <c r="Q4" s="3747"/>
      <c r="R4" s="3729" t="s">
        <v>1771</v>
      </c>
      <c r="S4" s="3730"/>
      <c r="T4" s="3729" t="s">
        <v>1772</v>
      </c>
      <c r="U4" s="3730"/>
      <c r="V4" s="3754" t="s">
        <v>1773</v>
      </c>
      <c r="W4" s="3754"/>
      <c r="X4" s="1351"/>
      <c r="Y4" s="3729" t="s">
        <v>1775</v>
      </c>
      <c r="Z4" s="3730"/>
      <c r="AA4" s="3724" t="s">
        <v>1771</v>
      </c>
      <c r="AB4" s="3725" t="s">
        <v>1772</v>
      </c>
      <c r="AC4" s="3724" t="s">
        <v>1773</v>
      </c>
    </row>
    <row r="5" spans="1:29" ht="15">
      <c r="A5" s="358"/>
      <c r="B5" s="359"/>
      <c r="C5" s="3735" t="s">
        <v>1673</v>
      </c>
      <c r="D5" s="3736"/>
      <c r="E5" s="3733" t="s">
        <v>1674</v>
      </c>
      <c r="F5" s="3734"/>
      <c r="G5" s="3735" t="s">
        <v>1675</v>
      </c>
      <c r="H5" s="3736"/>
      <c r="I5" s="3735" t="s">
        <v>1676</v>
      </c>
      <c r="J5" s="3736"/>
      <c r="K5" s="559"/>
      <c r="L5" s="909"/>
      <c r="M5" s="910"/>
      <c r="N5" s="910"/>
      <c r="O5" s="910"/>
      <c r="P5" s="3748"/>
      <c r="Q5" s="3749"/>
      <c r="R5" s="3731"/>
      <c r="S5" s="3732"/>
      <c r="T5" s="3731"/>
      <c r="U5" s="3732"/>
      <c r="V5" s="3754"/>
      <c r="W5" s="3754"/>
      <c r="X5" s="1351"/>
      <c r="Y5" s="3731"/>
      <c r="Z5" s="3732"/>
      <c r="AA5" s="3725"/>
      <c r="AB5" s="3725"/>
      <c r="AC5" s="3725"/>
    </row>
    <row r="6" spans="1:29" ht="15.75" thickBot="1">
      <c r="A6" s="360"/>
      <c r="B6" s="361"/>
      <c r="C6" s="3737" t="s">
        <v>1677</v>
      </c>
      <c r="D6" s="3738"/>
      <c r="E6" s="3739" t="s">
        <v>1677</v>
      </c>
      <c r="F6" s="3740"/>
      <c r="G6" s="3737" t="s">
        <v>1677</v>
      </c>
      <c r="H6" s="3738"/>
      <c r="I6" s="3737" t="s">
        <v>1677</v>
      </c>
      <c r="J6" s="3738"/>
      <c r="K6" s="559" t="s">
        <v>1678</v>
      </c>
      <c r="L6" s="909"/>
      <c r="M6" s="910"/>
      <c r="N6" s="910"/>
      <c r="O6" s="910"/>
      <c r="P6" s="3750"/>
      <c r="Q6" s="3751"/>
      <c r="R6" s="3731"/>
      <c r="S6" s="3732"/>
      <c r="T6" s="3752"/>
      <c r="U6" s="3753"/>
      <c r="V6" s="3754"/>
      <c r="W6" s="3754"/>
      <c r="X6" s="1351"/>
      <c r="Y6" s="3752"/>
      <c r="Z6" s="3753"/>
      <c r="AA6" s="3726"/>
      <c r="AB6" s="3726"/>
      <c r="AC6" s="3726"/>
    </row>
    <row r="7" spans="1:29" s="108" customFormat="1" ht="15.75" thickBot="1">
      <c r="A7" s="362" t="s">
        <v>1679</v>
      </c>
      <c r="B7" s="363"/>
      <c r="C7" s="364">
        <f>'数据-取费表'!B2</f>
        <v>45421</v>
      </c>
      <c r="D7" s="365">
        <v>100</v>
      </c>
      <c r="E7" s="366">
        <v>45406</v>
      </c>
      <c r="F7" s="367">
        <f>SUMIF(52:52,YEAR(E7)&amp;"-"&amp;MONTH(E7),53:53)</f>
        <v>100</v>
      </c>
      <c r="G7" s="366">
        <v>45375</v>
      </c>
      <c r="H7" s="365">
        <f>SUMIF(52:52,YEAR(G7)&amp;"-"&amp;MONTH(G7),53:53)</f>
        <v>100</v>
      </c>
      <c r="I7" s="366">
        <v>45436</v>
      </c>
      <c r="J7" s="365">
        <f>SUMIF(52:52,YEAR(I7)&amp;"-"&amp;MONTH(I7),53:53)</f>
        <v>100</v>
      </c>
      <c r="K7" s="560"/>
      <c r="L7" s="911"/>
      <c r="M7" s="912"/>
      <c r="N7" s="912"/>
      <c r="O7" s="912"/>
      <c r="P7" s="3727" t="s">
        <v>1680</v>
      </c>
      <c r="Q7" s="3755"/>
      <c r="R7" s="701" t="s">
        <v>14</v>
      </c>
      <c r="S7" s="702">
        <f t="shared" ref="S7:S15" si="0">F7</f>
        <v>100</v>
      </c>
      <c r="T7" s="701" t="s">
        <v>14</v>
      </c>
      <c r="U7" s="702">
        <f t="shared" ref="U7:U15" si="1">H7</f>
        <v>100</v>
      </c>
      <c r="V7" s="701" t="s">
        <v>14</v>
      </c>
      <c r="W7" s="702">
        <f t="shared" ref="W7:W15" si="2">J7</f>
        <v>100</v>
      </c>
      <c r="X7" s="703"/>
      <c r="Y7" s="3727" t="s">
        <v>1680</v>
      </c>
      <c r="Z7" s="3728"/>
      <c r="AA7" s="704">
        <f>D7/F7</f>
        <v>1</v>
      </c>
      <c r="AB7" s="704">
        <f>D7/H7</f>
        <v>1</v>
      </c>
      <c r="AC7" s="704">
        <f>D7/J7</f>
        <v>1</v>
      </c>
    </row>
    <row r="8" spans="1:29" s="108" customFormat="1" ht="15.75" thickBot="1">
      <c r="A8" s="362" t="s">
        <v>1681</v>
      </c>
      <c r="B8" s="363"/>
      <c r="C8" s="368" t="s">
        <v>3431</v>
      </c>
      <c r="D8" s="365">
        <v>100</v>
      </c>
      <c r="E8" s="368" t="s">
        <v>3432</v>
      </c>
      <c r="F8" s="367">
        <f>SUMIF(55:55,E8,56:56)-SUMIF(55:55,C8,56:56)+100</f>
        <v>101</v>
      </c>
      <c r="G8" s="368" t="s">
        <v>3432</v>
      </c>
      <c r="H8" s="365">
        <f>SUMIF(55:55,G8,56:56)-SUMIF(55:55,C8,56:56)+100</f>
        <v>101</v>
      </c>
      <c r="I8" s="368" t="s">
        <v>3432</v>
      </c>
      <c r="J8" s="365">
        <f>SUMIF(55:55,I8,56:56)-SUMIF(55:55,C8,56:56)+100</f>
        <v>101</v>
      </c>
      <c r="K8" s="560"/>
      <c r="L8" s="911"/>
      <c r="M8" s="912"/>
      <c r="N8" s="912"/>
      <c r="O8" s="912"/>
      <c r="P8" s="3727" t="s">
        <v>1683</v>
      </c>
      <c r="Q8" s="3728"/>
      <c r="R8" s="701" t="s">
        <v>14</v>
      </c>
      <c r="S8" s="702">
        <f t="shared" si="0"/>
        <v>101</v>
      </c>
      <c r="T8" s="701" t="s">
        <v>14</v>
      </c>
      <c r="U8" s="702">
        <f t="shared" si="1"/>
        <v>101</v>
      </c>
      <c r="V8" s="701" t="s">
        <v>14</v>
      </c>
      <c r="W8" s="702">
        <f t="shared" si="2"/>
        <v>101</v>
      </c>
      <c r="X8" s="703"/>
      <c r="Y8" s="3727" t="s">
        <v>1683</v>
      </c>
      <c r="Z8" s="3728"/>
      <c r="AA8" s="704">
        <f t="shared" ref="AA8:AA40" si="3">D8/F8</f>
        <v>0.99009900990099009</v>
      </c>
      <c r="AB8" s="704">
        <f t="shared" ref="AB8:AB40" si="4">D8/H8</f>
        <v>0.99009900990099009</v>
      </c>
      <c r="AC8" s="704">
        <f t="shared" ref="AC8:AC40" si="5">D8/J8</f>
        <v>0.99009900990099009</v>
      </c>
    </row>
    <row r="9" spans="1:29" s="108" customFormat="1">
      <c r="A9" s="369" t="s">
        <v>1684</v>
      </c>
      <c r="B9" s="63" t="s">
        <v>1685</v>
      </c>
      <c r="C9" s="3459" t="s">
        <v>3434</v>
      </c>
      <c r="D9" s="126">
        <v>100</v>
      </c>
      <c r="E9" s="373" t="s">
        <v>3388</v>
      </c>
      <c r="F9" s="126">
        <f>SUMIF(57:57,E9,58:58)-SUMIF(57:57,C9,58:58)+100</f>
        <v>100</v>
      </c>
      <c r="G9" s="371" t="s">
        <v>3388</v>
      </c>
      <c r="H9" s="126">
        <f>SUMIF(57:57,G9,58:58)-SUMIF(57:57,C9,58:58)+100</f>
        <v>100</v>
      </c>
      <c r="I9" s="371" t="s">
        <v>3388</v>
      </c>
      <c r="J9" s="126">
        <f>SUMIF(57:57,I9,58:58)-SUMIF(57:57,C9,58:58)+100</f>
        <v>100</v>
      </c>
      <c r="K9" s="560"/>
      <c r="L9" s="911"/>
      <c r="M9" s="912"/>
      <c r="N9" s="912"/>
      <c r="O9" s="913"/>
      <c r="P9" s="3759"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4"/>
      <c r="M10" s="915"/>
      <c r="N10" s="915"/>
      <c r="O10" s="916"/>
      <c r="P10" s="3759"/>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59"/>
      <c r="Q11" s="1339" t="str">
        <f t="shared" si="6"/>
        <v>容积率</v>
      </c>
      <c r="R11" s="701" t="s">
        <v>14</v>
      </c>
      <c r="S11" s="702">
        <f t="shared" si="0"/>
        <v>100</v>
      </c>
      <c r="T11" s="701" t="s">
        <v>14</v>
      </c>
      <c r="U11" s="702">
        <f t="shared" si="1"/>
        <v>100</v>
      </c>
      <c r="V11" s="701" t="s">
        <v>14</v>
      </c>
      <c r="W11" s="702">
        <f t="shared" si="2"/>
        <v>100</v>
      </c>
      <c r="X11" s="703"/>
      <c r="Y11" s="3652"/>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59"/>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59"/>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59"/>
      <c r="Q14" s="1339">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2</v>
      </c>
      <c r="L15" s="919"/>
      <c r="M15" s="910"/>
      <c r="N15" s="910"/>
      <c r="O15" s="918"/>
      <c r="P15" s="3761" t="s">
        <v>1691</v>
      </c>
      <c r="Q15" s="1348" t="str">
        <f t="shared" si="6"/>
        <v>产业集聚程度</v>
      </c>
      <c r="R15" s="705" t="s">
        <v>14</v>
      </c>
      <c r="S15" s="706">
        <f t="shared" si="0"/>
        <v>100</v>
      </c>
      <c r="T15" s="705" t="s">
        <v>14</v>
      </c>
      <c r="U15" s="706">
        <f t="shared" si="1"/>
        <v>100</v>
      </c>
      <c r="V15" s="705" t="s">
        <v>14</v>
      </c>
      <c r="W15" s="706">
        <f t="shared" si="2"/>
        <v>100</v>
      </c>
      <c r="X15" s="1351"/>
      <c r="Y15" s="3761" t="s">
        <v>1691</v>
      </c>
      <c r="Z15" s="1352" t="str">
        <f t="shared" si="7"/>
        <v>产业集聚程度</v>
      </c>
      <c r="AA15" s="1349">
        <f t="shared" si="3"/>
        <v>1</v>
      </c>
      <c r="AB15" s="1349">
        <f t="shared" si="4"/>
        <v>1</v>
      </c>
      <c r="AC15" s="1349">
        <f t="shared" si="5"/>
        <v>1</v>
      </c>
    </row>
    <row r="16" spans="1:29" ht="15">
      <c r="A16" s="379"/>
      <c r="B16" s="397"/>
      <c r="C16" s="398" t="s">
        <v>3415</v>
      </c>
      <c r="D16" s="399"/>
      <c r="E16" s="398" t="str">
        <f>C16</f>
        <v>一般</v>
      </c>
      <c r="F16" s="400"/>
      <c r="G16" s="398" t="s">
        <v>3415</v>
      </c>
      <c r="H16" s="401"/>
      <c r="I16" s="398" t="s">
        <v>3415</v>
      </c>
      <c r="J16" s="399"/>
      <c r="K16" s="564"/>
      <c r="L16" s="919"/>
      <c r="M16" s="910"/>
      <c r="N16" s="910"/>
      <c r="O16" s="918"/>
      <c r="P16" s="3762"/>
      <c r="Q16" s="1348"/>
      <c r="R16" s="705"/>
      <c r="S16" s="706"/>
      <c r="T16" s="705"/>
      <c r="U16" s="706"/>
      <c r="V16" s="705"/>
      <c r="W16" s="706"/>
      <c r="X16" s="1351"/>
      <c r="Y16" s="3762"/>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19"/>
      <c r="M17" s="910"/>
      <c r="N17" s="910"/>
      <c r="O17" s="918"/>
      <c r="P17" s="3762"/>
      <c r="Q17" s="1348" t="str">
        <f>B17</f>
        <v>交通便捷度</v>
      </c>
      <c r="R17" s="705" t="s">
        <v>14</v>
      </c>
      <c r="S17" s="706">
        <f>F17</f>
        <v>100</v>
      </c>
      <c r="T17" s="705" t="s">
        <v>14</v>
      </c>
      <c r="U17" s="706">
        <f>H17</f>
        <v>100</v>
      </c>
      <c r="V17" s="705" t="s">
        <v>14</v>
      </c>
      <c r="W17" s="706">
        <f>J17</f>
        <v>100</v>
      </c>
      <c r="X17" s="1351"/>
      <c r="Y17" s="3762"/>
      <c r="Z17" s="1352" t="str">
        <f>Q17</f>
        <v>交通便捷度</v>
      </c>
      <c r="AA17" s="1349">
        <f t="shared" si="3"/>
        <v>1</v>
      </c>
      <c r="AB17" s="1349">
        <f t="shared" si="4"/>
        <v>1</v>
      </c>
      <c r="AC17" s="1349">
        <f t="shared" si="5"/>
        <v>1</v>
      </c>
    </row>
    <row r="18" spans="1:29" ht="15">
      <c r="A18" s="379"/>
      <c r="B18" s="407"/>
      <c r="C18" s="1897" t="s">
        <v>3415</v>
      </c>
      <c r="D18" s="401"/>
      <c r="E18" s="1899" t="s">
        <v>3415</v>
      </c>
      <c r="F18" s="404"/>
      <c r="G18" s="1898" t="s">
        <v>3415</v>
      </c>
      <c r="H18" s="399"/>
      <c r="I18" s="1899" t="s">
        <v>3415</v>
      </c>
      <c r="J18" s="399"/>
      <c r="K18" s="564"/>
      <c r="L18" s="919"/>
      <c r="M18" s="910"/>
      <c r="N18" s="910"/>
      <c r="O18" s="918"/>
      <c r="P18" s="3762"/>
      <c r="Q18" s="1348"/>
      <c r="R18" s="705"/>
      <c r="S18" s="706"/>
      <c r="T18" s="705"/>
      <c r="U18" s="706"/>
      <c r="V18" s="705"/>
      <c r="W18" s="706"/>
      <c r="X18" s="1351"/>
      <c r="Y18" s="3762"/>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19"/>
      <c r="M19" s="910"/>
      <c r="N19" s="910"/>
      <c r="O19" s="918"/>
      <c r="P19" s="3762"/>
      <c r="Q19" s="1348" t="str">
        <f>B19</f>
        <v>公共配套设施</v>
      </c>
      <c r="R19" s="705" t="s">
        <v>14</v>
      </c>
      <c r="S19" s="706">
        <f>F19</f>
        <v>100</v>
      </c>
      <c r="T19" s="705" t="s">
        <v>14</v>
      </c>
      <c r="U19" s="706">
        <f>H19</f>
        <v>100</v>
      </c>
      <c r="V19" s="705" t="s">
        <v>14</v>
      </c>
      <c r="W19" s="706">
        <f>J19</f>
        <v>100</v>
      </c>
      <c r="X19" s="1351"/>
      <c r="Y19" s="3762"/>
      <c r="Z19" s="1352" t="str">
        <f>Q19</f>
        <v>公共配套设施</v>
      </c>
      <c r="AA19" s="1349">
        <f t="shared" si="3"/>
        <v>1</v>
      </c>
      <c r="AB19" s="1349">
        <f t="shared" si="4"/>
        <v>1</v>
      </c>
      <c r="AC19" s="1349">
        <f t="shared" si="5"/>
        <v>1</v>
      </c>
    </row>
    <row r="20" spans="1:29" ht="15">
      <c r="A20" s="379"/>
      <c r="B20" s="407"/>
      <c r="C20" s="398" t="s">
        <v>3415</v>
      </c>
      <c r="D20" s="399"/>
      <c r="E20" s="1894" t="s">
        <v>3415</v>
      </c>
      <c r="F20" s="400"/>
      <c r="G20" s="1893" t="s">
        <v>3415</v>
      </c>
      <c r="H20" s="399"/>
      <c r="I20" s="1894" t="s">
        <v>3415</v>
      </c>
      <c r="J20" s="399"/>
      <c r="K20" s="564"/>
      <c r="L20" s="919"/>
      <c r="M20" s="910"/>
      <c r="N20" s="910"/>
      <c r="O20" s="918"/>
      <c r="P20" s="3762"/>
      <c r="Q20" s="1348"/>
      <c r="R20" s="705"/>
      <c r="S20" s="706"/>
      <c r="T20" s="705"/>
      <c r="U20" s="706"/>
      <c r="V20" s="705"/>
      <c r="W20" s="706"/>
      <c r="X20" s="1351"/>
      <c r="Y20" s="3762"/>
      <c r="Z20" s="1352"/>
      <c r="AA20" s="1349">
        <v>1</v>
      </c>
      <c r="AB20" s="1349">
        <v>1</v>
      </c>
      <c r="AC20" s="1349">
        <v>1</v>
      </c>
    </row>
    <row r="21" spans="1:29" ht="28.5">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19"/>
      <c r="M21" s="910"/>
      <c r="N21" s="910"/>
      <c r="O21" s="918"/>
      <c r="P21" s="3762"/>
      <c r="Q21" s="1348" t="str">
        <f>B21</f>
        <v>基础设施水平</v>
      </c>
      <c r="R21" s="705" t="s">
        <v>14</v>
      </c>
      <c r="S21" s="706">
        <f>F21</f>
        <v>100</v>
      </c>
      <c r="T21" s="705" t="s">
        <v>14</v>
      </c>
      <c r="U21" s="706">
        <f>H21</f>
        <v>100</v>
      </c>
      <c r="V21" s="705" t="s">
        <v>14</v>
      </c>
      <c r="W21" s="706">
        <f>J21</f>
        <v>100</v>
      </c>
      <c r="X21" s="1351"/>
      <c r="Y21" s="3762"/>
      <c r="Z21" s="1352" t="str">
        <f>Q21</f>
        <v>基础设施水平</v>
      </c>
      <c r="AA21" s="1349">
        <f t="shared" ref="AA21" si="8">D21/F21</f>
        <v>1</v>
      </c>
      <c r="AB21" s="1349">
        <f t="shared" ref="AB21" si="9">D21/H21</f>
        <v>1</v>
      </c>
      <c r="AC21" s="1349">
        <f t="shared" ref="AC21" si="10">D21/J21</f>
        <v>1</v>
      </c>
    </row>
    <row r="22" spans="1:29" ht="15">
      <c r="A22" s="379"/>
      <c r="B22" s="1127"/>
      <c r="C22" s="1897" t="s">
        <v>3435</v>
      </c>
      <c r="D22" s="399"/>
      <c r="E22" s="398" t="s">
        <v>3435</v>
      </c>
      <c r="F22" s="400"/>
      <c r="G22" s="398" t="s">
        <v>3435</v>
      </c>
      <c r="H22" s="399"/>
      <c r="I22" s="398" t="s">
        <v>3435</v>
      </c>
      <c r="J22" s="399"/>
      <c r="K22" s="1126"/>
      <c r="L22" s="919"/>
      <c r="M22" s="910"/>
      <c r="N22" s="910"/>
      <c r="O22" s="918"/>
      <c r="P22" s="3762"/>
      <c r="Q22" s="1348"/>
      <c r="R22" s="705"/>
      <c r="S22" s="706"/>
      <c r="T22" s="705"/>
      <c r="U22" s="706"/>
      <c r="V22" s="705"/>
      <c r="W22" s="706"/>
      <c r="X22" s="1351"/>
      <c r="Y22" s="3762"/>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19"/>
      <c r="M23" s="910"/>
      <c r="N23" s="910"/>
      <c r="O23" s="918"/>
      <c r="P23" s="3762"/>
      <c r="Q23" s="1348" t="str">
        <f>B23</f>
        <v>环境质量</v>
      </c>
      <c r="R23" s="705" t="s">
        <v>14</v>
      </c>
      <c r="S23" s="706">
        <f>F23</f>
        <v>100</v>
      </c>
      <c r="T23" s="705" t="s">
        <v>14</v>
      </c>
      <c r="U23" s="706">
        <f>H23</f>
        <v>100</v>
      </c>
      <c r="V23" s="705" t="s">
        <v>14</v>
      </c>
      <c r="W23" s="706">
        <f>J23</f>
        <v>100</v>
      </c>
      <c r="X23" s="1351"/>
      <c r="Y23" s="3762"/>
      <c r="Z23" s="1352" t="str">
        <f>Q23</f>
        <v>环境质量</v>
      </c>
      <c r="AA23" s="1349">
        <f t="shared" si="3"/>
        <v>1</v>
      </c>
      <c r="AB23" s="1349">
        <f t="shared" si="4"/>
        <v>1</v>
      </c>
      <c r="AC23" s="1349">
        <f t="shared" si="5"/>
        <v>1</v>
      </c>
    </row>
    <row r="24" spans="1:29" ht="15">
      <c r="A24" s="379"/>
      <c r="B24" s="1127"/>
      <c r="C24" s="398" t="s">
        <v>3415</v>
      </c>
      <c r="D24" s="399"/>
      <c r="E24" s="1894" t="s">
        <v>3415</v>
      </c>
      <c r="F24" s="400"/>
      <c r="G24" s="1893" t="s">
        <v>3415</v>
      </c>
      <c r="H24" s="399"/>
      <c r="I24" s="1894" t="s">
        <v>3415</v>
      </c>
      <c r="J24" s="399"/>
      <c r="K24" s="564"/>
      <c r="L24" s="919"/>
      <c r="M24" s="910"/>
      <c r="N24" s="910"/>
      <c r="O24" s="918"/>
      <c r="P24" s="3762"/>
      <c r="Q24" s="1348"/>
      <c r="R24" s="705"/>
      <c r="S24" s="706"/>
      <c r="T24" s="705"/>
      <c r="U24" s="706"/>
      <c r="V24" s="705"/>
      <c r="W24" s="706"/>
      <c r="X24" s="1351"/>
      <c r="Y24" s="3762"/>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62"/>
      <c r="Q25" s="1348">
        <f>B25</f>
        <v>111</v>
      </c>
      <c r="R25" s="705" t="s">
        <v>14</v>
      </c>
      <c r="S25" s="706">
        <f>F25</f>
        <v>100</v>
      </c>
      <c r="T25" s="705" t="s">
        <v>14</v>
      </c>
      <c r="U25" s="706">
        <f>H25</f>
        <v>100</v>
      </c>
      <c r="V25" s="705" t="s">
        <v>14</v>
      </c>
      <c r="W25" s="706">
        <f>J25</f>
        <v>100</v>
      </c>
      <c r="X25" s="1351"/>
      <c r="Y25" s="3762"/>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62"/>
      <c r="Q26" s="1348">
        <f t="shared" ref="Q26:Q40" si="11">B26</f>
        <v>111</v>
      </c>
      <c r="R26" s="705" t="s">
        <v>14</v>
      </c>
      <c r="S26" s="706">
        <f>F26</f>
        <v>100</v>
      </c>
      <c r="T26" s="705" t="s">
        <v>14</v>
      </c>
      <c r="U26" s="706">
        <f>H26</f>
        <v>100</v>
      </c>
      <c r="V26" s="705" t="s">
        <v>14</v>
      </c>
      <c r="W26" s="706">
        <f>J26</f>
        <v>100</v>
      </c>
      <c r="X26" s="1351"/>
      <c r="Y26" s="3762"/>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62"/>
      <c r="Q27" s="1339">
        <f t="shared" si="11"/>
        <v>111</v>
      </c>
      <c r="R27" s="701" t="s">
        <v>14</v>
      </c>
      <c r="S27" s="702">
        <f>F27</f>
        <v>100</v>
      </c>
      <c r="T27" s="701" t="s">
        <v>14</v>
      </c>
      <c r="U27" s="702">
        <f>H27</f>
        <v>100</v>
      </c>
      <c r="V27" s="701" t="s">
        <v>14</v>
      </c>
      <c r="W27" s="702">
        <f>J27</f>
        <v>100</v>
      </c>
      <c r="X27" s="703"/>
      <c r="Y27" s="3762"/>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62"/>
      <c r="Q28" s="1348">
        <f t="shared" si="11"/>
        <v>111</v>
      </c>
      <c r="R28" s="705" t="s">
        <v>14</v>
      </c>
      <c r="S28" s="706">
        <f t="shared" ref="S28:S40" si="12">F28</f>
        <v>100</v>
      </c>
      <c r="T28" s="705" t="s">
        <v>14</v>
      </c>
      <c r="U28" s="706">
        <f t="shared" ref="U28:U40" si="13">H28</f>
        <v>100</v>
      </c>
      <c r="V28" s="705" t="s">
        <v>14</v>
      </c>
      <c r="W28" s="706">
        <f t="shared" ref="W28:W40" si="14">J28</f>
        <v>100</v>
      </c>
      <c r="X28" s="1351"/>
      <c r="Y28" s="3762"/>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85" t="s">
        <v>1696</v>
      </c>
      <c r="Q29" s="1348" t="str">
        <f t="shared" si="11"/>
        <v>建筑类型</v>
      </c>
      <c r="R29" s="705" t="s">
        <v>14</v>
      </c>
      <c r="S29" s="706">
        <f t="shared" si="12"/>
        <v>100</v>
      </c>
      <c r="T29" s="705" t="s">
        <v>14</v>
      </c>
      <c r="U29" s="706">
        <f t="shared" si="13"/>
        <v>100</v>
      </c>
      <c r="V29" s="705" t="s">
        <v>14</v>
      </c>
      <c r="W29" s="706">
        <f t="shared" si="14"/>
        <v>100</v>
      </c>
      <c r="X29" s="1351"/>
      <c r="Y29" s="3766" t="s">
        <v>1696</v>
      </c>
      <c r="Z29" s="1352" t="str">
        <f t="shared" si="15"/>
        <v>建筑类型</v>
      </c>
      <c r="AA29" s="1349">
        <f t="shared" si="3"/>
        <v>1</v>
      </c>
      <c r="AB29" s="1349">
        <f t="shared" si="4"/>
        <v>1</v>
      </c>
      <c r="AC29" s="1349">
        <f t="shared" si="5"/>
        <v>1</v>
      </c>
    </row>
    <row r="30" spans="1:29" s="422" customFormat="1" ht="15">
      <c r="A30" s="419"/>
      <c r="B30" s="375" t="s">
        <v>1697</v>
      </c>
      <c r="C30" s="420">
        <f>'数据-汇总表'!F19</f>
        <v>2447.34</v>
      </c>
      <c r="D30" s="127">
        <v>100</v>
      </c>
      <c r="E30" s="381">
        <v>6000</v>
      </c>
      <c r="F30" s="376">
        <f>LOOKUP(E30,91:91,92:92)-LOOKUP(C30,91:91,92:92)+100</f>
        <v>96</v>
      </c>
      <c r="G30" s="380">
        <v>750</v>
      </c>
      <c r="H30" s="127">
        <f>LOOKUP(G30,91:91,92:92)-LOOKUP(C30,91:91,92:92)+100</f>
        <v>96</v>
      </c>
      <c r="I30" s="380">
        <v>330</v>
      </c>
      <c r="J30" s="127">
        <f>LOOKUP(I30,91:91,92:92)-LOOKUP(C30,91:91,92:92)+100</f>
        <v>94</v>
      </c>
      <c r="K30" s="562"/>
      <c r="L30" s="917"/>
      <c r="M30" s="920"/>
      <c r="N30" s="920"/>
      <c r="O30" s="921"/>
      <c r="P30" s="3766"/>
      <c r="Q30" s="707" t="str">
        <f t="shared" si="11"/>
        <v>项目建筑规模</v>
      </c>
      <c r="R30" s="708" t="s">
        <v>14</v>
      </c>
      <c r="S30" s="709">
        <f t="shared" si="12"/>
        <v>96</v>
      </c>
      <c r="T30" s="708" t="s">
        <v>14</v>
      </c>
      <c r="U30" s="709">
        <f t="shared" si="13"/>
        <v>96</v>
      </c>
      <c r="V30" s="708" t="s">
        <v>14</v>
      </c>
      <c r="W30" s="709">
        <f t="shared" si="14"/>
        <v>94</v>
      </c>
      <c r="X30" s="710"/>
      <c r="Y30" s="3766"/>
      <c r="Z30" s="711" t="str">
        <f t="shared" si="15"/>
        <v>项目建筑规模</v>
      </c>
      <c r="AA30" s="1349">
        <f t="shared" si="3"/>
        <v>1.0416666666666667</v>
      </c>
      <c r="AB30" s="1349">
        <f t="shared" si="4"/>
        <v>1.0416666666666667</v>
      </c>
      <c r="AC30" s="1349">
        <f t="shared" si="5"/>
        <v>1.0638297872340425</v>
      </c>
    </row>
    <row r="31" spans="1:29" ht="15">
      <c r="A31" s="423"/>
      <c r="B31" s="375" t="s">
        <v>1698</v>
      </c>
      <c r="C31" s="411" t="s">
        <v>3436</v>
      </c>
      <c r="D31" s="386">
        <v>100</v>
      </c>
      <c r="E31" s="411" t="s">
        <v>3436</v>
      </c>
      <c r="F31" s="412">
        <f>SUMIF(93:93,E31,94:94)-SUMIF(93:93,C31,94:94)+100</f>
        <v>100</v>
      </c>
      <c r="G31" s="411" t="s">
        <v>3436</v>
      </c>
      <c r="H31" s="386">
        <f>SUMIF(93:93,G31,94:94)-SUMIF(93:93,C31,94:94)+100</f>
        <v>100</v>
      </c>
      <c r="I31" s="411" t="s">
        <v>3436</v>
      </c>
      <c r="J31" s="386">
        <f>SUMIF(93:93,I31,94:94)-SUMIF(93:93,C31,94:94)+100</f>
        <v>100</v>
      </c>
      <c r="K31" s="561">
        <v>2</v>
      </c>
      <c r="L31" s="919"/>
      <c r="M31" s="910"/>
      <c r="N31" s="910"/>
      <c r="O31" s="918"/>
      <c r="P31" s="3766"/>
      <c r="Q31" s="1348" t="str">
        <f t="shared" si="11"/>
        <v>建筑结构</v>
      </c>
      <c r="R31" s="705" t="s">
        <v>14</v>
      </c>
      <c r="S31" s="706">
        <f t="shared" si="12"/>
        <v>100</v>
      </c>
      <c r="T31" s="705" t="s">
        <v>14</v>
      </c>
      <c r="U31" s="706">
        <f t="shared" si="13"/>
        <v>100</v>
      </c>
      <c r="V31" s="705" t="s">
        <v>14</v>
      </c>
      <c r="W31" s="706">
        <f t="shared" si="14"/>
        <v>100</v>
      </c>
      <c r="X31" s="1351"/>
      <c r="Y31" s="3766"/>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3465"/>
      <c r="H32" s="386">
        <f>SUMIF(95:95,G32,96:96)-SUMIF(95:95,C32,96:96)+100</f>
        <v>100</v>
      </c>
      <c r="I32" s="411"/>
      <c r="J32" s="386">
        <f>SUMIF(95:95,I32,96:96)-SUMIF(95:95,C32,96:96)+100</f>
        <v>100</v>
      </c>
      <c r="K32" s="561">
        <v>2</v>
      </c>
      <c r="L32" s="919"/>
      <c r="M32" s="910"/>
      <c r="N32" s="910"/>
      <c r="O32" s="918"/>
      <c r="P32" s="3766"/>
      <c r="Q32" s="1348" t="str">
        <f t="shared" si="11"/>
        <v>公共部分装修</v>
      </c>
      <c r="R32" s="705" t="s">
        <v>14</v>
      </c>
      <c r="S32" s="706">
        <f t="shared" si="12"/>
        <v>100</v>
      </c>
      <c r="T32" s="705" t="s">
        <v>14</v>
      </c>
      <c r="U32" s="706">
        <f t="shared" si="13"/>
        <v>100</v>
      </c>
      <c r="V32" s="705" t="s">
        <v>14</v>
      </c>
      <c r="W32" s="706">
        <f t="shared" si="14"/>
        <v>100</v>
      </c>
      <c r="X32" s="1351"/>
      <c r="Y32" s="3766"/>
      <c r="Z32" s="1352" t="str">
        <f t="shared" si="15"/>
        <v>公共部分装修</v>
      </c>
      <c r="AA32" s="1349">
        <f t="shared" si="3"/>
        <v>1</v>
      </c>
      <c r="AB32" s="1349">
        <f t="shared" si="4"/>
        <v>1</v>
      </c>
      <c r="AC32" s="1349">
        <f t="shared" si="5"/>
        <v>1</v>
      </c>
    </row>
    <row r="33" spans="1:29" ht="15">
      <c r="A33" s="423"/>
      <c r="B33" s="375" t="s">
        <v>1786</v>
      </c>
      <c r="C33" s="3464">
        <f>'数据-取费表'!N6</f>
        <v>0.7</v>
      </c>
      <c r="D33" s="386">
        <v>100</v>
      </c>
      <c r="E33" s="425">
        <f>C33</f>
        <v>0.7</v>
      </c>
      <c r="F33" s="412">
        <f>LOOKUP(E33,98:98,99:99)-LOOKUP(C33,98:98,99:99)+100</f>
        <v>100</v>
      </c>
      <c r="G33" s="425">
        <f>C33</f>
        <v>0.7</v>
      </c>
      <c r="H33" s="412">
        <f>LOOKUP(G33,98:98,99:99)-LOOKUP(C33,98:98,99:99)+100</f>
        <v>100</v>
      </c>
      <c r="I33" s="425">
        <f>C33</f>
        <v>0.7</v>
      </c>
      <c r="J33" s="386">
        <f>LOOKUP(I33,98:98,99:99)-LOOKUP(C33,98:98,99:99)+100</f>
        <v>100</v>
      </c>
      <c r="K33" s="561">
        <v>1</v>
      </c>
      <c r="L33" s="919"/>
      <c r="M33" s="910"/>
      <c r="N33" s="910"/>
      <c r="O33" s="918"/>
      <c r="P33" s="3766"/>
      <c r="Q33" s="1348" t="str">
        <f t="shared" si="11"/>
        <v>成新度</v>
      </c>
      <c r="R33" s="705" t="s">
        <v>14</v>
      </c>
      <c r="S33" s="706">
        <f t="shared" si="12"/>
        <v>100</v>
      </c>
      <c r="T33" s="705" t="s">
        <v>14</v>
      </c>
      <c r="U33" s="706">
        <f t="shared" si="13"/>
        <v>100</v>
      </c>
      <c r="V33" s="705" t="s">
        <v>14</v>
      </c>
      <c r="W33" s="706">
        <f t="shared" si="14"/>
        <v>100</v>
      </c>
      <c r="X33" s="1351"/>
      <c r="Y33" s="3766"/>
      <c r="Z33" s="1352" t="str">
        <f t="shared" si="15"/>
        <v>成新度</v>
      </c>
      <c r="AA33" s="1349">
        <f t="shared" si="3"/>
        <v>1</v>
      </c>
      <c r="AB33" s="1349">
        <f t="shared" si="4"/>
        <v>1</v>
      </c>
      <c r="AC33" s="1349">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v>2</v>
      </c>
      <c r="L34" s="911"/>
      <c r="M34" s="912"/>
      <c r="N34" s="912"/>
      <c r="O34" s="913"/>
      <c r="P34" s="3766"/>
      <c r="Q34" s="1339" t="str">
        <f t="shared" si="11"/>
        <v>物业管理</v>
      </c>
      <c r="R34" s="701" t="s">
        <v>14</v>
      </c>
      <c r="S34" s="702">
        <f t="shared" si="12"/>
        <v>100</v>
      </c>
      <c r="T34" s="701" t="s">
        <v>14</v>
      </c>
      <c r="U34" s="702">
        <f t="shared" si="13"/>
        <v>100</v>
      </c>
      <c r="V34" s="701" t="s">
        <v>14</v>
      </c>
      <c r="W34" s="702">
        <f t="shared" si="14"/>
        <v>100</v>
      </c>
      <c r="X34" s="703"/>
      <c r="Y34" s="3766"/>
      <c r="Z34" s="52" t="str">
        <f t="shared" si="15"/>
        <v>物业管理</v>
      </c>
      <c r="AA34" s="704">
        <f t="shared" si="3"/>
        <v>1</v>
      </c>
      <c r="AB34" s="704">
        <f t="shared" si="4"/>
        <v>1</v>
      </c>
      <c r="AC34" s="704">
        <f t="shared" si="5"/>
        <v>1</v>
      </c>
    </row>
    <row r="35" spans="1:29" ht="15">
      <c r="A35" s="423"/>
      <c r="B35" s="375" t="s">
        <v>1787</v>
      </c>
      <c r="C35" s="411" t="s">
        <v>3435</v>
      </c>
      <c r="D35" s="386">
        <v>100</v>
      </c>
      <c r="E35" s="411" t="s">
        <v>3435</v>
      </c>
      <c r="F35" s="412">
        <f>SUMIF(102:102,E35,103:103)-SUMIF(102:102,C35,103:103)+100</f>
        <v>100</v>
      </c>
      <c r="G35" s="411" t="s">
        <v>3435</v>
      </c>
      <c r="H35" s="386">
        <f>SUMIF(102:102,G35,103:103)-SUMIF(102:102,C35,103:103)+100</f>
        <v>100</v>
      </c>
      <c r="I35" s="411" t="s">
        <v>3435</v>
      </c>
      <c r="J35" s="386">
        <f>SUMIF(102:102,I35,103:103)-SUMIF(102:102,C35,103:103)+100</f>
        <v>100</v>
      </c>
      <c r="K35" s="561">
        <v>1</v>
      </c>
      <c r="L35" s="919"/>
      <c r="M35" s="910"/>
      <c r="N35" s="910"/>
      <c r="O35" s="918"/>
      <c r="P35" s="3766" t="s">
        <v>1696</v>
      </c>
      <c r="Q35" s="1348" t="str">
        <f t="shared" si="11"/>
        <v>市政基础设施</v>
      </c>
      <c r="R35" s="705" t="s">
        <v>14</v>
      </c>
      <c r="S35" s="706">
        <f t="shared" si="12"/>
        <v>100</v>
      </c>
      <c r="T35" s="705" t="s">
        <v>14</v>
      </c>
      <c r="U35" s="706">
        <f t="shared" si="13"/>
        <v>100</v>
      </c>
      <c r="V35" s="705" t="s">
        <v>14</v>
      </c>
      <c r="W35" s="706">
        <f t="shared" si="14"/>
        <v>100</v>
      </c>
      <c r="X35" s="1351"/>
      <c r="Y35" s="3766" t="s">
        <v>1696</v>
      </c>
      <c r="Z35" s="1352" t="str">
        <f t="shared" si="15"/>
        <v>市政基础设施</v>
      </c>
      <c r="AA35" s="1349">
        <f t="shared" si="3"/>
        <v>1</v>
      </c>
      <c r="AB35" s="1349">
        <f t="shared" si="4"/>
        <v>1</v>
      </c>
      <c r="AC35" s="1349">
        <f t="shared" si="5"/>
        <v>1</v>
      </c>
    </row>
    <row r="36" spans="1:29" ht="15">
      <c r="A36" s="423"/>
      <c r="B36" s="375" t="s">
        <v>1792</v>
      </c>
      <c r="C36" s="411" t="s">
        <v>3444</v>
      </c>
      <c r="D36" s="386">
        <v>100</v>
      </c>
      <c r="E36" s="411" t="s">
        <v>3444</v>
      </c>
      <c r="F36" s="412">
        <f>SUMIF(104:104,E36,105:105)-SUMIF(104:104,C36,105:105)+100</f>
        <v>100</v>
      </c>
      <c r="G36" s="411" t="s">
        <v>3444</v>
      </c>
      <c r="H36" s="386">
        <f>SUMIF(104:104,G36,105:105)-SUMIF(104:104,C36,105:105)+100</f>
        <v>100</v>
      </c>
      <c r="I36" s="411" t="s">
        <v>3444</v>
      </c>
      <c r="J36" s="386">
        <f>SUMIF(104:104,I36,105:105)-SUMIF(104:104,C36,105:105)+100</f>
        <v>100</v>
      </c>
      <c r="K36" s="561">
        <v>5</v>
      </c>
      <c r="L36" s="919"/>
      <c r="M36" s="910"/>
      <c r="N36" s="910"/>
      <c r="O36" s="918"/>
      <c r="P36" s="3766"/>
      <c r="Q36" s="1348" t="str">
        <f t="shared" si="11"/>
        <v>内部装修</v>
      </c>
      <c r="R36" s="705" t="s">
        <v>14</v>
      </c>
      <c r="S36" s="706">
        <f t="shared" si="12"/>
        <v>100</v>
      </c>
      <c r="T36" s="705" t="s">
        <v>14</v>
      </c>
      <c r="U36" s="706">
        <f t="shared" si="13"/>
        <v>100</v>
      </c>
      <c r="V36" s="705" t="s">
        <v>14</v>
      </c>
      <c r="W36" s="706">
        <f t="shared" si="14"/>
        <v>100</v>
      </c>
      <c r="X36" s="1351"/>
      <c r="Y36" s="3766"/>
      <c r="Z36" s="1352" t="str">
        <f t="shared" si="15"/>
        <v>内部装修</v>
      </c>
      <c r="AA36" s="1349">
        <f t="shared" si="3"/>
        <v>1</v>
      </c>
      <c r="AB36" s="1349">
        <f t="shared" si="4"/>
        <v>1</v>
      </c>
      <c r="AC36" s="1349">
        <f t="shared" si="5"/>
        <v>1</v>
      </c>
    </row>
    <row r="37" spans="1:29" ht="15">
      <c r="A37" s="423"/>
      <c r="B37" s="375" t="s">
        <v>1828</v>
      </c>
      <c r="C37" s="565" t="s">
        <v>3416</v>
      </c>
      <c r="D37" s="386">
        <v>100</v>
      </c>
      <c r="E37" s="565" t="s">
        <v>3415</v>
      </c>
      <c r="F37" s="412">
        <f>SUMIF(106:106,E37,107:107)-SUMIF(106:106,C37,107:107)+100</f>
        <v>95</v>
      </c>
      <c r="G37" s="565" t="s">
        <v>3415</v>
      </c>
      <c r="H37" s="386">
        <f>SUMIF(106:106,G37,107:107)-SUMIF(106:106,C37,107:107)+100</f>
        <v>95</v>
      </c>
      <c r="I37" s="565" t="s">
        <v>3415</v>
      </c>
      <c r="J37" s="386">
        <f>SUMIF(106:106,I37,107:107)-SUMIF(106:106,C37,107:107)+100</f>
        <v>95</v>
      </c>
      <c r="K37" s="561">
        <v>5</v>
      </c>
      <c r="L37" s="919"/>
      <c r="M37" s="910"/>
      <c r="N37" s="910"/>
      <c r="O37" s="918"/>
      <c r="P37" s="3766"/>
      <c r="Q37" s="1348" t="str">
        <f t="shared" si="11"/>
        <v>内部装修状况</v>
      </c>
      <c r="R37" s="705" t="s">
        <v>14</v>
      </c>
      <c r="S37" s="706">
        <f t="shared" si="12"/>
        <v>95</v>
      </c>
      <c r="T37" s="705" t="s">
        <v>14</v>
      </c>
      <c r="U37" s="706">
        <f t="shared" si="13"/>
        <v>95</v>
      </c>
      <c r="V37" s="705" t="s">
        <v>14</v>
      </c>
      <c r="W37" s="706">
        <f t="shared" si="14"/>
        <v>95</v>
      </c>
      <c r="X37" s="1351"/>
      <c r="Y37" s="3766"/>
      <c r="Z37" s="1352" t="str">
        <f t="shared" si="15"/>
        <v>内部装修状况</v>
      </c>
      <c r="AA37" s="1349">
        <f t="shared" si="3"/>
        <v>1.0526315789473684</v>
      </c>
      <c r="AB37" s="1349">
        <f t="shared" si="4"/>
        <v>1.0526315789473684</v>
      </c>
      <c r="AC37" s="1349">
        <f t="shared" si="5"/>
        <v>1.0526315789473684</v>
      </c>
    </row>
    <row r="38" spans="1:29" s="422" customFormat="1" ht="15">
      <c r="A38" s="419"/>
      <c r="B38" s="3461" t="s">
        <v>3438</v>
      </c>
      <c r="C38" s="3462" t="s">
        <v>3439</v>
      </c>
      <c r="D38" s="386">
        <v>100</v>
      </c>
      <c r="E38" s="3463" t="s">
        <v>3434</v>
      </c>
      <c r="F38" s="412">
        <f>SUMIF(108:108,E38,109:109)-SUMIF(108:108,C38,109:109)+100</f>
        <v>90</v>
      </c>
      <c r="G38" s="3462" t="s">
        <v>3434</v>
      </c>
      <c r="H38" s="386">
        <f>SUMIF(108:108,G38,109:109)-SUMIF(108:108,C38,109:109)+100</f>
        <v>90</v>
      </c>
      <c r="I38" s="3462" t="s">
        <v>3447</v>
      </c>
      <c r="J38" s="386">
        <f>SUMIF(108:108,I38,109:1038)-SUMIF(108:108,C38,109:109)+100</f>
        <v>95</v>
      </c>
      <c r="K38" s="562"/>
      <c r="L38" s="917"/>
      <c r="M38" s="920"/>
      <c r="N38" s="920"/>
      <c r="O38" s="921"/>
      <c r="P38" s="3766"/>
      <c r="Q38" s="707" t="str">
        <f t="shared" si="11"/>
        <v>现状利用</v>
      </c>
      <c r="R38" s="708" t="s">
        <v>14</v>
      </c>
      <c r="S38" s="709">
        <f t="shared" si="12"/>
        <v>90</v>
      </c>
      <c r="T38" s="708" t="s">
        <v>14</v>
      </c>
      <c r="U38" s="709">
        <f t="shared" si="13"/>
        <v>90</v>
      </c>
      <c r="V38" s="708" t="s">
        <v>14</v>
      </c>
      <c r="W38" s="709">
        <f t="shared" si="14"/>
        <v>95</v>
      </c>
      <c r="X38" s="710"/>
      <c r="Y38" s="3766"/>
      <c r="Z38" s="711" t="str">
        <f t="shared" si="15"/>
        <v>现状利用</v>
      </c>
      <c r="AA38" s="1349">
        <f t="shared" si="3"/>
        <v>1.1111111111111112</v>
      </c>
      <c r="AB38" s="1349">
        <f t="shared" si="4"/>
        <v>1.1111111111111112</v>
      </c>
      <c r="AC38" s="1349">
        <f t="shared" si="5"/>
        <v>1.0526315789473684</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66"/>
      <c r="Q39" s="1348">
        <f t="shared" si="11"/>
        <v>111</v>
      </c>
      <c r="R39" s="705" t="s">
        <v>14</v>
      </c>
      <c r="S39" s="706">
        <f t="shared" si="12"/>
        <v>100</v>
      </c>
      <c r="T39" s="705" t="s">
        <v>14</v>
      </c>
      <c r="U39" s="706">
        <f t="shared" si="13"/>
        <v>100</v>
      </c>
      <c r="V39" s="705" t="s">
        <v>14</v>
      </c>
      <c r="W39" s="706">
        <f t="shared" si="14"/>
        <v>100</v>
      </c>
      <c r="X39" s="1351"/>
      <c r="Y39" s="3766"/>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67"/>
      <c r="Q40" s="1348">
        <f t="shared" si="11"/>
        <v>111</v>
      </c>
      <c r="R40" s="705" t="s">
        <v>14</v>
      </c>
      <c r="S40" s="706">
        <f t="shared" si="12"/>
        <v>100</v>
      </c>
      <c r="T40" s="705" t="s">
        <v>14</v>
      </c>
      <c r="U40" s="706">
        <f t="shared" si="13"/>
        <v>100</v>
      </c>
      <c r="V40" s="705" t="s">
        <v>14</v>
      </c>
      <c r="W40" s="706">
        <f t="shared" si="14"/>
        <v>100</v>
      </c>
      <c r="X40" s="1351"/>
      <c r="Y40" s="3767"/>
      <c r="Z40" s="1352">
        <f t="shared" si="15"/>
        <v>111</v>
      </c>
      <c r="AA40" s="1349">
        <f t="shared" si="3"/>
        <v>1</v>
      </c>
      <c r="AB40" s="1349">
        <f t="shared" si="4"/>
        <v>1</v>
      </c>
      <c r="AC40" s="1349">
        <f t="shared" si="5"/>
        <v>1</v>
      </c>
    </row>
    <row r="41" spans="1:29" ht="15">
      <c r="A41" s="430" t="s">
        <v>1708</v>
      </c>
      <c r="B41" s="431"/>
      <c r="C41" s="1150" t="s">
        <v>0</v>
      </c>
      <c r="D41" s="1151"/>
      <c r="E41" s="1152">
        <v>0.7</v>
      </c>
      <c r="F41" s="1153"/>
      <c r="G41" s="1154">
        <v>0.98</v>
      </c>
      <c r="H41" s="1155"/>
      <c r="I41" s="1152">
        <v>0.7</v>
      </c>
      <c r="J41" s="1155"/>
      <c r="K41" s="714"/>
      <c r="L41" s="922"/>
      <c r="M41" s="923"/>
      <c r="N41" s="910"/>
      <c r="O41" s="923"/>
      <c r="P41" s="3759" t="str">
        <f>A41</f>
        <v>成交单价（元/平方米）</v>
      </c>
      <c r="Q41" s="3759"/>
      <c r="R41" s="3760">
        <f>E41</f>
        <v>0.7</v>
      </c>
      <c r="S41" s="3760"/>
      <c r="T41" s="3760">
        <f>G41</f>
        <v>0.98</v>
      </c>
      <c r="U41" s="3760"/>
      <c r="V41" s="3760">
        <f>I41</f>
        <v>0.7</v>
      </c>
      <c r="W41" s="3760"/>
      <c r="X41" s="690"/>
      <c r="Y41" s="712"/>
      <c r="Z41" s="690"/>
      <c r="AA41" s="690"/>
      <c r="AB41" s="690"/>
      <c r="AC41" s="690"/>
    </row>
    <row r="42" spans="1:29" ht="15.75" thickBot="1">
      <c r="A42" s="437" t="s">
        <v>1793</v>
      </c>
      <c r="B42" s="438"/>
      <c r="C42" s="1156">
        <f>R43</f>
        <v>0.9</v>
      </c>
      <c r="D42" s="2313" t="s">
        <v>2138</v>
      </c>
      <c r="E42" s="1157">
        <f>R42</f>
        <v>0.8</v>
      </c>
      <c r="F42" s="2314"/>
      <c r="G42" s="1156">
        <f>T42</f>
        <v>1.2</v>
      </c>
      <c r="H42" s="2314"/>
      <c r="I42" s="1157">
        <f>V42</f>
        <v>0.8</v>
      </c>
      <c r="J42" s="2314"/>
      <c r="K42" s="2316">
        <f>F42+H42+J42</f>
        <v>0</v>
      </c>
      <c r="L42" s="922"/>
      <c r="M42" s="923"/>
      <c r="N42" s="910"/>
      <c r="O42" s="923"/>
      <c r="P42" s="3759" t="str">
        <f>A42</f>
        <v>比较价值（元/平方米）</v>
      </c>
      <c r="Q42" s="3759"/>
      <c r="R42" s="3760">
        <f>IF(F1="售价",ROUND(PRODUCT(R41,AA7:AA40),0),ROUND(PRODUCT(R41,AA7:AA40),1))</f>
        <v>0.8</v>
      </c>
      <c r="S42" s="3760"/>
      <c r="T42" s="3760">
        <f>IF(F1="售价",ROUND(PRODUCT(T41,AB7:AB40),0),ROUND(PRODUCT(T41,AB7:AB40),1))</f>
        <v>1.2</v>
      </c>
      <c r="U42" s="3760"/>
      <c r="V42" s="3760">
        <f>IF(F1="售价",ROUND(PRODUCT(V41,AC7:AC40),0),ROUND(PRODUCT(V41,AC7:AC40),1))</f>
        <v>0.8</v>
      </c>
      <c r="W42" s="3760"/>
      <c r="X42" s="690"/>
      <c r="Y42" s="690"/>
      <c r="Z42" s="690"/>
      <c r="AA42" s="690"/>
      <c r="AB42" s="690"/>
      <c r="AC42" s="690"/>
    </row>
    <row r="43" spans="1:29" ht="15.75" thickBot="1">
      <c r="A43" s="441" t="s">
        <v>1794</v>
      </c>
      <c r="B43" s="442"/>
      <c r="C43" s="1159">
        <f>R43</f>
        <v>0.9</v>
      </c>
      <c r="D43" s="1159"/>
      <c r="E43" s="1159"/>
      <c r="F43" s="1159"/>
      <c r="G43" s="1159"/>
      <c r="H43" s="1159"/>
      <c r="I43" s="1159"/>
      <c r="J43" s="1159"/>
      <c r="K43" s="715"/>
      <c r="L43" s="922"/>
      <c r="M43" s="923"/>
      <c r="N43" s="923"/>
      <c r="O43" s="923"/>
      <c r="P43" s="3756" t="str">
        <f>A43</f>
        <v>估价对象XX用房的比较价值（楼面单价，元/平方米）</v>
      </c>
      <c r="Q43" s="3757"/>
      <c r="R43" s="3758">
        <f>IF(F1="售价",ROUND(IF(D42="简单平均",AVERAGE(R42:V42),R42*F42+T42*H42+V42*J42),0),ROUND(IF(D42="简单平均",AVERAGE(R42:V42),R42*F42+T42*H42+V42*J42),1))</f>
        <v>0.9</v>
      </c>
      <c r="S43" s="3758"/>
      <c r="T43" s="3758"/>
      <c r="U43" s="3758"/>
      <c r="V43" s="3758"/>
      <c r="W43" s="3758"/>
      <c r="X43" s="690"/>
      <c r="Y43" s="690"/>
      <c r="Z43" s="690"/>
      <c r="AA43" s="690"/>
      <c r="AB43" s="690"/>
      <c r="AC43" s="690"/>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1795</v>
      </c>
      <c r="D46" s="447"/>
      <c r="E46" s="448">
        <f>IF(E41&lt;E42,E42/E41-1,E41/E42-1)</f>
        <v>0.14285714285714302</v>
      </c>
      <c r="F46" s="449" t="str">
        <f>IF(OR(E46&gt;=0.3,E46&lt;=-0.3),"超过30%","")</f>
        <v/>
      </c>
      <c r="G46" s="448">
        <f>IF(G41&lt;G42,G42/G41-1,G41/G42-1)</f>
        <v>0.22448979591836737</v>
      </c>
      <c r="H46" s="449" t="str">
        <f>IF(OR(G46&gt;=0.3,G46&lt;=-0.3),"超过30%","")</f>
        <v/>
      </c>
      <c r="I46" s="448">
        <f>IF(I41&lt;I42,I42/I41-1,I41/I42-1)</f>
        <v>0.14285714285714302</v>
      </c>
      <c r="J46" s="449" t="str">
        <f>IF(OR(I46&gt;=0.3,I46&lt;=-0.3),"超过30%","")</f>
        <v/>
      </c>
      <c r="K46" s="2726"/>
      <c r="L46" s="885"/>
      <c r="M46" s="923"/>
      <c r="N46" s="923"/>
      <c r="O46" s="923"/>
    </row>
    <row r="47" spans="1:29" ht="13.5" customHeight="1">
      <c r="A47" s="2721"/>
      <c r="B47" s="2721"/>
      <c r="C47" s="446" t="s">
        <v>1796</v>
      </c>
      <c r="D47" s="450"/>
      <c r="E47" s="448">
        <f>IF(E42&lt;G42,G42/E42-1,E42/G42-1)</f>
        <v>0.49999999999999978</v>
      </c>
      <c r="F47" s="449" t="str">
        <f>IF(OR(E47&gt;=0.2,E47&lt;=-0.2),"超过20%","")</f>
        <v>超过20%</v>
      </c>
      <c r="G47" s="448">
        <f>IF(G42&lt;I42,I42/G42-1,G42/I42-1)</f>
        <v>0.49999999999999978</v>
      </c>
      <c r="H47" s="449" t="str">
        <f>IF(OR(G47&gt;=0.2,G47&lt;=-0.2),"超过20%","")</f>
        <v>超过20%</v>
      </c>
      <c r="I47" s="448">
        <f>IF(I42&lt;E42,E42/I42-1,I42/E42-1)</f>
        <v>0</v>
      </c>
      <c r="J47" s="449" t="str">
        <f>IF(OR(I47&gt;=0.2,I47&lt;=-0.2),"超过20%","")</f>
        <v/>
      </c>
      <c r="K47" s="2726"/>
      <c r="L47" s="885"/>
      <c r="M47" s="923"/>
      <c r="N47" s="923"/>
      <c r="O47" s="923"/>
    </row>
    <row r="48" spans="1:29" s="451" customFormat="1" ht="13.5" customHeight="1">
      <c r="A48" s="2724"/>
      <c r="B48" s="2724"/>
      <c r="C48" s="446" t="s">
        <v>1797</v>
      </c>
      <c r="D48" s="450"/>
      <c r="E48" s="448">
        <f>IF(E41&lt;G41,G41/E41-1,E41/G41-1)</f>
        <v>0.40000000000000013</v>
      </c>
      <c r="F48" s="449" t="str">
        <f>IF(OR(E48&gt;=0.3,E48&lt;=-0.3),"超过30%","")</f>
        <v>超过30%</v>
      </c>
      <c r="G48" s="448">
        <f>IF(G41&lt;I41,I41/G41-1,G41/I41-1)</f>
        <v>0.40000000000000013</v>
      </c>
      <c r="H48" s="449" t="str">
        <f>IF(OR(G48&gt;=0.3,G48&lt;=-0.3),"超过30%","")</f>
        <v>超过30%</v>
      </c>
      <c r="I48" s="448">
        <f>IF(I41&lt;E41,E41/I41-1,I41/E41-1)</f>
        <v>0</v>
      </c>
      <c r="J48" s="449" t="str">
        <f>IF(OR(I48&gt;=0.3,I48&lt;=-0.3),"超过30%","")</f>
        <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4" t="s">
        <v>1798</v>
      </c>
      <c r="B51" s="690"/>
      <c r="C51" s="695"/>
      <c r="D51" s="695"/>
      <c r="E51" s="695"/>
      <c r="F51" s="696"/>
      <c r="G51" s="696"/>
      <c r="H51" s="695"/>
      <c r="I51" s="695"/>
      <c r="J51" s="695"/>
      <c r="K51" s="937"/>
      <c r="L51" s="938"/>
      <c r="M51" s="936"/>
      <c r="N51" s="936"/>
      <c r="O51" s="936"/>
      <c r="P51" s="452"/>
      <c r="Q51" s="453"/>
    </row>
    <row r="52" spans="1:17" s="457" customFormat="1" ht="15">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ht="15">
      <c r="A53" s="458"/>
      <c r="B53" s="459"/>
      <c r="C53" s="1179">
        <v>100</v>
      </c>
      <c r="D53" s="461">
        <v>100</v>
      </c>
      <c r="E53" s="461">
        <v>100</v>
      </c>
      <c r="F53" s="461">
        <v>100</v>
      </c>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3458" t="s">
        <v>3433</v>
      </c>
      <c r="E55" s="472"/>
      <c r="F55" s="472"/>
      <c r="G55" s="472"/>
      <c r="H55" s="472"/>
      <c r="I55" s="472"/>
      <c r="J55" s="472"/>
      <c r="K55" s="472"/>
      <c r="L55" s="473"/>
      <c r="M55" s="474"/>
      <c r="N55" s="928"/>
      <c r="O55" s="928"/>
      <c r="P55" s="475"/>
      <c r="Q55" s="453"/>
    </row>
    <row r="56" spans="1:17" s="108" customFormat="1" ht="15.75" thickBot="1">
      <c r="A56" s="470"/>
      <c r="B56" s="459"/>
      <c r="C56" s="587">
        <v>100</v>
      </c>
      <c r="D56" s="461">
        <v>101</v>
      </c>
      <c r="E56" s="461"/>
      <c r="F56" s="461"/>
      <c r="G56" s="461"/>
      <c r="H56" s="461"/>
      <c r="I56" s="461"/>
      <c r="J56" s="461"/>
      <c r="K56" s="461"/>
      <c r="L56" s="461"/>
      <c r="M56" s="463"/>
      <c r="N56" s="928"/>
      <c r="O56" s="928"/>
      <c r="P56" s="453"/>
      <c r="Q56" s="453"/>
    </row>
    <row r="57" spans="1:17">
      <c r="A57" s="476" t="s">
        <v>1719</v>
      </c>
      <c r="B57" s="477" t="s">
        <v>1685</v>
      </c>
      <c r="C57" s="478" t="str">
        <f>C9</f>
        <v>厂房</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1688</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0"/>
      <c r="O71" s="930"/>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0"/>
      <c r="O73" s="930"/>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0"/>
      <c r="O75" s="930"/>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0"/>
      <c r="O77" s="930"/>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1694</v>
      </c>
      <c r="B88" s="477" t="s">
        <v>1736</v>
      </c>
      <c r="C88" s="3466" t="s">
        <v>3434</v>
      </c>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29.25" thickTop="1">
      <c r="A90" s="483"/>
      <c r="B90" s="487" t="s">
        <v>1737</v>
      </c>
      <c r="C90" s="527" t="str">
        <f>C91&amp;"(含)"&amp;"-"&amp;D91</f>
        <v>300(含)-500</v>
      </c>
      <c r="D90" s="527" t="str">
        <f t="shared" ref="D90:L90" si="20">D91&amp;"(含)"&amp;"-"&amp;E91</f>
        <v>500(含)-1000</v>
      </c>
      <c r="E90" s="527" t="str">
        <f t="shared" si="20"/>
        <v>1000(含)-1500</v>
      </c>
      <c r="F90" s="527" t="str">
        <f t="shared" si="20"/>
        <v>1500(含)-3000</v>
      </c>
      <c r="G90" s="527" t="str">
        <f t="shared" si="20"/>
        <v>3000(含)-5000</v>
      </c>
      <c r="H90" s="527" t="str">
        <f t="shared" si="20"/>
        <v>5000(含)-7500</v>
      </c>
      <c r="I90" s="527" t="str">
        <f t="shared" si="20"/>
        <v>7500(含)-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v>300</v>
      </c>
      <c r="D91" s="544">
        <v>500</v>
      </c>
      <c r="E91" s="544">
        <v>1000</v>
      </c>
      <c r="F91" s="544">
        <v>1500</v>
      </c>
      <c r="G91" s="544">
        <v>3000</v>
      </c>
      <c r="H91" s="544">
        <v>5000</v>
      </c>
      <c r="I91" s="544">
        <v>7500</v>
      </c>
      <c r="J91" s="545"/>
      <c r="K91" s="545"/>
      <c r="L91" s="546"/>
      <c r="M91" s="547"/>
      <c r="N91" s="931"/>
      <c r="O91" s="931"/>
      <c r="P91" s="507"/>
      <c r="Q91" s="508"/>
    </row>
    <row r="92" spans="1:17" s="422" customFormat="1" ht="15.75" thickBot="1">
      <c r="A92" s="502"/>
      <c r="B92" s="492"/>
      <c r="C92" s="509">
        <v>94</v>
      </c>
      <c r="D92" s="485">
        <v>96</v>
      </c>
      <c r="E92" s="485">
        <v>98</v>
      </c>
      <c r="F92" s="485">
        <v>100</v>
      </c>
      <c r="G92" s="485">
        <v>98</v>
      </c>
      <c r="H92" s="485">
        <v>96</v>
      </c>
      <c r="I92" s="485">
        <v>94</v>
      </c>
      <c r="J92" s="485"/>
      <c r="K92" s="485"/>
      <c r="L92" s="485"/>
      <c r="M92" s="486"/>
      <c r="N92" s="930"/>
      <c r="O92" s="930"/>
      <c r="P92" s="507"/>
      <c r="Q92" s="508"/>
    </row>
    <row r="93" spans="1:17" ht="15" thickTop="1">
      <c r="A93" s="548"/>
      <c r="B93" s="487" t="s">
        <v>1738</v>
      </c>
      <c r="C93" s="3460" t="s">
        <v>3437</v>
      </c>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1"/>
      <c r="O101" s="931"/>
      <c r="P101" s="507"/>
      <c r="Q101" s="508"/>
    </row>
    <row r="102" spans="1:17" ht="15" thickTop="1">
      <c r="A102" s="548"/>
      <c r="B102" s="487" t="s">
        <v>1742</v>
      </c>
      <c r="C102" s="3460" t="s">
        <v>3441</v>
      </c>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0"/>
      <c r="O103" s="930"/>
      <c r="P103" s="42"/>
      <c r="Q103" s="453"/>
    </row>
    <row r="104" spans="1:17" ht="15" thickTop="1">
      <c r="A104" s="548"/>
      <c r="B104" s="487" t="s">
        <v>1744</v>
      </c>
      <c r="C104" s="3460" t="s">
        <v>3442</v>
      </c>
      <c r="D104" s="3460" t="s">
        <v>3443</v>
      </c>
      <c r="E104" s="3460" t="s">
        <v>3445</v>
      </c>
      <c r="F104" s="3460" t="s">
        <v>3446</v>
      </c>
      <c r="G104" s="503"/>
      <c r="H104" s="532"/>
      <c r="I104" s="532"/>
      <c r="J104" s="532"/>
      <c r="K104" s="533"/>
      <c r="L104" s="534"/>
      <c r="M104" s="535"/>
      <c r="N104" s="929"/>
      <c r="O104" s="929"/>
      <c r="P104" s="42"/>
      <c r="Q104" s="453"/>
    </row>
    <row r="105" spans="1:17" ht="15.75" thickBot="1">
      <c r="A105" s="483"/>
      <c r="B105" s="492"/>
      <c r="C105" s="493">
        <v>100</v>
      </c>
      <c r="D105" s="493">
        <f>C105-$K36</f>
        <v>95</v>
      </c>
      <c r="E105" s="493">
        <f>D105-$K36</f>
        <v>90</v>
      </c>
      <c r="F105" s="493">
        <f>E105-$K36</f>
        <v>85</v>
      </c>
      <c r="G105" s="493">
        <f>F105-$K36</f>
        <v>80</v>
      </c>
      <c r="H105" s="493"/>
      <c r="I105" s="493"/>
      <c r="J105" s="493"/>
      <c r="K105" s="493"/>
      <c r="L105" s="493"/>
      <c r="M105" s="494"/>
      <c r="N105" s="930"/>
      <c r="O105" s="930"/>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5.75" thickBot="1">
      <c r="A107" s="483"/>
      <c r="B107" s="492"/>
      <c r="C107" s="531">
        <v>100</v>
      </c>
      <c r="D107" s="493">
        <f t="shared" ref="D107:M107" si="26">C107-$K37</f>
        <v>95</v>
      </c>
      <c r="E107" s="493">
        <f t="shared" si="26"/>
        <v>90</v>
      </c>
      <c r="F107" s="493">
        <f t="shared" si="26"/>
        <v>85</v>
      </c>
      <c r="G107" s="493">
        <f t="shared" si="26"/>
        <v>80</v>
      </c>
      <c r="H107" s="493">
        <f t="shared" si="26"/>
        <v>75</v>
      </c>
      <c r="I107" s="493">
        <f t="shared" si="26"/>
        <v>70</v>
      </c>
      <c r="J107" s="493">
        <f t="shared" si="26"/>
        <v>65</v>
      </c>
      <c r="K107" s="493">
        <f t="shared" si="26"/>
        <v>60</v>
      </c>
      <c r="L107" s="493">
        <f t="shared" si="26"/>
        <v>55</v>
      </c>
      <c r="M107" s="493">
        <f t="shared" si="26"/>
        <v>50</v>
      </c>
      <c r="N107" s="930"/>
      <c r="O107" s="930"/>
      <c r="P107" s="42"/>
      <c r="Q107" s="453"/>
    </row>
    <row r="108" spans="1:17" s="422" customFormat="1" ht="15" thickTop="1">
      <c r="A108" s="542"/>
      <c r="B108" s="487" t="str">
        <f>B38</f>
        <v>现状利用</v>
      </c>
      <c r="C108" s="3460" t="s">
        <v>3434</v>
      </c>
      <c r="D108" s="3460" t="s">
        <v>3440</v>
      </c>
      <c r="E108" s="3460" t="s">
        <v>3447</v>
      </c>
      <c r="F108" s="503"/>
      <c r="G108" s="503"/>
      <c r="H108" s="504"/>
      <c r="I108" s="504"/>
      <c r="J108" s="504"/>
      <c r="K108" s="504"/>
      <c r="L108" s="505"/>
      <c r="M108" s="506"/>
      <c r="N108" s="931"/>
      <c r="O108" s="931"/>
      <c r="P108" s="507"/>
      <c r="Q108" s="508"/>
    </row>
    <row r="109" spans="1:17" s="422" customFormat="1" ht="15.75" thickBot="1">
      <c r="A109" s="502"/>
      <c r="B109" s="484"/>
      <c r="C109" s="509">
        <v>90</v>
      </c>
      <c r="D109" s="485">
        <v>100</v>
      </c>
      <c r="E109" s="485">
        <v>95</v>
      </c>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3337</v>
      </c>
      <c r="C1" s="1220" t="s">
        <v>1662</v>
      </c>
      <c r="D1" s="1221"/>
      <c r="E1" s="3429"/>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1161"/>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9"/>
      <c r="R3" s="699"/>
      <c r="S3" s="699"/>
      <c r="T3" s="699"/>
      <c r="U3" s="699"/>
      <c r="V3" s="699"/>
      <c r="W3" s="699"/>
      <c r="X3" s="699"/>
      <c r="Y3" s="699"/>
      <c r="Z3" s="699"/>
      <c r="AA3" s="699"/>
      <c r="AB3" s="716"/>
      <c r="AC3" s="713"/>
    </row>
    <row r="4" spans="1:29" ht="15">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29" t="s">
        <v>1771</v>
      </c>
      <c r="S4" s="3730"/>
      <c r="T4" s="3729" t="s">
        <v>1772</v>
      </c>
      <c r="U4" s="3730"/>
      <c r="V4" s="3754" t="s">
        <v>1773</v>
      </c>
      <c r="W4" s="3754"/>
      <c r="X4" s="1351"/>
      <c r="Y4" s="3729" t="s">
        <v>1775</v>
      </c>
      <c r="Z4" s="3730"/>
      <c r="AA4" s="3724" t="s">
        <v>1771</v>
      </c>
      <c r="AB4" s="3725" t="s">
        <v>1772</v>
      </c>
      <c r="AC4" s="3724" t="s">
        <v>1773</v>
      </c>
    </row>
    <row r="5" spans="1:29" ht="15">
      <c r="A5" s="358"/>
      <c r="B5" s="359"/>
      <c r="C5" s="3735" t="s">
        <v>1673</v>
      </c>
      <c r="D5" s="3736"/>
      <c r="E5" s="3733" t="s">
        <v>1674</v>
      </c>
      <c r="F5" s="3734"/>
      <c r="G5" s="3735" t="s">
        <v>1675</v>
      </c>
      <c r="H5" s="3736"/>
      <c r="I5" s="3735" t="s">
        <v>1676</v>
      </c>
      <c r="J5" s="3736"/>
      <c r="K5" s="559"/>
      <c r="L5" s="2711"/>
      <c r="M5" s="2712"/>
      <c r="N5" s="2712"/>
      <c r="O5" s="2712"/>
      <c r="P5" s="3748"/>
      <c r="Q5" s="3749"/>
      <c r="R5" s="3731"/>
      <c r="S5" s="3732"/>
      <c r="T5" s="3731"/>
      <c r="U5" s="3732"/>
      <c r="V5" s="3754"/>
      <c r="W5" s="3754"/>
      <c r="X5" s="1351"/>
      <c r="Y5" s="3731"/>
      <c r="Z5" s="3732"/>
      <c r="AA5" s="3725"/>
      <c r="AB5" s="3725"/>
      <c r="AC5" s="3725"/>
    </row>
    <row r="6" spans="1:29" ht="15.75" thickBot="1">
      <c r="A6" s="360"/>
      <c r="B6" s="361"/>
      <c r="C6" s="3737" t="s">
        <v>1677</v>
      </c>
      <c r="D6" s="3738"/>
      <c r="E6" s="3739" t="s">
        <v>1677</v>
      </c>
      <c r="F6" s="3740"/>
      <c r="G6" s="3737" t="s">
        <v>1677</v>
      </c>
      <c r="H6" s="3738"/>
      <c r="I6" s="3737" t="s">
        <v>1677</v>
      </c>
      <c r="J6" s="3738"/>
      <c r="K6" s="559" t="s">
        <v>1678</v>
      </c>
      <c r="L6" s="2711"/>
      <c r="M6" s="2712"/>
      <c r="N6" s="2712"/>
      <c r="O6" s="2712"/>
      <c r="P6" s="3750"/>
      <c r="Q6" s="3751"/>
      <c r="R6" s="3731"/>
      <c r="S6" s="3732"/>
      <c r="T6" s="3752"/>
      <c r="U6" s="3753"/>
      <c r="V6" s="3754"/>
      <c r="W6" s="3754"/>
      <c r="X6" s="1351"/>
      <c r="Y6" s="3752"/>
      <c r="Z6" s="3753"/>
      <c r="AA6" s="3726"/>
      <c r="AB6" s="3726"/>
      <c r="AC6" s="3726"/>
    </row>
    <row r="7" spans="1:29" s="108" customFormat="1" ht="15.75" thickBot="1">
      <c r="A7" s="362" t="s">
        <v>1679</v>
      </c>
      <c r="B7" s="363"/>
      <c r="C7" s="364">
        <f>'数据-取费表'!B2</f>
        <v>45421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27" t="s">
        <v>1680</v>
      </c>
      <c r="Q7" s="3755"/>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27" t="s">
        <v>1683</v>
      </c>
      <c r="Q8" s="3728"/>
      <c r="R8" s="701" t="s">
        <v>14</v>
      </c>
      <c r="S8" s="702">
        <f t="shared" si="0"/>
        <v>100</v>
      </c>
      <c r="T8" s="701" t="s">
        <v>14</v>
      </c>
      <c r="U8" s="702">
        <f t="shared" si="1"/>
        <v>100</v>
      </c>
      <c r="V8" s="701" t="s">
        <v>14</v>
      </c>
      <c r="W8" s="702">
        <f t="shared" si="2"/>
        <v>100</v>
      </c>
      <c r="X8" s="703"/>
      <c r="Y8" s="3727" t="s">
        <v>1683</v>
      </c>
      <c r="Z8" s="372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59" t="s">
        <v>1686</v>
      </c>
      <c r="Q9" s="1339" t="str">
        <f t="shared" ref="Q9:Q14" si="6">B9</f>
        <v>用途</v>
      </c>
      <c r="R9" s="701" t="s">
        <v>14</v>
      </c>
      <c r="S9" s="702">
        <f t="shared" si="0"/>
        <v>100</v>
      </c>
      <c r="T9" s="701" t="s">
        <v>14</v>
      </c>
      <c r="U9" s="702">
        <f t="shared" si="1"/>
        <v>100</v>
      </c>
      <c r="V9" s="701" t="s">
        <v>14</v>
      </c>
      <c r="W9" s="702">
        <f t="shared" si="2"/>
        <v>100</v>
      </c>
      <c r="X9" s="703"/>
      <c r="Y9" s="3652"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59"/>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59"/>
      <c r="Q11" s="1339">
        <f t="shared" si="6"/>
        <v>111</v>
      </c>
      <c r="R11" s="701" t="s">
        <v>14</v>
      </c>
      <c r="S11" s="702">
        <f t="shared" si="0"/>
        <v>100</v>
      </c>
      <c r="T11" s="701" t="s">
        <v>14</v>
      </c>
      <c r="U11" s="702">
        <f t="shared" si="1"/>
        <v>100</v>
      </c>
      <c r="V11" s="701" t="s">
        <v>14</v>
      </c>
      <c r="W11" s="702">
        <f t="shared" si="2"/>
        <v>100</v>
      </c>
      <c r="X11" s="703"/>
      <c r="Y11" s="365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59"/>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59"/>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61" t="s">
        <v>1691</v>
      </c>
      <c r="Q14" s="1348" t="str">
        <f t="shared" si="6"/>
        <v>交通便捷度</v>
      </c>
      <c r="R14" s="705" t="s">
        <v>14</v>
      </c>
      <c r="S14" s="706">
        <f t="shared" si="0"/>
        <v>100</v>
      </c>
      <c r="T14" s="705" t="s">
        <v>14</v>
      </c>
      <c r="U14" s="706">
        <f t="shared" si="1"/>
        <v>100</v>
      </c>
      <c r="V14" s="705" t="s">
        <v>14</v>
      </c>
      <c r="W14" s="706">
        <f t="shared" si="2"/>
        <v>100</v>
      </c>
      <c r="X14" s="1351"/>
      <c r="Y14" s="3761"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62"/>
      <c r="Q15" s="1348"/>
      <c r="R15" s="705"/>
      <c r="S15" s="706"/>
      <c r="T15" s="705"/>
      <c r="U15" s="706"/>
      <c r="V15" s="705"/>
      <c r="W15" s="706"/>
      <c r="X15" s="1351"/>
      <c r="Y15" s="3762"/>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62"/>
      <c r="Q16" s="1348" t="str">
        <f>B16</f>
        <v>公共配套设施</v>
      </c>
      <c r="R16" s="705" t="s">
        <v>14</v>
      </c>
      <c r="S16" s="706">
        <f>F16</f>
        <v>100</v>
      </c>
      <c r="T16" s="705" t="s">
        <v>14</v>
      </c>
      <c r="U16" s="706">
        <f>H16</f>
        <v>100</v>
      </c>
      <c r="V16" s="705" t="s">
        <v>14</v>
      </c>
      <c r="W16" s="706">
        <f>J16</f>
        <v>100</v>
      </c>
      <c r="X16" s="1351"/>
      <c r="Y16" s="3762"/>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62"/>
      <c r="Q17" s="1348"/>
      <c r="R17" s="705"/>
      <c r="S17" s="706"/>
      <c r="T17" s="705"/>
      <c r="U17" s="706"/>
      <c r="V17" s="705"/>
      <c r="W17" s="706"/>
      <c r="X17" s="1351"/>
      <c r="Y17" s="3762"/>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62"/>
      <c r="Q18" s="1348" t="str">
        <f>B18</f>
        <v>基础设施水平</v>
      </c>
      <c r="R18" s="705" t="s">
        <v>14</v>
      </c>
      <c r="S18" s="706">
        <f>F18</f>
        <v>100</v>
      </c>
      <c r="T18" s="705" t="s">
        <v>14</v>
      </c>
      <c r="U18" s="706">
        <f>H18</f>
        <v>100</v>
      </c>
      <c r="V18" s="705" t="s">
        <v>14</v>
      </c>
      <c r="W18" s="706">
        <f>J18</f>
        <v>100</v>
      </c>
      <c r="X18" s="1351"/>
      <c r="Y18" s="3762"/>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8"/>
      <c r="M19" s="2712"/>
      <c r="N19" s="2712"/>
      <c r="O19" s="2712"/>
      <c r="P19" s="3762"/>
      <c r="Q19" s="1348"/>
      <c r="R19" s="705"/>
      <c r="S19" s="706"/>
      <c r="T19" s="705"/>
      <c r="U19" s="706"/>
      <c r="V19" s="705"/>
      <c r="W19" s="706"/>
      <c r="X19" s="1351"/>
      <c r="Y19" s="3762"/>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62"/>
      <c r="Q20" s="1348" t="str">
        <f>B20</f>
        <v>自然及人文环境</v>
      </c>
      <c r="R20" s="705" t="s">
        <v>14</v>
      </c>
      <c r="S20" s="706">
        <f>F20</f>
        <v>100</v>
      </c>
      <c r="T20" s="705" t="s">
        <v>14</v>
      </c>
      <c r="U20" s="706">
        <f>H20</f>
        <v>100</v>
      </c>
      <c r="V20" s="705" t="s">
        <v>14</v>
      </c>
      <c r="W20" s="706">
        <f>J20</f>
        <v>100</v>
      </c>
      <c r="X20" s="1351"/>
      <c r="Y20" s="3762"/>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62"/>
      <c r="Q21" s="1348"/>
      <c r="R21" s="705"/>
      <c r="S21" s="706"/>
      <c r="T21" s="705"/>
      <c r="U21" s="706"/>
      <c r="V21" s="705"/>
      <c r="W21" s="706"/>
      <c r="X21" s="1351"/>
      <c r="Y21" s="3762"/>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62"/>
      <c r="Q22" s="1348" t="str">
        <f>B22</f>
        <v>楼层</v>
      </c>
      <c r="R22" s="705" t="s">
        <v>14</v>
      </c>
      <c r="S22" s="706">
        <f>F22</f>
        <v>100</v>
      </c>
      <c r="T22" s="705" t="s">
        <v>14</v>
      </c>
      <c r="U22" s="706">
        <f>H22</f>
        <v>100</v>
      </c>
      <c r="V22" s="705" t="s">
        <v>14</v>
      </c>
      <c r="W22" s="706">
        <f>J22</f>
        <v>100</v>
      </c>
      <c r="X22" s="1351"/>
      <c r="Y22" s="3762"/>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62"/>
      <c r="Q23" s="1348">
        <f>B23</f>
        <v>111</v>
      </c>
      <c r="R23" s="705" t="s">
        <v>14</v>
      </c>
      <c r="S23" s="706">
        <f>F23</f>
        <v>100</v>
      </c>
      <c r="T23" s="705" t="s">
        <v>14</v>
      </c>
      <c r="U23" s="706">
        <f>H23</f>
        <v>100</v>
      </c>
      <c r="V23" s="705" t="s">
        <v>14</v>
      </c>
      <c r="W23" s="706">
        <f>J23</f>
        <v>100</v>
      </c>
      <c r="X23" s="1351"/>
      <c r="Y23" s="3762"/>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62"/>
      <c r="Q24" s="1348">
        <f t="shared" ref="Q24:Q36" si="11">B24</f>
        <v>111</v>
      </c>
      <c r="R24" s="705" t="s">
        <v>14</v>
      </c>
      <c r="S24" s="706">
        <f>F24</f>
        <v>100</v>
      </c>
      <c r="T24" s="705" t="s">
        <v>14</v>
      </c>
      <c r="U24" s="706">
        <f>H24</f>
        <v>100</v>
      </c>
      <c r="V24" s="705" t="s">
        <v>14</v>
      </c>
      <c r="W24" s="706">
        <f>J24</f>
        <v>100</v>
      </c>
      <c r="X24" s="1351"/>
      <c r="Y24" s="3762"/>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62"/>
      <c r="Q25" s="1339">
        <f t="shared" si="11"/>
        <v>111</v>
      </c>
      <c r="R25" s="701" t="s">
        <v>14</v>
      </c>
      <c r="S25" s="702">
        <f>F25</f>
        <v>100</v>
      </c>
      <c r="T25" s="701" t="s">
        <v>14</v>
      </c>
      <c r="U25" s="702">
        <f>H25</f>
        <v>100</v>
      </c>
      <c r="V25" s="701" t="s">
        <v>14</v>
      </c>
      <c r="W25" s="702">
        <f>J25</f>
        <v>100</v>
      </c>
      <c r="X25" s="703"/>
      <c r="Y25" s="3762"/>
      <c r="Z25" s="52">
        <f>Q25</f>
        <v>111</v>
      </c>
      <c r="AA25" s="1349">
        <f>D25/F25</f>
        <v>1</v>
      </c>
      <c r="AB25" s="1349">
        <f>D25/H25</f>
        <v>1</v>
      </c>
      <c r="AC25" s="1349">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85" t="s">
        <v>1696</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66"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66"/>
      <c r="Q27" s="707" t="str">
        <f t="shared" si="11"/>
        <v>项目停车位配比</v>
      </c>
      <c r="R27" s="708" t="s">
        <v>14</v>
      </c>
      <c r="S27" s="709">
        <f t="shared" si="12"/>
        <v>100</v>
      </c>
      <c r="T27" s="708" t="s">
        <v>14</v>
      </c>
      <c r="U27" s="709">
        <f t="shared" si="13"/>
        <v>100</v>
      </c>
      <c r="V27" s="708" t="s">
        <v>14</v>
      </c>
      <c r="W27" s="709">
        <f t="shared" si="14"/>
        <v>100</v>
      </c>
      <c r="X27" s="710"/>
      <c r="Y27" s="3766"/>
      <c r="Z27" s="711"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66"/>
      <c r="Q28" s="1348" t="str">
        <f t="shared" si="11"/>
        <v>公共部分装修</v>
      </c>
      <c r="R28" s="705" t="s">
        <v>14</v>
      </c>
      <c r="S28" s="706">
        <f t="shared" si="12"/>
        <v>100</v>
      </c>
      <c r="T28" s="705" t="s">
        <v>14</v>
      </c>
      <c r="U28" s="706">
        <f t="shared" si="13"/>
        <v>100</v>
      </c>
      <c r="V28" s="705" t="s">
        <v>14</v>
      </c>
      <c r="W28" s="706">
        <f t="shared" si="14"/>
        <v>100</v>
      </c>
      <c r="X28" s="1351"/>
      <c r="Y28" s="3766"/>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66"/>
      <c r="Q29" s="1348" t="str">
        <f t="shared" si="11"/>
        <v>成新率</v>
      </c>
      <c r="R29" s="705" t="s">
        <v>14</v>
      </c>
      <c r="S29" s="706" t="e">
        <f t="shared" si="12"/>
        <v>#N/A</v>
      </c>
      <c r="T29" s="705" t="s">
        <v>14</v>
      </c>
      <c r="U29" s="706" t="e">
        <f t="shared" si="13"/>
        <v>#N/A</v>
      </c>
      <c r="V29" s="705" t="s">
        <v>14</v>
      </c>
      <c r="W29" s="706" t="e">
        <f t="shared" si="14"/>
        <v>#N/A</v>
      </c>
      <c r="X29" s="1351"/>
      <c r="Y29" s="3766"/>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66"/>
      <c r="Q30" s="1348" t="str">
        <f t="shared" si="11"/>
        <v>物业等级</v>
      </c>
      <c r="R30" s="705" t="s">
        <v>14</v>
      </c>
      <c r="S30" s="706">
        <f t="shared" si="12"/>
        <v>100</v>
      </c>
      <c r="T30" s="705" t="s">
        <v>14</v>
      </c>
      <c r="U30" s="706">
        <f t="shared" si="13"/>
        <v>100</v>
      </c>
      <c r="V30" s="705" t="s">
        <v>14</v>
      </c>
      <c r="W30" s="706">
        <f t="shared" si="14"/>
        <v>100</v>
      </c>
      <c r="X30" s="1351"/>
      <c r="Y30" s="3766"/>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66"/>
      <c r="Q31" s="1339" t="str">
        <f t="shared" si="11"/>
        <v>停车位面积</v>
      </c>
      <c r="R31" s="701" t="s">
        <v>14</v>
      </c>
      <c r="S31" s="702" t="e">
        <f t="shared" si="12"/>
        <v>#N/A</v>
      </c>
      <c r="T31" s="701" t="s">
        <v>14</v>
      </c>
      <c r="U31" s="702" t="e">
        <f t="shared" si="13"/>
        <v>#N/A</v>
      </c>
      <c r="V31" s="701" t="s">
        <v>14</v>
      </c>
      <c r="W31" s="702" t="e">
        <f t="shared" si="14"/>
        <v>#N/A</v>
      </c>
      <c r="X31" s="703"/>
      <c r="Y31" s="376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66" t="s">
        <v>1696</v>
      </c>
      <c r="Q32" s="1348" t="str">
        <f t="shared" si="11"/>
        <v>车位类型</v>
      </c>
      <c r="R32" s="705" t="s">
        <v>14</v>
      </c>
      <c r="S32" s="706">
        <f t="shared" si="12"/>
        <v>100</v>
      </c>
      <c r="T32" s="705" t="s">
        <v>14</v>
      </c>
      <c r="U32" s="706">
        <f t="shared" si="13"/>
        <v>100</v>
      </c>
      <c r="V32" s="705" t="s">
        <v>14</v>
      </c>
      <c r="W32" s="706">
        <f t="shared" si="14"/>
        <v>100</v>
      </c>
      <c r="X32" s="1351"/>
      <c r="Y32" s="3766"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66"/>
      <c r="Q33" s="1348" t="str">
        <f t="shared" si="11"/>
        <v>是否直接入户</v>
      </c>
      <c r="R33" s="705" t="s">
        <v>14</v>
      </c>
      <c r="S33" s="706">
        <f t="shared" si="12"/>
        <v>100</v>
      </c>
      <c r="T33" s="705" t="s">
        <v>14</v>
      </c>
      <c r="U33" s="706">
        <f t="shared" si="13"/>
        <v>100</v>
      </c>
      <c r="V33" s="705" t="s">
        <v>14</v>
      </c>
      <c r="W33" s="706">
        <f t="shared" si="14"/>
        <v>100</v>
      </c>
      <c r="X33" s="1351"/>
      <c r="Y33" s="3766"/>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66"/>
      <c r="Q34" s="1348">
        <f t="shared" si="11"/>
        <v>111</v>
      </c>
      <c r="R34" s="705" t="s">
        <v>14</v>
      </c>
      <c r="S34" s="706">
        <f t="shared" si="12"/>
        <v>100</v>
      </c>
      <c r="T34" s="705" t="s">
        <v>14</v>
      </c>
      <c r="U34" s="706">
        <f t="shared" si="13"/>
        <v>100</v>
      </c>
      <c r="V34" s="705" t="s">
        <v>14</v>
      </c>
      <c r="W34" s="706">
        <f t="shared" si="14"/>
        <v>100</v>
      </c>
      <c r="X34" s="1351"/>
      <c r="Y34" s="3766"/>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66"/>
      <c r="Q35" s="707">
        <f t="shared" si="11"/>
        <v>111</v>
      </c>
      <c r="R35" s="708" t="s">
        <v>14</v>
      </c>
      <c r="S35" s="709">
        <f t="shared" si="12"/>
        <v>100</v>
      </c>
      <c r="T35" s="708" t="s">
        <v>14</v>
      </c>
      <c r="U35" s="709">
        <f t="shared" si="13"/>
        <v>100</v>
      </c>
      <c r="V35" s="708" t="s">
        <v>14</v>
      </c>
      <c r="W35" s="709">
        <f t="shared" si="14"/>
        <v>100</v>
      </c>
      <c r="X35" s="710"/>
      <c r="Y35" s="3766"/>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66"/>
      <c r="Q36" s="1348">
        <f t="shared" si="11"/>
        <v>111</v>
      </c>
      <c r="R36" s="705" t="s">
        <v>14</v>
      </c>
      <c r="S36" s="706">
        <f t="shared" si="12"/>
        <v>100</v>
      </c>
      <c r="T36" s="705" t="s">
        <v>14</v>
      </c>
      <c r="U36" s="706">
        <f t="shared" si="13"/>
        <v>100</v>
      </c>
      <c r="V36" s="705" t="s">
        <v>14</v>
      </c>
      <c r="W36" s="706">
        <f t="shared" si="14"/>
        <v>100</v>
      </c>
      <c r="X36" s="1351"/>
      <c r="Y36" s="3766"/>
      <c r="Z36" s="1352">
        <f t="shared" si="15"/>
        <v>111</v>
      </c>
      <c r="AA36" s="1349">
        <f t="shared" si="3"/>
        <v>1</v>
      </c>
      <c r="AB36" s="1349">
        <f t="shared" si="4"/>
        <v>1</v>
      </c>
      <c r="AC36" s="1349">
        <f t="shared" si="5"/>
        <v>1</v>
      </c>
    </row>
    <row r="37" spans="1:29" ht="15">
      <c r="A37" s="430" t="s">
        <v>1844</v>
      </c>
      <c r="B37" s="1969" t="s">
        <v>3358</v>
      </c>
      <c r="C37" s="1150" t="s">
        <v>0</v>
      </c>
      <c r="D37" s="1151"/>
      <c r="E37" s="1152"/>
      <c r="F37" s="1153"/>
      <c r="G37" s="1154"/>
      <c r="H37" s="1155"/>
      <c r="I37" s="1152"/>
      <c r="J37" s="1155"/>
      <c r="K37" s="568"/>
      <c r="L37" s="2720"/>
      <c r="M37" s="2721"/>
      <c r="N37" s="2712"/>
      <c r="O37" s="2721"/>
      <c r="P37" s="3759" t="str">
        <f>A37</f>
        <v>成交单价</v>
      </c>
      <c r="Q37" s="3759"/>
      <c r="R37" s="3760">
        <f>E37</f>
        <v>0</v>
      </c>
      <c r="S37" s="3760"/>
      <c r="T37" s="3760">
        <f>G37</f>
        <v>0</v>
      </c>
      <c r="U37" s="3760"/>
      <c r="V37" s="3760">
        <f>I37</f>
        <v>0</v>
      </c>
      <c r="W37" s="3760"/>
      <c r="X37" s="690"/>
      <c r="Y37" s="712"/>
      <c r="Z37" s="690"/>
      <c r="AA37" s="690"/>
      <c r="AB37" s="690"/>
      <c r="AC37" s="690"/>
    </row>
    <row r="38" spans="1:29" ht="15.75" thickBot="1">
      <c r="A38" s="437" t="s">
        <v>1845</v>
      </c>
      <c r="B38" s="438" t="str">
        <f>B37</f>
        <v>元/平方米</v>
      </c>
      <c r="C38" s="1156" t="e">
        <f>R39</f>
        <v>#DIV/0!</v>
      </c>
      <c r="D38" s="2313" t="s">
        <v>2138</v>
      </c>
      <c r="E38" s="1157" t="e">
        <f>R38</f>
        <v>#DIV/0!</v>
      </c>
      <c r="F38" s="2314"/>
      <c r="G38" s="1156" t="e">
        <f>T38</f>
        <v>#DIV/0!</v>
      </c>
      <c r="H38" s="2314"/>
      <c r="I38" s="1157" t="e">
        <f>V38</f>
        <v>#DIV/0!</v>
      </c>
      <c r="J38" s="2314"/>
      <c r="K38" s="2316">
        <f>F38+H38+J38</f>
        <v>0</v>
      </c>
      <c r="L38" s="2720"/>
      <c r="M38" s="2721"/>
      <c r="N38" s="2721"/>
      <c r="O38" s="2721"/>
      <c r="P38" s="3759" t="str">
        <f>A38</f>
        <v>比较价值（元/平方米）</v>
      </c>
      <c r="Q38" s="3759"/>
      <c r="R38" s="3760" t="e">
        <f>IF(F1="售价",ROUND(PRODUCT(R37,AA7:AA36),0),ROUND(PRODUCT(R37,AA7:AA36),1))</f>
        <v>#DIV/0!</v>
      </c>
      <c r="S38" s="3760"/>
      <c r="T38" s="3760" t="e">
        <f>IF(F1="售价",ROUND(PRODUCT(T37,AB7:AB36),0),ROUND(PRODUCT(T37,AB7:AB36),1))</f>
        <v>#DIV/0!</v>
      </c>
      <c r="U38" s="3760"/>
      <c r="V38" s="3760" t="e">
        <f>IF(F1="售价",ROUND(PRODUCT(V37,AC7:AC36),0),ROUND(PRODUCT(V37,AC7:AC36),1))</f>
        <v>#DIV/0!</v>
      </c>
      <c r="W38" s="3760"/>
      <c r="X38" s="690"/>
      <c r="Y38" s="690"/>
      <c r="Z38" s="690"/>
      <c r="AA38" s="690"/>
      <c r="AB38" s="690"/>
      <c r="AC38" s="690"/>
    </row>
    <row r="39" spans="1:29" ht="15.75" thickBot="1">
      <c r="A39" s="441" t="s">
        <v>1846</v>
      </c>
      <c r="B39" s="442"/>
      <c r="C39" s="1159" t="e">
        <f>R39</f>
        <v>#DIV/0!</v>
      </c>
      <c r="D39" s="1159"/>
      <c r="E39" s="1159"/>
      <c r="F39" s="1159"/>
      <c r="G39" s="1159"/>
      <c r="H39" s="1159"/>
      <c r="I39" s="1159"/>
      <c r="J39" s="1159"/>
      <c r="K39" s="569"/>
      <c r="L39" s="2720"/>
      <c r="M39" s="2721"/>
      <c r="N39" s="2721"/>
      <c r="O39" s="2721"/>
      <c r="P39" s="3756" t="str">
        <f>A39</f>
        <v>估价对象XX用房的比较价值（楼面单价，元/平方米）</v>
      </c>
      <c r="Q39" s="3757"/>
      <c r="R39" s="3786" t="e">
        <f>IF(F1="售价",ROUND(IF(D38="简单平均",AVERAGE(R38:W38),R38*F38+T38*H38+V38*J38),0),ROUND(IF(D38="简单平均",AVERAGE(R38:V38),R38*F38+T38*H38+V38*J38),1))</f>
        <v>#DIV/0!</v>
      </c>
      <c r="S39" s="3786"/>
      <c r="T39" s="3786"/>
      <c r="U39" s="3786"/>
      <c r="V39" s="3786"/>
      <c r="W39" s="3786"/>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1850</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5"/>
      <c r="Q48" s="2737"/>
      <c r="R48" s="2737"/>
      <c r="S48" s="2737"/>
      <c r="T48" s="2737"/>
      <c r="U48" s="2737"/>
      <c r="V48" s="2737"/>
      <c r="W48" s="2737"/>
      <c r="X48" s="2737"/>
      <c r="Y48" s="2737"/>
      <c r="Z48" s="2737"/>
      <c r="AA48" s="2737"/>
      <c r="AB48" s="2737"/>
      <c r="AC48" s="2737"/>
    </row>
    <row r="49" spans="1:29" s="108" customFormat="1" ht="15">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3338</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29" ht="15">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29" t="s">
        <v>1771</v>
      </c>
      <c r="S4" s="3730"/>
      <c r="T4" s="3729" t="s">
        <v>1772</v>
      </c>
      <c r="U4" s="3730"/>
      <c r="V4" s="3754" t="s">
        <v>1773</v>
      </c>
      <c r="W4" s="3754"/>
      <c r="X4" s="1351"/>
      <c r="Y4" s="3729" t="s">
        <v>1775</v>
      </c>
      <c r="Z4" s="3730"/>
      <c r="AA4" s="3724" t="s">
        <v>1771</v>
      </c>
      <c r="AB4" s="3725" t="s">
        <v>1772</v>
      </c>
      <c r="AC4" s="3724" t="s">
        <v>1773</v>
      </c>
    </row>
    <row r="5" spans="1:29" ht="15">
      <c r="A5" s="358"/>
      <c r="B5" s="359"/>
      <c r="C5" s="3735" t="s">
        <v>1673</v>
      </c>
      <c r="D5" s="3736"/>
      <c r="E5" s="3733" t="s">
        <v>1674</v>
      </c>
      <c r="F5" s="3734"/>
      <c r="G5" s="3735" t="s">
        <v>1675</v>
      </c>
      <c r="H5" s="3736"/>
      <c r="I5" s="3735" t="s">
        <v>1676</v>
      </c>
      <c r="J5" s="3736"/>
      <c r="K5" s="559"/>
      <c r="L5" s="2711"/>
      <c r="M5" s="2712"/>
      <c r="N5" s="2712"/>
      <c r="O5" s="2712"/>
      <c r="P5" s="3748"/>
      <c r="Q5" s="3749"/>
      <c r="R5" s="3731"/>
      <c r="S5" s="3732"/>
      <c r="T5" s="3731"/>
      <c r="U5" s="3732"/>
      <c r="V5" s="3754"/>
      <c r="W5" s="3754"/>
      <c r="X5" s="1351"/>
      <c r="Y5" s="3731"/>
      <c r="Z5" s="3732"/>
      <c r="AA5" s="3725"/>
      <c r="AB5" s="3725"/>
      <c r="AC5" s="3725"/>
    </row>
    <row r="6" spans="1:29" ht="15.75" thickBot="1">
      <c r="A6" s="360"/>
      <c r="B6" s="361"/>
      <c r="C6" s="3737" t="s">
        <v>1677</v>
      </c>
      <c r="D6" s="3738"/>
      <c r="E6" s="3739" t="s">
        <v>1677</v>
      </c>
      <c r="F6" s="3740"/>
      <c r="G6" s="3737" t="s">
        <v>1677</v>
      </c>
      <c r="H6" s="3738"/>
      <c r="I6" s="3737" t="s">
        <v>1677</v>
      </c>
      <c r="J6" s="3738"/>
      <c r="K6" s="559" t="s">
        <v>1678</v>
      </c>
      <c r="L6" s="2711"/>
      <c r="M6" s="2712"/>
      <c r="N6" s="2712"/>
      <c r="O6" s="2712"/>
      <c r="P6" s="3750"/>
      <c r="Q6" s="3751"/>
      <c r="R6" s="3731"/>
      <c r="S6" s="3732"/>
      <c r="T6" s="3752"/>
      <c r="U6" s="3753"/>
      <c r="V6" s="3754"/>
      <c r="W6" s="3754"/>
      <c r="X6" s="1351"/>
      <c r="Y6" s="3752"/>
      <c r="Z6" s="3753"/>
      <c r="AA6" s="3726"/>
      <c r="AB6" s="3726"/>
      <c r="AC6" s="3726"/>
    </row>
    <row r="7" spans="1:29" s="108" customFormat="1" ht="15.75" thickBot="1">
      <c r="A7" s="362" t="s">
        <v>1679</v>
      </c>
      <c r="B7" s="363"/>
      <c r="C7" s="364">
        <f>'数据-取费表'!B2</f>
        <v>45421</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27" t="s">
        <v>1680</v>
      </c>
      <c r="Q7" s="3755"/>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27" t="s">
        <v>1683</v>
      </c>
      <c r="Q8" s="3728"/>
      <c r="R8" s="701" t="s">
        <v>14</v>
      </c>
      <c r="S8" s="702">
        <f t="shared" si="0"/>
        <v>100</v>
      </c>
      <c r="T8" s="701" t="s">
        <v>14</v>
      </c>
      <c r="U8" s="702">
        <f t="shared" si="1"/>
        <v>100</v>
      </c>
      <c r="V8" s="701" t="s">
        <v>14</v>
      </c>
      <c r="W8" s="702">
        <f t="shared" si="2"/>
        <v>100</v>
      </c>
      <c r="X8" s="703"/>
      <c r="Y8" s="3727" t="s">
        <v>1683</v>
      </c>
      <c r="Z8" s="372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59" t="s">
        <v>1686</v>
      </c>
      <c r="Q9" s="1339" t="str">
        <f t="shared" ref="Q9:Q14" si="6">B9</f>
        <v>用途</v>
      </c>
      <c r="R9" s="701" t="s">
        <v>14</v>
      </c>
      <c r="S9" s="702">
        <f t="shared" si="0"/>
        <v>100</v>
      </c>
      <c r="T9" s="701" t="s">
        <v>14</v>
      </c>
      <c r="U9" s="702">
        <f t="shared" si="1"/>
        <v>100</v>
      </c>
      <c r="V9" s="701" t="s">
        <v>14</v>
      </c>
      <c r="W9" s="702">
        <f t="shared" si="2"/>
        <v>100</v>
      </c>
      <c r="X9" s="703"/>
      <c r="Y9" s="3652"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59"/>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59"/>
      <c r="Q11" s="1339">
        <f t="shared" si="6"/>
        <v>111</v>
      </c>
      <c r="R11" s="701" t="s">
        <v>14</v>
      </c>
      <c r="S11" s="702">
        <f t="shared" si="0"/>
        <v>100</v>
      </c>
      <c r="T11" s="701" t="s">
        <v>14</v>
      </c>
      <c r="U11" s="702">
        <f t="shared" si="1"/>
        <v>100</v>
      </c>
      <c r="V11" s="701" t="s">
        <v>14</v>
      </c>
      <c r="W11" s="702">
        <f t="shared" si="2"/>
        <v>100</v>
      </c>
      <c r="X11" s="703"/>
      <c r="Y11" s="3652"/>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59"/>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59"/>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61" t="s">
        <v>1691</v>
      </c>
      <c r="Q14" s="1348" t="str">
        <f t="shared" si="6"/>
        <v>交通便捷度</v>
      </c>
      <c r="R14" s="705" t="s">
        <v>14</v>
      </c>
      <c r="S14" s="706">
        <f t="shared" si="0"/>
        <v>100</v>
      </c>
      <c r="T14" s="705" t="s">
        <v>14</v>
      </c>
      <c r="U14" s="706">
        <f t="shared" si="1"/>
        <v>100</v>
      </c>
      <c r="V14" s="705" t="s">
        <v>14</v>
      </c>
      <c r="W14" s="706">
        <f t="shared" si="2"/>
        <v>100</v>
      </c>
      <c r="X14" s="1351"/>
      <c r="Y14" s="3761"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62"/>
      <c r="Q15" s="1348"/>
      <c r="R15" s="705"/>
      <c r="S15" s="706"/>
      <c r="T15" s="705"/>
      <c r="U15" s="706"/>
      <c r="V15" s="705"/>
      <c r="W15" s="706"/>
      <c r="X15" s="1351"/>
      <c r="Y15" s="3762"/>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62"/>
      <c r="Q16" s="1348" t="str">
        <f>B16</f>
        <v>公共配套设施</v>
      </c>
      <c r="R16" s="705" t="s">
        <v>14</v>
      </c>
      <c r="S16" s="706">
        <f>F16</f>
        <v>100</v>
      </c>
      <c r="T16" s="705" t="s">
        <v>14</v>
      </c>
      <c r="U16" s="706">
        <f>H16</f>
        <v>100</v>
      </c>
      <c r="V16" s="705" t="s">
        <v>14</v>
      </c>
      <c r="W16" s="706">
        <f>J16</f>
        <v>100</v>
      </c>
      <c r="X16" s="1351"/>
      <c r="Y16" s="3762"/>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62"/>
      <c r="Q17" s="1348"/>
      <c r="R17" s="705"/>
      <c r="S17" s="706"/>
      <c r="T17" s="705"/>
      <c r="U17" s="706"/>
      <c r="V17" s="705"/>
      <c r="W17" s="706"/>
      <c r="X17" s="1351"/>
      <c r="Y17" s="3762"/>
      <c r="Z17" s="1352"/>
      <c r="AA17" s="1349">
        <v>1</v>
      </c>
      <c r="AB17" s="1349">
        <v>1</v>
      </c>
      <c r="AC17" s="1349">
        <v>1</v>
      </c>
    </row>
    <row r="18" spans="1:29" ht="28.5">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62"/>
      <c r="Q18" s="1348" t="str">
        <f>B18</f>
        <v>基础设施水平</v>
      </c>
      <c r="R18" s="705" t="s">
        <v>14</v>
      </c>
      <c r="S18" s="706">
        <f>F18</f>
        <v>100</v>
      </c>
      <c r="T18" s="705" t="s">
        <v>14</v>
      </c>
      <c r="U18" s="706">
        <f>H18</f>
        <v>100</v>
      </c>
      <c r="V18" s="705" t="s">
        <v>14</v>
      </c>
      <c r="W18" s="706">
        <f>J18</f>
        <v>100</v>
      </c>
      <c r="X18" s="1351"/>
      <c r="Y18" s="3762"/>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62"/>
      <c r="Q19" s="1348"/>
      <c r="R19" s="705"/>
      <c r="S19" s="706"/>
      <c r="T19" s="705"/>
      <c r="U19" s="706"/>
      <c r="V19" s="705"/>
      <c r="W19" s="706"/>
      <c r="X19" s="1351"/>
      <c r="Y19" s="3762"/>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62"/>
      <c r="Q20" s="1348" t="str">
        <f>B20</f>
        <v>自然及人文环境</v>
      </c>
      <c r="R20" s="705" t="s">
        <v>14</v>
      </c>
      <c r="S20" s="706">
        <f>F20</f>
        <v>100</v>
      </c>
      <c r="T20" s="705" t="s">
        <v>14</v>
      </c>
      <c r="U20" s="706">
        <f>H20</f>
        <v>100</v>
      </c>
      <c r="V20" s="705" t="s">
        <v>14</v>
      </c>
      <c r="W20" s="706">
        <f>J20</f>
        <v>100</v>
      </c>
      <c r="X20" s="1351"/>
      <c r="Y20" s="3762"/>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62"/>
      <c r="Q21" s="1348"/>
      <c r="R21" s="705"/>
      <c r="S21" s="706"/>
      <c r="T21" s="705"/>
      <c r="U21" s="706"/>
      <c r="V21" s="705"/>
      <c r="W21" s="706"/>
      <c r="X21" s="1351"/>
      <c r="Y21" s="3762"/>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62"/>
      <c r="Q22" s="1348" t="str">
        <f>B22</f>
        <v>楼层</v>
      </c>
      <c r="R22" s="705" t="s">
        <v>14</v>
      </c>
      <c r="S22" s="706">
        <f>F22</f>
        <v>100</v>
      </c>
      <c r="T22" s="705" t="s">
        <v>14</v>
      </c>
      <c r="U22" s="706">
        <f>H22</f>
        <v>100</v>
      </c>
      <c r="V22" s="705" t="s">
        <v>14</v>
      </c>
      <c r="W22" s="706">
        <f>J22</f>
        <v>100</v>
      </c>
      <c r="X22" s="1351"/>
      <c r="Y22" s="3762"/>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62"/>
      <c r="Q23" s="1348">
        <f>B23</f>
        <v>111</v>
      </c>
      <c r="R23" s="705" t="s">
        <v>14</v>
      </c>
      <c r="S23" s="706">
        <f>F23</f>
        <v>100</v>
      </c>
      <c r="T23" s="705" t="s">
        <v>14</v>
      </c>
      <c r="U23" s="706">
        <f>H23</f>
        <v>100</v>
      </c>
      <c r="V23" s="705" t="s">
        <v>14</v>
      </c>
      <c r="W23" s="706">
        <f>J23</f>
        <v>100</v>
      </c>
      <c r="X23" s="1351"/>
      <c r="Y23" s="3762"/>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62"/>
      <c r="Q24" s="1348">
        <f t="shared" ref="Q24:Q34" si="11">B24</f>
        <v>111</v>
      </c>
      <c r="R24" s="705" t="s">
        <v>14</v>
      </c>
      <c r="S24" s="706">
        <f>F24</f>
        <v>100</v>
      </c>
      <c r="T24" s="705" t="s">
        <v>14</v>
      </c>
      <c r="U24" s="706">
        <f>H24</f>
        <v>100</v>
      </c>
      <c r="V24" s="705" t="s">
        <v>14</v>
      </c>
      <c r="W24" s="706">
        <f>J24</f>
        <v>100</v>
      </c>
      <c r="X24" s="1351"/>
      <c r="Y24" s="3762"/>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62"/>
      <c r="Q25" s="1339">
        <f t="shared" si="11"/>
        <v>111</v>
      </c>
      <c r="R25" s="701" t="s">
        <v>14</v>
      </c>
      <c r="S25" s="702">
        <f>F25</f>
        <v>100</v>
      </c>
      <c r="T25" s="701" t="s">
        <v>14</v>
      </c>
      <c r="U25" s="702">
        <f>H25</f>
        <v>100</v>
      </c>
      <c r="V25" s="701" t="s">
        <v>14</v>
      </c>
      <c r="W25" s="702">
        <f>J25</f>
        <v>100</v>
      </c>
      <c r="X25" s="703"/>
      <c r="Y25" s="3762"/>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85" t="s">
        <v>1696</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66"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66"/>
      <c r="Q27" s="707" t="str">
        <f t="shared" si="11"/>
        <v>成新率</v>
      </c>
      <c r="R27" s="708" t="s">
        <v>14</v>
      </c>
      <c r="S27" s="709" t="e">
        <f t="shared" si="12"/>
        <v>#N/A</v>
      </c>
      <c r="T27" s="708" t="s">
        <v>14</v>
      </c>
      <c r="U27" s="709" t="e">
        <f t="shared" si="13"/>
        <v>#N/A</v>
      </c>
      <c r="V27" s="708" t="s">
        <v>14</v>
      </c>
      <c r="W27" s="709" t="e">
        <f t="shared" si="14"/>
        <v>#N/A</v>
      </c>
      <c r="X27" s="710"/>
      <c r="Y27" s="3766"/>
      <c r="Z27" s="711"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66"/>
      <c r="Q28" s="1348" t="str">
        <f t="shared" si="11"/>
        <v>物业等级</v>
      </c>
      <c r="R28" s="705" t="s">
        <v>14</v>
      </c>
      <c r="S28" s="706">
        <f t="shared" si="12"/>
        <v>100</v>
      </c>
      <c r="T28" s="705" t="s">
        <v>14</v>
      </c>
      <c r="U28" s="706">
        <f t="shared" si="13"/>
        <v>100</v>
      </c>
      <c r="V28" s="705" t="s">
        <v>14</v>
      </c>
      <c r="W28" s="706">
        <f t="shared" si="14"/>
        <v>100</v>
      </c>
      <c r="X28" s="1351"/>
      <c r="Y28" s="3766"/>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66"/>
      <c r="Q29" s="1348" t="str">
        <f t="shared" si="11"/>
        <v>有无电梯</v>
      </c>
      <c r="R29" s="705" t="s">
        <v>14</v>
      </c>
      <c r="S29" s="706">
        <f t="shared" si="12"/>
        <v>100</v>
      </c>
      <c r="T29" s="705" t="s">
        <v>14</v>
      </c>
      <c r="U29" s="706">
        <f t="shared" si="13"/>
        <v>100</v>
      </c>
      <c r="V29" s="705" t="s">
        <v>14</v>
      </c>
      <c r="W29" s="706">
        <f t="shared" si="14"/>
        <v>100</v>
      </c>
      <c r="X29" s="1351"/>
      <c r="Y29" s="3766"/>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66"/>
      <c r="Q30" s="1348" t="str">
        <f t="shared" si="11"/>
        <v>建筑面积</v>
      </c>
      <c r="R30" s="705" t="s">
        <v>14</v>
      </c>
      <c r="S30" s="706" t="e">
        <f t="shared" si="12"/>
        <v>#N/A</v>
      </c>
      <c r="T30" s="705" t="s">
        <v>14</v>
      </c>
      <c r="U30" s="706" t="e">
        <f t="shared" si="13"/>
        <v>#N/A</v>
      </c>
      <c r="V30" s="705" t="s">
        <v>14</v>
      </c>
      <c r="W30" s="706" t="e">
        <f t="shared" si="14"/>
        <v>#N/A</v>
      </c>
      <c r="X30" s="1351"/>
      <c r="Y30" s="3766"/>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66"/>
      <c r="Q31" s="1339" t="str">
        <f t="shared" si="11"/>
        <v>是否封闭</v>
      </c>
      <c r="R31" s="701" t="s">
        <v>14</v>
      </c>
      <c r="S31" s="702">
        <f t="shared" si="12"/>
        <v>100</v>
      </c>
      <c r="T31" s="701" t="s">
        <v>14</v>
      </c>
      <c r="U31" s="702">
        <f t="shared" si="13"/>
        <v>100</v>
      </c>
      <c r="V31" s="701" t="s">
        <v>14</v>
      </c>
      <c r="W31" s="702">
        <f t="shared" si="14"/>
        <v>100</v>
      </c>
      <c r="X31" s="703"/>
      <c r="Y31" s="3766"/>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66" t="s">
        <v>1696</v>
      </c>
      <c r="Q32" s="1348">
        <f t="shared" si="11"/>
        <v>111</v>
      </c>
      <c r="R32" s="705" t="s">
        <v>14</v>
      </c>
      <c r="S32" s="706">
        <f t="shared" si="12"/>
        <v>100</v>
      </c>
      <c r="T32" s="705" t="s">
        <v>14</v>
      </c>
      <c r="U32" s="706">
        <f t="shared" si="13"/>
        <v>100</v>
      </c>
      <c r="V32" s="705" t="s">
        <v>14</v>
      </c>
      <c r="W32" s="706">
        <f t="shared" si="14"/>
        <v>100</v>
      </c>
      <c r="X32" s="1351"/>
      <c r="Y32" s="3766"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66"/>
      <c r="Q33" s="1348">
        <f t="shared" si="11"/>
        <v>111</v>
      </c>
      <c r="R33" s="705" t="s">
        <v>14</v>
      </c>
      <c r="S33" s="706">
        <f t="shared" si="12"/>
        <v>100</v>
      </c>
      <c r="T33" s="705" t="s">
        <v>14</v>
      </c>
      <c r="U33" s="706">
        <f t="shared" si="13"/>
        <v>100</v>
      </c>
      <c r="V33" s="705" t="s">
        <v>14</v>
      </c>
      <c r="W33" s="706">
        <f t="shared" si="14"/>
        <v>100</v>
      </c>
      <c r="X33" s="1351"/>
      <c r="Y33" s="3766"/>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66"/>
      <c r="Q34" s="1348">
        <f t="shared" si="11"/>
        <v>111</v>
      </c>
      <c r="R34" s="705" t="s">
        <v>14</v>
      </c>
      <c r="S34" s="706">
        <f t="shared" si="12"/>
        <v>100</v>
      </c>
      <c r="T34" s="705" t="s">
        <v>14</v>
      </c>
      <c r="U34" s="706">
        <f t="shared" si="13"/>
        <v>100</v>
      </c>
      <c r="V34" s="705" t="s">
        <v>14</v>
      </c>
      <c r="W34" s="706">
        <f t="shared" si="14"/>
        <v>100</v>
      </c>
      <c r="X34" s="1351"/>
      <c r="Y34" s="3766"/>
      <c r="Z34" s="1352">
        <f t="shared" si="15"/>
        <v>111</v>
      </c>
      <c r="AA34" s="1349">
        <f t="shared" si="3"/>
        <v>1</v>
      </c>
      <c r="AB34" s="1349">
        <f t="shared" si="4"/>
        <v>1</v>
      </c>
      <c r="AC34" s="1349">
        <f t="shared" si="5"/>
        <v>1</v>
      </c>
    </row>
    <row r="35" spans="1:30" ht="15">
      <c r="A35" s="430" t="s">
        <v>1708</v>
      </c>
      <c r="B35" s="431"/>
      <c r="C35" s="1150" t="s">
        <v>0</v>
      </c>
      <c r="D35" s="1151"/>
      <c r="E35" s="1152"/>
      <c r="F35" s="1153"/>
      <c r="G35" s="1154"/>
      <c r="H35" s="1155"/>
      <c r="I35" s="1152"/>
      <c r="J35" s="1155"/>
      <c r="K35" s="714"/>
      <c r="L35" s="2720"/>
      <c r="M35" s="2721"/>
      <c r="N35" s="2712"/>
      <c r="O35" s="2721"/>
      <c r="P35" s="3759" t="str">
        <f>A35</f>
        <v>成交单价（元/平方米）</v>
      </c>
      <c r="Q35" s="3759"/>
      <c r="R35" s="3760">
        <f>E35</f>
        <v>0</v>
      </c>
      <c r="S35" s="3760"/>
      <c r="T35" s="3760">
        <f>G35</f>
        <v>0</v>
      </c>
      <c r="U35" s="3760"/>
      <c r="V35" s="3760">
        <f>I35</f>
        <v>0</v>
      </c>
      <c r="W35" s="3760"/>
      <c r="X35" s="690"/>
      <c r="Y35" s="712"/>
      <c r="Z35" s="690"/>
      <c r="AA35" s="690"/>
      <c r="AB35" s="690"/>
      <c r="AC35" s="690"/>
    </row>
    <row r="36" spans="1:30" ht="15.75" thickBot="1">
      <c r="A36" s="437" t="s">
        <v>1793</v>
      </c>
      <c r="B36" s="438"/>
      <c r="C36" s="1156" t="e">
        <f>R37</f>
        <v>#DIV/0!</v>
      </c>
      <c r="D36" s="2313" t="s">
        <v>2138</v>
      </c>
      <c r="E36" s="1157" t="e">
        <f>R36</f>
        <v>#DIV/0!</v>
      </c>
      <c r="F36" s="2314"/>
      <c r="G36" s="1156" t="e">
        <f>T36</f>
        <v>#DIV/0!</v>
      </c>
      <c r="H36" s="2314"/>
      <c r="I36" s="1157" t="e">
        <f>V36</f>
        <v>#DIV/0!</v>
      </c>
      <c r="J36" s="2314"/>
      <c r="K36" s="2316">
        <f>F36+H36+J36</f>
        <v>0</v>
      </c>
      <c r="L36" s="2720"/>
      <c r="M36" s="2721"/>
      <c r="N36" s="2712"/>
      <c r="O36" s="2721"/>
      <c r="P36" s="3759" t="str">
        <f>A36</f>
        <v>比较价值（元/平方米）</v>
      </c>
      <c r="Q36" s="3759"/>
      <c r="R36" s="3760" t="e">
        <f>IF(F1="售价",ROUND(PRODUCT(R35,AA7:AA34),0),ROUND(PRODUCT(R35,AA7:AA34),1))</f>
        <v>#DIV/0!</v>
      </c>
      <c r="S36" s="3760"/>
      <c r="T36" s="3760" t="e">
        <f>IF(F1="售价",ROUND(PRODUCT(T35,AB7:AB34),0),ROUND(PRODUCT(T35,AB7:AB34),1))</f>
        <v>#DIV/0!</v>
      </c>
      <c r="U36" s="3760"/>
      <c r="V36" s="3760" t="e">
        <f>IF(F1="售价",ROUND(PRODUCT(V35,AC7:AC34),0),ROUND(PRODUCT(V35,AC7:AC34),1))</f>
        <v>#DIV/0!</v>
      </c>
      <c r="W36" s="3760"/>
      <c r="X36" s="690"/>
      <c r="Y36" s="690"/>
      <c r="Z36" s="690"/>
      <c r="AA36" s="690"/>
      <c r="AB36" s="690"/>
      <c r="AC36" s="690"/>
    </row>
    <row r="37" spans="1:30" ht="15.75" thickBot="1">
      <c r="A37" s="441" t="s">
        <v>1794</v>
      </c>
      <c r="B37" s="442"/>
      <c r="C37" s="1159" t="e">
        <f>R37</f>
        <v>#DIV/0!</v>
      </c>
      <c r="D37" s="1159"/>
      <c r="E37" s="1159"/>
      <c r="F37" s="1159"/>
      <c r="G37" s="1159"/>
      <c r="H37" s="1159"/>
      <c r="I37" s="1159"/>
      <c r="J37" s="1159"/>
      <c r="K37" s="715"/>
      <c r="L37" s="2720"/>
      <c r="M37" s="2721"/>
      <c r="N37" s="2721"/>
      <c r="O37" s="2721"/>
      <c r="P37" s="3756" t="str">
        <f>A37</f>
        <v>估价对象XX用房的比较价值（楼面单价，元/平方米）</v>
      </c>
      <c r="Q37" s="3757"/>
      <c r="R37" s="3786" t="e">
        <f>IF(F1="售价",ROUND(IF(D36="简单平均",AVERAGE(R36:W36),R36*F36+T36*H36+V36*J36),0),ROUND(IF(D36="简单平均",AVERAGE(R36:V36),R36*F36+T36*H36+V36*J36),1))</f>
        <v>#DIV/0!</v>
      </c>
      <c r="S37" s="3786"/>
      <c r="T37" s="3786"/>
      <c r="U37" s="3786"/>
      <c r="V37" s="3786"/>
      <c r="W37" s="3786"/>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3"/>
      <c r="D2" s="903"/>
      <c r="E2" s="904"/>
      <c r="F2" s="905"/>
      <c r="G2" s="904"/>
      <c r="H2" s="904"/>
      <c r="I2" s="904"/>
      <c r="J2" s="904"/>
      <c r="K2" s="906"/>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30" ht="15">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29" t="s">
        <v>1771</v>
      </c>
      <c r="S4" s="3730"/>
      <c r="T4" s="3729" t="s">
        <v>1772</v>
      </c>
      <c r="U4" s="3730"/>
      <c r="V4" s="3754" t="s">
        <v>1773</v>
      </c>
      <c r="W4" s="3754"/>
      <c r="X4" s="1351"/>
      <c r="Y4" s="3729" t="s">
        <v>1775</v>
      </c>
      <c r="Z4" s="3730"/>
      <c r="AA4" s="3724" t="s">
        <v>1771</v>
      </c>
      <c r="AB4" s="3725" t="s">
        <v>1772</v>
      </c>
      <c r="AC4" s="3724" t="s">
        <v>1773</v>
      </c>
    </row>
    <row r="5" spans="1:30" ht="15">
      <c r="A5" s="358"/>
      <c r="B5" s="359"/>
      <c r="C5" s="3735" t="s">
        <v>1673</v>
      </c>
      <c r="D5" s="3736"/>
      <c r="E5" s="3733" t="s">
        <v>1674</v>
      </c>
      <c r="F5" s="3734"/>
      <c r="G5" s="3735" t="s">
        <v>1675</v>
      </c>
      <c r="H5" s="3736"/>
      <c r="I5" s="3735" t="s">
        <v>1676</v>
      </c>
      <c r="J5" s="3736"/>
      <c r="K5" s="559"/>
      <c r="L5" s="2711"/>
      <c r="M5" s="2712"/>
      <c r="N5" s="2712"/>
      <c r="O5" s="2712"/>
      <c r="P5" s="3748"/>
      <c r="Q5" s="3749"/>
      <c r="R5" s="3731"/>
      <c r="S5" s="3732"/>
      <c r="T5" s="3731"/>
      <c r="U5" s="3732"/>
      <c r="V5" s="3754"/>
      <c r="W5" s="3754"/>
      <c r="X5" s="1351"/>
      <c r="Y5" s="3731"/>
      <c r="Z5" s="3732"/>
      <c r="AA5" s="3725"/>
      <c r="AB5" s="3725"/>
      <c r="AC5" s="3725"/>
    </row>
    <row r="6" spans="1:30" ht="15.75" thickBot="1">
      <c r="A6" s="360"/>
      <c r="B6" s="361"/>
      <c r="C6" s="3737" t="s">
        <v>1677</v>
      </c>
      <c r="D6" s="3738"/>
      <c r="E6" s="3739" t="s">
        <v>1677</v>
      </c>
      <c r="F6" s="3740"/>
      <c r="G6" s="3737" t="s">
        <v>1677</v>
      </c>
      <c r="H6" s="3738"/>
      <c r="I6" s="3737" t="s">
        <v>1677</v>
      </c>
      <c r="J6" s="3738"/>
      <c r="K6" s="559" t="s">
        <v>1678</v>
      </c>
      <c r="L6" s="2711"/>
      <c r="M6" s="2712"/>
      <c r="N6" s="2712"/>
      <c r="O6" s="2712"/>
      <c r="P6" s="3750"/>
      <c r="Q6" s="3751"/>
      <c r="R6" s="3731"/>
      <c r="S6" s="3732"/>
      <c r="T6" s="3752"/>
      <c r="U6" s="3753"/>
      <c r="V6" s="3754"/>
      <c r="W6" s="3754"/>
      <c r="X6" s="1351"/>
      <c r="Y6" s="3752"/>
      <c r="Z6" s="3753"/>
      <c r="AA6" s="3726"/>
      <c r="AB6" s="3726"/>
      <c r="AC6" s="3726"/>
    </row>
    <row r="7" spans="1:30" s="108" customFormat="1" ht="15.75" thickBot="1">
      <c r="A7" s="362" t="s">
        <v>1679</v>
      </c>
      <c r="B7" s="363"/>
      <c r="C7" s="364">
        <f>'数据-取费表'!B2</f>
        <v>45421</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27" t="s">
        <v>1680</v>
      </c>
      <c r="Q7" s="3755"/>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27" t="s">
        <v>1683</v>
      </c>
      <c r="Q8" s="3728"/>
      <c r="R8" s="701" t="s">
        <v>14</v>
      </c>
      <c r="S8" s="702">
        <f t="shared" si="0"/>
        <v>0</v>
      </c>
      <c r="T8" s="701" t="s">
        <v>14</v>
      </c>
      <c r="U8" s="702">
        <f t="shared" si="1"/>
        <v>0</v>
      </c>
      <c r="V8" s="701" t="s">
        <v>14</v>
      </c>
      <c r="W8" s="702">
        <f t="shared" si="2"/>
        <v>0</v>
      </c>
      <c r="X8" s="703"/>
      <c r="Y8" s="3727" t="s">
        <v>1683</v>
      </c>
      <c r="Z8" s="3728"/>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59"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132</v>
      </c>
      <c r="G10" s="414"/>
      <c r="H10" s="127">
        <f>ROUND(100/'数据-取费表'!G16,0)</f>
        <v>132</v>
      </c>
      <c r="I10" s="414"/>
      <c r="J10" s="127">
        <f>ROUND(100/'数据-取费表'!G16,0)</f>
        <v>132</v>
      </c>
      <c r="K10" s="620"/>
      <c r="L10" s="2715"/>
      <c r="M10" s="2716"/>
      <c r="N10" s="2716"/>
      <c r="O10" s="2769"/>
      <c r="P10" s="3759"/>
      <c r="Q10" s="1339" t="str">
        <f t="shared" si="6"/>
        <v>土地使用年限（年）</v>
      </c>
      <c r="R10" s="701" t="s">
        <v>14</v>
      </c>
      <c r="S10" s="702">
        <f t="shared" si="0"/>
        <v>132</v>
      </c>
      <c r="T10" s="701" t="s">
        <v>14</v>
      </c>
      <c r="U10" s="702">
        <f t="shared" si="1"/>
        <v>132</v>
      </c>
      <c r="V10" s="701" t="s">
        <v>14</v>
      </c>
      <c r="W10" s="702">
        <f t="shared" si="2"/>
        <v>132</v>
      </c>
      <c r="X10" s="703"/>
      <c r="Y10" s="3652"/>
      <c r="Z10" s="52" t="str">
        <f t="shared" si="7"/>
        <v>土地使用年限（年）</v>
      </c>
      <c r="AA10" s="704">
        <f t="shared" si="3"/>
        <v>0.75757575757575757</v>
      </c>
      <c r="AB10" s="704">
        <f t="shared" si="4"/>
        <v>0.75757575757575757</v>
      </c>
      <c r="AC10" s="704">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59"/>
      <c r="Q11" s="1339"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59"/>
      <c r="Q12" s="1339" t="str">
        <f t="shared" si="6"/>
        <v>配建</v>
      </c>
      <c r="R12" s="701" t="s">
        <v>14</v>
      </c>
      <c r="S12" s="702">
        <f t="shared" si="0"/>
        <v>100</v>
      </c>
      <c r="T12" s="701" t="s">
        <v>14</v>
      </c>
      <c r="U12" s="702">
        <f t="shared" si="1"/>
        <v>100</v>
      </c>
      <c r="V12" s="701" t="s">
        <v>14</v>
      </c>
      <c r="W12" s="702">
        <f t="shared" si="2"/>
        <v>100</v>
      </c>
      <c r="X12" s="703"/>
      <c r="Y12" s="3652"/>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59"/>
      <c r="Q13" s="1339">
        <f t="shared" si="6"/>
        <v>111</v>
      </c>
      <c r="R13" s="701" t="s">
        <v>14</v>
      </c>
      <c r="S13" s="702">
        <f t="shared" si="0"/>
        <v>100</v>
      </c>
      <c r="T13" s="701" t="s">
        <v>14</v>
      </c>
      <c r="U13" s="702">
        <f t="shared" si="1"/>
        <v>100</v>
      </c>
      <c r="V13" s="701" t="s">
        <v>14</v>
      </c>
      <c r="W13" s="702">
        <f t="shared" si="2"/>
        <v>100</v>
      </c>
      <c r="X13" s="703"/>
      <c r="Y13" s="3652"/>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59"/>
      <c r="Q14" s="1339">
        <f t="shared" si="6"/>
        <v>111</v>
      </c>
      <c r="R14" s="701" t="s">
        <v>14</v>
      </c>
      <c r="S14" s="702">
        <f t="shared" si="0"/>
        <v>100</v>
      </c>
      <c r="T14" s="701" t="s">
        <v>14</v>
      </c>
      <c r="U14" s="702">
        <f t="shared" si="1"/>
        <v>100</v>
      </c>
      <c r="V14" s="701" t="s">
        <v>14</v>
      </c>
      <c r="W14" s="702">
        <f t="shared" si="2"/>
        <v>100</v>
      </c>
      <c r="X14" s="703"/>
      <c r="Y14" s="3652"/>
      <c r="Z14" s="52">
        <f t="shared" si="7"/>
        <v>111</v>
      </c>
      <c r="AA14" s="704">
        <f>D14/F14</f>
        <v>1</v>
      </c>
      <c r="AB14" s="704">
        <f>D14/H14</f>
        <v>1</v>
      </c>
      <c r="AC14" s="704">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61" t="s">
        <v>1691</v>
      </c>
      <c r="Q15" s="1348" t="str">
        <f t="shared" si="6"/>
        <v>居住社区成熟度</v>
      </c>
      <c r="R15" s="705" t="s">
        <v>14</v>
      </c>
      <c r="S15" s="706">
        <f t="shared" si="0"/>
        <v>100</v>
      </c>
      <c r="T15" s="705" t="s">
        <v>14</v>
      </c>
      <c r="U15" s="706">
        <f t="shared" si="1"/>
        <v>100</v>
      </c>
      <c r="V15" s="705" t="s">
        <v>14</v>
      </c>
      <c r="W15" s="706">
        <f t="shared" si="2"/>
        <v>100</v>
      </c>
      <c r="X15" s="1351"/>
      <c r="Y15" s="3761"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62"/>
      <c r="Q16" s="1348"/>
      <c r="R16" s="705"/>
      <c r="S16" s="706"/>
      <c r="T16" s="705"/>
      <c r="U16" s="706"/>
      <c r="V16" s="705"/>
      <c r="W16" s="706"/>
      <c r="X16" s="1351"/>
      <c r="Y16" s="3762"/>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62"/>
      <c r="Q17" s="1348" t="str">
        <f>B17</f>
        <v>商业繁华度</v>
      </c>
      <c r="R17" s="705" t="s">
        <v>14</v>
      </c>
      <c r="S17" s="706">
        <f>F17</f>
        <v>100</v>
      </c>
      <c r="T17" s="705" t="s">
        <v>14</v>
      </c>
      <c r="U17" s="706">
        <f>H17</f>
        <v>100</v>
      </c>
      <c r="V17" s="705" t="s">
        <v>14</v>
      </c>
      <c r="W17" s="706">
        <f>J17</f>
        <v>100</v>
      </c>
      <c r="X17" s="1351"/>
      <c r="Y17" s="3762"/>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8"/>
      <c r="M18" s="2712"/>
      <c r="N18" s="2712"/>
      <c r="O18" s="2770"/>
      <c r="P18" s="3762"/>
      <c r="Q18" s="1348"/>
      <c r="R18" s="705"/>
      <c r="S18" s="706"/>
      <c r="T18" s="705"/>
      <c r="U18" s="706"/>
      <c r="V18" s="705"/>
      <c r="W18" s="706"/>
      <c r="X18" s="1351"/>
      <c r="Y18" s="3762"/>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62"/>
      <c r="Q19" s="1348" t="str">
        <f>B19</f>
        <v>办公集聚程度</v>
      </c>
      <c r="R19" s="705" t="s">
        <v>14</v>
      </c>
      <c r="S19" s="706">
        <f>F19</f>
        <v>100</v>
      </c>
      <c r="T19" s="705" t="s">
        <v>14</v>
      </c>
      <c r="U19" s="706">
        <f>H19</f>
        <v>100</v>
      </c>
      <c r="V19" s="705" t="s">
        <v>14</v>
      </c>
      <c r="W19" s="706">
        <f>J19</f>
        <v>100</v>
      </c>
      <c r="X19" s="1351"/>
      <c r="Y19" s="3762"/>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8"/>
      <c r="M20" s="2712"/>
      <c r="N20" s="2712"/>
      <c r="O20" s="2770"/>
      <c r="P20" s="3762"/>
      <c r="Q20" s="1348"/>
      <c r="R20" s="705"/>
      <c r="S20" s="706"/>
      <c r="T20" s="705"/>
      <c r="U20" s="706"/>
      <c r="V20" s="705"/>
      <c r="W20" s="706"/>
      <c r="X20" s="1351"/>
      <c r="Y20" s="3762"/>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62"/>
      <c r="Q21" s="1348" t="str">
        <f>B21</f>
        <v>交通便捷度</v>
      </c>
      <c r="R21" s="705" t="s">
        <v>14</v>
      </c>
      <c r="S21" s="706">
        <f>F21</f>
        <v>100</v>
      </c>
      <c r="T21" s="705" t="s">
        <v>14</v>
      </c>
      <c r="U21" s="706">
        <f>H21</f>
        <v>100</v>
      </c>
      <c r="V21" s="705" t="s">
        <v>14</v>
      </c>
      <c r="W21" s="706">
        <f>J21</f>
        <v>100</v>
      </c>
      <c r="X21" s="1351"/>
      <c r="Y21" s="3762"/>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8"/>
      <c r="M22" s="2712"/>
      <c r="N22" s="2712"/>
      <c r="O22" s="2770"/>
      <c r="P22" s="3762"/>
      <c r="Q22" s="1348"/>
      <c r="R22" s="705"/>
      <c r="S22" s="706"/>
      <c r="T22" s="705"/>
      <c r="U22" s="706"/>
      <c r="V22" s="705"/>
      <c r="W22" s="706"/>
      <c r="X22" s="1351"/>
      <c r="Y22" s="3762"/>
      <c r="Z22" s="1352"/>
      <c r="AA22" s="1349">
        <v>1</v>
      </c>
      <c r="AB22" s="1349">
        <v>1</v>
      </c>
      <c r="AC22" s="1349">
        <v>1</v>
      </c>
    </row>
    <row r="23" spans="1:29" ht="15">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62"/>
      <c r="Q23" s="1348" t="str">
        <f t="shared" ref="Q23:Q37" si="8">B23</f>
        <v>区域土地利用方向</v>
      </c>
      <c r="R23" s="705" t="s">
        <v>14</v>
      </c>
      <c r="S23" s="706">
        <f>F23</f>
        <v>100</v>
      </c>
      <c r="T23" s="705" t="s">
        <v>14</v>
      </c>
      <c r="U23" s="706">
        <f>H23</f>
        <v>100</v>
      </c>
      <c r="V23" s="705" t="s">
        <v>14</v>
      </c>
      <c r="W23" s="706">
        <f>J23</f>
        <v>100</v>
      </c>
      <c r="X23" s="1351"/>
      <c r="Y23" s="3762"/>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62"/>
      <c r="Q24" s="1348"/>
      <c r="R24" s="705"/>
      <c r="S24" s="706"/>
      <c r="T24" s="705"/>
      <c r="U24" s="706"/>
      <c r="V24" s="705"/>
      <c r="W24" s="706"/>
      <c r="X24" s="1351"/>
      <c r="Y24" s="3762"/>
      <c r="Z24" s="1352"/>
      <c r="AA24" s="1349"/>
      <c r="AB24" s="1349"/>
      <c r="AC24" s="1349"/>
    </row>
    <row r="25" spans="1:29" ht="57">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62"/>
      <c r="Q25" s="1348" t="str">
        <f t="shared" si="8"/>
        <v>自然及人文环境状况</v>
      </c>
      <c r="R25" s="705" t="s">
        <v>14</v>
      </c>
      <c r="S25" s="706">
        <f>F25</f>
        <v>100</v>
      </c>
      <c r="T25" s="705" t="s">
        <v>14</v>
      </c>
      <c r="U25" s="706">
        <f>H25</f>
        <v>100</v>
      </c>
      <c r="V25" s="705" t="s">
        <v>14</v>
      </c>
      <c r="W25" s="706">
        <f>J25</f>
        <v>100</v>
      </c>
      <c r="X25" s="1351"/>
      <c r="Y25" s="3762"/>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62"/>
      <c r="Q26" s="1348"/>
      <c r="R26" s="705"/>
      <c r="S26" s="706"/>
      <c r="T26" s="705"/>
      <c r="U26" s="706"/>
      <c r="V26" s="705"/>
      <c r="W26" s="706"/>
      <c r="X26" s="1351"/>
      <c r="Y26" s="3762"/>
      <c r="Z26" s="1352"/>
      <c r="AA26" s="1349">
        <v>1</v>
      </c>
      <c r="AB26" s="1349">
        <v>1</v>
      </c>
      <c r="AC26" s="1349">
        <v>1</v>
      </c>
    </row>
    <row r="27" spans="1:29" s="108" customFormat="1" ht="42.75">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62"/>
      <c r="Q27" s="1339" t="str">
        <f t="shared" si="8"/>
        <v>公共配套设施</v>
      </c>
      <c r="R27" s="701" t="s">
        <v>14</v>
      </c>
      <c r="S27" s="702">
        <f>F27</f>
        <v>100</v>
      </c>
      <c r="T27" s="701" t="s">
        <v>14</v>
      </c>
      <c r="U27" s="702">
        <f>H27</f>
        <v>100</v>
      </c>
      <c r="V27" s="701" t="s">
        <v>14</v>
      </c>
      <c r="W27" s="702">
        <f>J27</f>
        <v>100</v>
      </c>
      <c r="X27" s="703"/>
      <c r="Y27" s="3762"/>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3"/>
      <c r="M28" s="2714"/>
      <c r="N28" s="2714"/>
      <c r="O28" s="2768"/>
      <c r="P28" s="3762"/>
      <c r="Q28" s="1339"/>
      <c r="R28" s="701"/>
      <c r="S28" s="702"/>
      <c r="T28" s="701"/>
      <c r="U28" s="702"/>
      <c r="V28" s="701"/>
      <c r="W28" s="702"/>
      <c r="X28" s="703"/>
      <c r="Y28" s="3762"/>
      <c r="Z28" s="52"/>
      <c r="AA28" s="1349">
        <v>1</v>
      </c>
      <c r="AB28" s="1349">
        <v>1</v>
      </c>
      <c r="AC28" s="1349">
        <v>1</v>
      </c>
    </row>
    <row r="29" spans="1:29" s="108" customFormat="1" ht="28.5">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62"/>
      <c r="Q29" s="1339" t="str">
        <f t="shared" ref="Q29" si="9">B29</f>
        <v>基础设施水平</v>
      </c>
      <c r="R29" s="701" t="s">
        <v>14</v>
      </c>
      <c r="S29" s="702">
        <f>F29</f>
        <v>100</v>
      </c>
      <c r="T29" s="701" t="s">
        <v>14</v>
      </c>
      <c r="U29" s="702">
        <f>H29</f>
        <v>100</v>
      </c>
      <c r="V29" s="701" t="s">
        <v>14</v>
      </c>
      <c r="W29" s="702">
        <f>J29</f>
        <v>100</v>
      </c>
      <c r="X29" s="703"/>
      <c r="Y29" s="3762"/>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3"/>
      <c r="M30" s="2714"/>
      <c r="N30" s="2714"/>
      <c r="O30" s="2768"/>
      <c r="P30" s="3762"/>
      <c r="Q30" s="1339"/>
      <c r="R30" s="701"/>
      <c r="S30" s="702"/>
      <c r="T30" s="701"/>
      <c r="U30" s="702"/>
      <c r="V30" s="701"/>
      <c r="W30" s="702"/>
      <c r="X30" s="703"/>
      <c r="Y30" s="3762"/>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62"/>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62"/>
      <c r="Z31" s="1352" t="str">
        <f t="shared" ref="Z31:Z45" si="13">Q31</f>
        <v>临街状况</v>
      </c>
      <c r="AA31" s="1349">
        <f t="shared" si="3"/>
        <v>1</v>
      </c>
      <c r="AB31" s="1349">
        <f t="shared" si="4"/>
        <v>1</v>
      </c>
      <c r="AC31" s="1349">
        <f t="shared" si="5"/>
        <v>1</v>
      </c>
    </row>
    <row r="32" spans="1:29" ht="27">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62"/>
      <c r="Q32" s="1348" t="str">
        <f t="shared" si="8"/>
        <v>毗邻道路的类型与等级</v>
      </c>
      <c r="R32" s="705" t="s">
        <v>14</v>
      </c>
      <c r="S32" s="706">
        <f t="shared" si="10"/>
        <v>100</v>
      </c>
      <c r="T32" s="705" t="s">
        <v>14</v>
      </c>
      <c r="U32" s="706">
        <f t="shared" si="11"/>
        <v>100</v>
      </c>
      <c r="V32" s="705" t="s">
        <v>14</v>
      </c>
      <c r="W32" s="706">
        <f t="shared" si="12"/>
        <v>100</v>
      </c>
      <c r="X32" s="1351"/>
      <c r="Y32" s="3762"/>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62"/>
      <c r="Q33" s="1348"/>
      <c r="R33" s="705"/>
      <c r="S33" s="706"/>
      <c r="T33" s="705"/>
      <c r="U33" s="706"/>
      <c r="V33" s="705"/>
      <c r="W33" s="706"/>
      <c r="X33" s="1351"/>
      <c r="Y33" s="3762"/>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62"/>
      <c r="Q34" s="1348" t="str">
        <f t="shared" si="8"/>
        <v>土地级别</v>
      </c>
      <c r="R34" s="705" t="s">
        <v>14</v>
      </c>
      <c r="S34" s="706">
        <f t="shared" si="10"/>
        <v>100</v>
      </c>
      <c r="T34" s="705" t="s">
        <v>14</v>
      </c>
      <c r="U34" s="706">
        <f t="shared" si="11"/>
        <v>100</v>
      </c>
      <c r="V34" s="705" t="s">
        <v>14</v>
      </c>
      <c r="W34" s="706">
        <f t="shared" si="12"/>
        <v>100</v>
      </c>
      <c r="X34" s="1351"/>
      <c r="Y34" s="3762"/>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62"/>
      <c r="Q35" s="1348">
        <f t="shared" si="8"/>
        <v>111</v>
      </c>
      <c r="R35" s="705" t="s">
        <v>14</v>
      </c>
      <c r="S35" s="706">
        <f t="shared" si="10"/>
        <v>100</v>
      </c>
      <c r="T35" s="705" t="s">
        <v>14</v>
      </c>
      <c r="U35" s="706">
        <f t="shared" si="11"/>
        <v>100</v>
      </c>
      <c r="V35" s="705" t="s">
        <v>14</v>
      </c>
      <c r="W35" s="706">
        <f t="shared" si="12"/>
        <v>100</v>
      </c>
      <c r="X35" s="1351"/>
      <c r="Y35" s="3762"/>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85" t="s">
        <v>1696</v>
      </c>
      <c r="Q36" s="1348">
        <f t="shared" si="8"/>
        <v>111</v>
      </c>
      <c r="R36" s="705" t="s">
        <v>14</v>
      </c>
      <c r="S36" s="706">
        <f t="shared" si="10"/>
        <v>100</v>
      </c>
      <c r="T36" s="705" t="s">
        <v>14</v>
      </c>
      <c r="U36" s="706">
        <f t="shared" si="11"/>
        <v>100</v>
      </c>
      <c r="V36" s="705" t="s">
        <v>14</v>
      </c>
      <c r="W36" s="706">
        <f t="shared" si="12"/>
        <v>100</v>
      </c>
      <c r="X36" s="1351"/>
      <c r="Y36" s="3766" t="s">
        <v>1696</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66"/>
      <c r="Q37" s="1348">
        <f t="shared" si="8"/>
        <v>111</v>
      </c>
      <c r="R37" s="708" t="s">
        <v>14</v>
      </c>
      <c r="S37" s="709">
        <f t="shared" si="10"/>
        <v>100</v>
      </c>
      <c r="T37" s="708" t="s">
        <v>14</v>
      </c>
      <c r="U37" s="709">
        <f t="shared" si="11"/>
        <v>100</v>
      </c>
      <c r="V37" s="708" t="s">
        <v>14</v>
      </c>
      <c r="W37" s="709">
        <f t="shared" si="12"/>
        <v>100</v>
      </c>
      <c r="X37" s="710"/>
      <c r="Y37" s="3766"/>
      <c r="Z37" s="711">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66"/>
      <c r="Q38" s="1348" t="str">
        <f>B38</f>
        <v>宗地面积</v>
      </c>
      <c r="R38" s="705" t="s">
        <v>14</v>
      </c>
      <c r="S38" s="706" t="e">
        <f t="shared" si="10"/>
        <v>#N/A</v>
      </c>
      <c r="T38" s="705" t="s">
        <v>14</v>
      </c>
      <c r="U38" s="706" t="e">
        <f t="shared" si="11"/>
        <v>#N/A</v>
      </c>
      <c r="V38" s="705" t="s">
        <v>14</v>
      </c>
      <c r="W38" s="706" t="e">
        <f t="shared" si="12"/>
        <v>#N/A</v>
      </c>
      <c r="X38" s="1351"/>
      <c r="Y38" s="3766"/>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66"/>
      <c r="Q39" s="1348" t="str">
        <f t="shared" ref="Q39:Q45" si="14">B39</f>
        <v>宗地形状</v>
      </c>
      <c r="R39" s="705" t="s">
        <v>14</v>
      </c>
      <c r="S39" s="706">
        <f t="shared" si="10"/>
        <v>100</v>
      </c>
      <c r="T39" s="705" t="s">
        <v>14</v>
      </c>
      <c r="U39" s="706">
        <f t="shared" si="11"/>
        <v>100</v>
      </c>
      <c r="V39" s="705" t="s">
        <v>14</v>
      </c>
      <c r="W39" s="706">
        <f t="shared" si="12"/>
        <v>100</v>
      </c>
      <c r="X39" s="1351"/>
      <c r="Y39" s="3766"/>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66"/>
      <c r="Q40" s="1348" t="str">
        <f t="shared" si="14"/>
        <v>临街宽度及深度</v>
      </c>
      <c r="R40" s="705" t="s">
        <v>14</v>
      </c>
      <c r="S40" s="706">
        <f t="shared" si="10"/>
        <v>100</v>
      </c>
      <c r="T40" s="705" t="s">
        <v>14</v>
      </c>
      <c r="U40" s="706">
        <f t="shared" si="11"/>
        <v>100</v>
      </c>
      <c r="V40" s="705" t="s">
        <v>14</v>
      </c>
      <c r="W40" s="706">
        <f t="shared" si="12"/>
        <v>100</v>
      </c>
      <c r="X40" s="1351"/>
      <c r="Y40" s="3766"/>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66"/>
      <c r="Q41" s="1348" t="str">
        <f t="shared" si="14"/>
        <v>宗地开发程度</v>
      </c>
      <c r="R41" s="701" t="s">
        <v>14</v>
      </c>
      <c r="S41" s="702">
        <f t="shared" si="10"/>
        <v>100</v>
      </c>
      <c r="T41" s="701" t="s">
        <v>14</v>
      </c>
      <c r="U41" s="702">
        <f t="shared" si="11"/>
        <v>100</v>
      </c>
      <c r="V41" s="701" t="s">
        <v>14</v>
      </c>
      <c r="W41" s="702">
        <f t="shared" si="12"/>
        <v>100</v>
      </c>
      <c r="X41" s="703"/>
      <c r="Y41" s="3766"/>
      <c r="Z41" s="52" t="str">
        <f t="shared" si="13"/>
        <v>宗地开发程度</v>
      </c>
      <c r="AA41" s="704">
        <f t="shared" si="3"/>
        <v>1</v>
      </c>
      <c r="AB41" s="704">
        <f t="shared" si="4"/>
        <v>1</v>
      </c>
      <c r="AC41" s="704">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66" t="s">
        <v>1696</v>
      </c>
      <c r="Q42" s="1348" t="str">
        <f t="shared" si="14"/>
        <v>工程地质条件</v>
      </c>
      <c r="R42" s="705" t="s">
        <v>14</v>
      </c>
      <c r="S42" s="706">
        <f t="shared" si="10"/>
        <v>100</v>
      </c>
      <c r="T42" s="705" t="s">
        <v>14</v>
      </c>
      <c r="U42" s="706">
        <f t="shared" si="11"/>
        <v>100</v>
      </c>
      <c r="V42" s="705" t="s">
        <v>14</v>
      </c>
      <c r="W42" s="706">
        <f t="shared" si="12"/>
        <v>100</v>
      </c>
      <c r="X42" s="1351"/>
      <c r="Y42" s="3766"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66"/>
      <c r="Q43" s="1348">
        <f t="shared" si="14"/>
        <v>111</v>
      </c>
      <c r="R43" s="705" t="s">
        <v>14</v>
      </c>
      <c r="S43" s="706">
        <f t="shared" si="10"/>
        <v>100</v>
      </c>
      <c r="T43" s="705" t="s">
        <v>14</v>
      </c>
      <c r="U43" s="706">
        <f t="shared" si="11"/>
        <v>100</v>
      </c>
      <c r="V43" s="705" t="s">
        <v>14</v>
      </c>
      <c r="W43" s="706">
        <f t="shared" si="12"/>
        <v>100</v>
      </c>
      <c r="X43" s="1351"/>
      <c r="Y43" s="3766"/>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66"/>
      <c r="Q44" s="1348">
        <f t="shared" si="14"/>
        <v>111</v>
      </c>
      <c r="R44" s="705" t="s">
        <v>14</v>
      </c>
      <c r="S44" s="706">
        <f t="shared" si="10"/>
        <v>100</v>
      </c>
      <c r="T44" s="705" t="s">
        <v>14</v>
      </c>
      <c r="U44" s="706">
        <f t="shared" si="11"/>
        <v>100</v>
      </c>
      <c r="V44" s="705" t="s">
        <v>14</v>
      </c>
      <c r="W44" s="706">
        <f t="shared" si="12"/>
        <v>100</v>
      </c>
      <c r="X44" s="1351"/>
      <c r="Y44" s="3766"/>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66"/>
      <c r="Q45" s="1348">
        <f t="shared" si="14"/>
        <v>111</v>
      </c>
      <c r="R45" s="708" t="s">
        <v>14</v>
      </c>
      <c r="S45" s="709">
        <f t="shared" si="10"/>
        <v>100</v>
      </c>
      <c r="T45" s="708" t="s">
        <v>14</v>
      </c>
      <c r="U45" s="709">
        <f t="shared" si="11"/>
        <v>100</v>
      </c>
      <c r="V45" s="708" t="s">
        <v>14</v>
      </c>
      <c r="W45" s="709">
        <f t="shared" si="12"/>
        <v>100</v>
      </c>
      <c r="X45" s="710"/>
      <c r="Y45" s="3766"/>
      <c r="Z45" s="711">
        <f t="shared" si="13"/>
        <v>111</v>
      </c>
      <c r="AA45" s="1349">
        <f t="shared" si="3"/>
        <v>1</v>
      </c>
      <c r="AB45" s="1349">
        <f t="shared" si="4"/>
        <v>1</v>
      </c>
      <c r="AC45" s="1349">
        <f t="shared" si="5"/>
        <v>1</v>
      </c>
    </row>
    <row r="46" spans="1:29" ht="15">
      <c r="A46" s="430" t="s">
        <v>1844</v>
      </c>
      <c r="B46" s="1978" t="s">
        <v>1879</v>
      </c>
      <c r="C46" s="630" t="s">
        <v>0</v>
      </c>
      <c r="D46" s="432"/>
      <c r="E46" s="433"/>
      <c r="F46" s="434"/>
      <c r="G46" s="435"/>
      <c r="H46" s="436"/>
      <c r="I46" s="433"/>
      <c r="J46" s="436"/>
      <c r="K46" s="714"/>
      <c r="L46" s="2720"/>
      <c r="M46" s="2721"/>
      <c r="N46" s="2712"/>
      <c r="O46" s="2721"/>
      <c r="P46" s="3759" t="str">
        <f>A46</f>
        <v>成交单价</v>
      </c>
      <c r="Q46" s="3759"/>
      <c r="R46" s="3754">
        <f>E46</f>
        <v>0</v>
      </c>
      <c r="S46" s="3754"/>
      <c r="T46" s="3754">
        <f>G46</f>
        <v>0</v>
      </c>
      <c r="U46" s="3754"/>
      <c r="V46" s="3754">
        <f>I46</f>
        <v>0</v>
      </c>
      <c r="W46" s="3754"/>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20"/>
      <c r="M47" s="2721"/>
      <c r="N47" s="2721"/>
      <c r="O47" s="2721"/>
      <c r="P47" s="3759" t="str">
        <f>A47</f>
        <v>比较价值（元/平方米）</v>
      </c>
      <c r="Q47" s="3759"/>
      <c r="R47" s="3787" t="e">
        <f>ROUND(PRODUCT(R46,AA7:AA45),0)</f>
        <v>#DIV/0!</v>
      </c>
      <c r="S47" s="3787"/>
      <c r="T47" s="3787" t="e">
        <f>ROUND(PRODUCT(T46,AB7:AB45),0)</f>
        <v>#DIV/0!</v>
      </c>
      <c r="U47" s="3787"/>
      <c r="V47" s="3787" t="e">
        <f>ROUND(PRODUCT(V46,AC7:AC45),0)</f>
        <v>#DIV/0!</v>
      </c>
      <c r="W47" s="378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56" t="str">
        <f>A48</f>
        <v>估价对象XX用房的比较价值（楼面单价，元/平方米）</v>
      </c>
      <c r="Q48" s="3757"/>
      <c r="R48" s="3788" t="e">
        <f>ROUND(IF(D47="简单平均",AVERAGE(R47:W47),R47*F47+T47*H47+V47*J47),0)</f>
        <v>#DIV/0!</v>
      </c>
      <c r="S48" s="3788"/>
      <c r="T48" s="3788"/>
      <c r="U48" s="3788"/>
      <c r="V48" s="3788"/>
      <c r="W48" s="3788"/>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6" t="s">
        <v>1886</v>
      </c>
      <c r="G55" s="3742" t="s">
        <v>1887</v>
      </c>
      <c r="H55" s="3789"/>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0">
        <v>1</v>
      </c>
      <c r="E56" s="638">
        <f>'数据-汇总表'!E8+'数据-汇总表'!E9</f>
        <v>2447.34</v>
      </c>
      <c r="F56" s="882" t="e">
        <f t="shared" ref="F56:F64" si="15">ROUND(B56*E56/10000,0)</f>
        <v>#DIV/0!</v>
      </c>
      <c r="G56" s="3741"/>
      <c r="H56" s="3759"/>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1">
        <v>0.25</v>
      </c>
      <c r="E57" s="642"/>
      <c r="F57" s="882" t="e">
        <f t="shared" si="15"/>
        <v>#DIV/0!</v>
      </c>
      <c r="G57" s="3002" t="s">
        <v>1892</v>
      </c>
      <c r="H57" s="883">
        <f>项目基本情况!B37</f>
        <v>0</v>
      </c>
      <c r="I57" s="887">
        <f>SUMIF(修正!A57:A68,H57,修正!B57:B68)</f>
        <v>0</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1">
        <v>0.25</v>
      </c>
      <c r="E58" s="642"/>
      <c r="F58" s="882" t="e">
        <f t="shared" si="15"/>
        <v>#DIV/0!</v>
      </c>
      <c r="G58" s="3003"/>
      <c r="H58" s="883">
        <f>项目基本情况!B37</f>
        <v>0</v>
      </c>
      <c r="I58" s="887">
        <f>SUMIF(修正!A57:A68,H58,修正!C57:C68)</f>
        <v>0</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1">
        <v>0.25</v>
      </c>
      <c r="E59" s="642"/>
      <c r="F59" s="882" t="e">
        <f t="shared" si="15"/>
        <v>#DIV/0!</v>
      </c>
      <c r="G59" s="3003"/>
      <c r="H59" s="883">
        <f>项目基本情况!B37</f>
        <v>0</v>
      </c>
      <c r="I59" s="887">
        <f>SUMIF(修正!A57:A68,H59,修正!D57:D68)</f>
        <v>0</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1">
        <v>0.25</v>
      </c>
      <c r="E60" s="217">
        <f>'数据-汇总表'!E11</f>
        <v>0</v>
      </c>
      <c r="F60" s="882" t="e">
        <f t="shared" si="15"/>
        <v>#DIV/0!</v>
      </c>
      <c r="G60" s="1983" t="s">
        <v>1896</v>
      </c>
      <c r="H60" s="883">
        <f>项目基本情况!C37</f>
        <v>0</v>
      </c>
      <c r="I60" s="887">
        <f>SUMIF(修正!A57:A68,H60,修正!E57:E68)</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1">
        <v>0.25</v>
      </c>
      <c r="E61" s="217">
        <f>'数据-汇总表'!E12</f>
        <v>0</v>
      </c>
      <c r="F61" s="882" t="e">
        <f t="shared" si="15"/>
        <v>#DIV/0!</v>
      </c>
      <c r="G61" s="888" t="s">
        <v>1898</v>
      </c>
      <c r="H61" s="883">
        <f>IF(G61="商业",项目基本情况!B37,IF(G61="办公",项目基本情况!C37,IF(G61="住宅",项目基本情况!D37,项目基本情况!E37)))</f>
        <v>0</v>
      </c>
      <c r="I61" s="887">
        <f>SUMIF(修正!A57:A68,H61,修正!F57:F68)</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1">
        <v>0.25</v>
      </c>
      <c r="E62" s="217">
        <f>'数据-汇总表'!E13</f>
        <v>0</v>
      </c>
      <c r="F62" s="882" t="e">
        <f t="shared" si="15"/>
        <v>#DIV/0!</v>
      </c>
      <c r="G62" s="888" t="s">
        <v>1900</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1">
        <v>0.25</v>
      </c>
      <c r="E63" s="217">
        <f>'数据-汇总表'!E14</f>
        <v>0</v>
      </c>
      <c r="F63" s="882" t="e">
        <f t="shared" si="15"/>
        <v>#DIV/0!</v>
      </c>
      <c r="G63" s="1983" t="s">
        <v>1892</v>
      </c>
      <c r="H63" s="883">
        <f>项目基本情况!B37</f>
        <v>0</v>
      </c>
      <c r="I63" s="887">
        <f>SUMIF(修正!A57:A68,H63,修正!G57:G68)</f>
        <v>0</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1">
        <v>0.25</v>
      </c>
      <c r="E64" s="217">
        <f>'数据-汇总表'!E15</f>
        <v>0</v>
      </c>
      <c r="F64" s="882" t="e">
        <f t="shared" si="15"/>
        <v>#DIV/0!</v>
      </c>
      <c r="G64" s="1984" t="s">
        <v>1896</v>
      </c>
      <c r="H64" s="893">
        <f>项目基本情况!C37</f>
        <v>0</v>
      </c>
      <c r="I64" s="889">
        <f>SUMIF(修正!A57:A68,H64,修正!G57:G68)</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2447.34</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4"/>
      <c r="D2" s="904"/>
      <c r="E2" s="904"/>
      <c r="F2" s="905"/>
      <c r="G2" s="904"/>
      <c r="H2" s="904"/>
      <c r="I2" s="904"/>
      <c r="J2" s="904"/>
      <c r="K2" s="906"/>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29" ht="15">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29" t="s">
        <v>1771</v>
      </c>
      <c r="S4" s="3730"/>
      <c r="T4" s="3729" t="s">
        <v>1772</v>
      </c>
      <c r="U4" s="3730"/>
      <c r="V4" s="3754" t="s">
        <v>1773</v>
      </c>
      <c r="W4" s="3754"/>
      <c r="X4" s="1351"/>
      <c r="Y4" s="3729" t="s">
        <v>1775</v>
      </c>
      <c r="Z4" s="3730"/>
      <c r="AA4" s="3724" t="s">
        <v>1771</v>
      </c>
      <c r="AB4" s="3725" t="s">
        <v>1772</v>
      </c>
      <c r="AC4" s="3724" t="s">
        <v>1773</v>
      </c>
    </row>
    <row r="5" spans="1:29" ht="15">
      <c r="A5" s="358"/>
      <c r="B5" s="359"/>
      <c r="C5" s="3735" t="s">
        <v>1673</v>
      </c>
      <c r="D5" s="3736"/>
      <c r="E5" s="3733" t="s">
        <v>1674</v>
      </c>
      <c r="F5" s="3734"/>
      <c r="G5" s="3735" t="s">
        <v>1675</v>
      </c>
      <c r="H5" s="3736"/>
      <c r="I5" s="3735" t="s">
        <v>1676</v>
      </c>
      <c r="J5" s="3736"/>
      <c r="K5" s="559"/>
      <c r="L5" s="2711"/>
      <c r="M5" s="2712"/>
      <c r="N5" s="2712"/>
      <c r="O5" s="2712"/>
      <c r="P5" s="3748"/>
      <c r="Q5" s="3749"/>
      <c r="R5" s="3731"/>
      <c r="S5" s="3732"/>
      <c r="T5" s="3731"/>
      <c r="U5" s="3732"/>
      <c r="V5" s="3754"/>
      <c r="W5" s="3754"/>
      <c r="X5" s="1351"/>
      <c r="Y5" s="3731"/>
      <c r="Z5" s="3732"/>
      <c r="AA5" s="3725"/>
      <c r="AB5" s="3725"/>
      <c r="AC5" s="3725"/>
    </row>
    <row r="6" spans="1:29" ht="15.75" thickBot="1">
      <c r="A6" s="360"/>
      <c r="B6" s="361"/>
      <c r="C6" s="3790" t="s">
        <v>1919</v>
      </c>
      <c r="D6" s="3791"/>
      <c r="E6" s="3792" t="s">
        <v>1919</v>
      </c>
      <c r="F6" s="3793"/>
      <c r="G6" s="3790" t="s">
        <v>1919</v>
      </c>
      <c r="H6" s="3791"/>
      <c r="I6" s="3790" t="s">
        <v>1919</v>
      </c>
      <c r="J6" s="3791"/>
      <c r="K6" s="559" t="s">
        <v>1678</v>
      </c>
      <c r="L6" s="2711"/>
      <c r="M6" s="2712"/>
      <c r="N6" s="2712"/>
      <c r="O6" s="2712"/>
      <c r="P6" s="3750"/>
      <c r="Q6" s="3751"/>
      <c r="R6" s="3731"/>
      <c r="S6" s="3732"/>
      <c r="T6" s="3752"/>
      <c r="U6" s="3753"/>
      <c r="V6" s="3754"/>
      <c r="W6" s="3754"/>
      <c r="X6" s="1351"/>
      <c r="Y6" s="3752"/>
      <c r="Z6" s="3753"/>
      <c r="AA6" s="3726"/>
      <c r="AB6" s="3726"/>
      <c r="AC6" s="3726"/>
    </row>
    <row r="7" spans="1:29" s="108" customFormat="1" ht="15.75" thickBot="1">
      <c r="A7" s="362" t="s">
        <v>1679</v>
      </c>
      <c r="B7" s="363"/>
      <c r="C7" s="364">
        <f>'数据-取费表'!B2</f>
        <v>45421</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27" t="s">
        <v>1680</v>
      </c>
      <c r="Q7" s="3755"/>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27" t="s">
        <v>1683</v>
      </c>
      <c r="Q8" s="3728"/>
      <c r="R8" s="701" t="s">
        <v>14</v>
      </c>
      <c r="S8" s="702">
        <f t="shared" si="0"/>
        <v>0</v>
      </c>
      <c r="T8" s="701" t="s">
        <v>14</v>
      </c>
      <c r="U8" s="702">
        <f t="shared" si="1"/>
        <v>0</v>
      </c>
      <c r="V8" s="701" t="s">
        <v>14</v>
      </c>
      <c r="W8" s="702">
        <f t="shared" si="2"/>
        <v>0</v>
      </c>
      <c r="X8" s="703"/>
      <c r="Y8" s="3727" t="s">
        <v>1683</v>
      </c>
      <c r="Z8" s="3728"/>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59"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20"/>
      <c r="L10" s="2715"/>
      <c r="M10" s="2716"/>
      <c r="N10" s="2716"/>
      <c r="O10" s="2769"/>
      <c r="P10" s="3759"/>
      <c r="Q10" s="1339" t="str">
        <f t="shared" si="6"/>
        <v>土地使用年限（年）</v>
      </c>
      <c r="R10" s="701" t="s">
        <v>14</v>
      </c>
      <c r="S10" s="702">
        <f t="shared" si="0"/>
        <v>132</v>
      </c>
      <c r="T10" s="701" t="s">
        <v>14</v>
      </c>
      <c r="U10" s="702">
        <f t="shared" si="1"/>
        <v>132</v>
      </c>
      <c r="V10" s="701" t="s">
        <v>14</v>
      </c>
      <c r="W10" s="702">
        <f t="shared" si="2"/>
        <v>132</v>
      </c>
      <c r="X10" s="703"/>
      <c r="Y10" s="3652"/>
      <c r="Z10" s="52" t="str">
        <f t="shared" si="7"/>
        <v>土地使用年限（年）</v>
      </c>
      <c r="AA10" s="704">
        <f t="shared" si="3"/>
        <v>0.75757575757575757</v>
      </c>
      <c r="AB10" s="704">
        <f t="shared" si="4"/>
        <v>0.75757575757575757</v>
      </c>
      <c r="AC10" s="704">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59"/>
      <c r="Q11" s="1339"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59"/>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59"/>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59"/>
      <c r="Q14" s="1339">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61" t="s">
        <v>1691</v>
      </c>
      <c r="Q15" s="1348" t="str">
        <f t="shared" si="6"/>
        <v>产业集聚程度</v>
      </c>
      <c r="R15" s="705" t="s">
        <v>14</v>
      </c>
      <c r="S15" s="706">
        <f t="shared" si="0"/>
        <v>100</v>
      </c>
      <c r="T15" s="705" t="s">
        <v>14</v>
      </c>
      <c r="U15" s="706">
        <f t="shared" si="1"/>
        <v>100</v>
      </c>
      <c r="V15" s="705" t="s">
        <v>14</v>
      </c>
      <c r="W15" s="706">
        <f t="shared" si="2"/>
        <v>100</v>
      </c>
      <c r="X15" s="1351"/>
      <c r="Y15" s="3761"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62"/>
      <c r="Q16" s="1348"/>
      <c r="R16" s="705"/>
      <c r="S16" s="706"/>
      <c r="T16" s="705"/>
      <c r="U16" s="706"/>
      <c r="V16" s="705"/>
      <c r="W16" s="706"/>
      <c r="X16" s="1351"/>
      <c r="Y16" s="3762"/>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62"/>
      <c r="Q17" s="1348" t="str">
        <f>B17</f>
        <v>交通便捷度</v>
      </c>
      <c r="R17" s="705" t="s">
        <v>14</v>
      </c>
      <c r="S17" s="706">
        <f>F17</f>
        <v>100</v>
      </c>
      <c r="T17" s="705" t="s">
        <v>14</v>
      </c>
      <c r="U17" s="706">
        <f>H17</f>
        <v>100</v>
      </c>
      <c r="V17" s="705" t="s">
        <v>14</v>
      </c>
      <c r="W17" s="706">
        <f>J17</f>
        <v>100</v>
      </c>
      <c r="X17" s="1351"/>
      <c r="Y17" s="3762"/>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62"/>
      <c r="Q18" s="1348"/>
      <c r="R18" s="705"/>
      <c r="S18" s="706"/>
      <c r="T18" s="705"/>
      <c r="U18" s="706"/>
      <c r="V18" s="705"/>
      <c r="W18" s="706"/>
      <c r="X18" s="1351"/>
      <c r="Y18" s="3762"/>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62"/>
      <c r="Q19" s="1348" t="str">
        <f t="shared" ref="Q19:Q33" si="8">B19</f>
        <v>区域土地利用方向</v>
      </c>
      <c r="R19" s="705" t="s">
        <v>14</v>
      </c>
      <c r="S19" s="706">
        <f>F19</f>
        <v>100</v>
      </c>
      <c r="T19" s="705" t="s">
        <v>14</v>
      </c>
      <c r="U19" s="706">
        <f>H19</f>
        <v>100</v>
      </c>
      <c r="V19" s="705" t="s">
        <v>14</v>
      </c>
      <c r="W19" s="706">
        <f>J19</f>
        <v>100</v>
      </c>
      <c r="X19" s="1351"/>
      <c r="Y19" s="3762"/>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8"/>
      <c r="M20" s="2712"/>
      <c r="N20" s="2712"/>
      <c r="O20" s="2770"/>
      <c r="P20" s="3762"/>
      <c r="Q20" s="1348"/>
      <c r="R20" s="705"/>
      <c r="S20" s="706"/>
      <c r="T20" s="705"/>
      <c r="U20" s="706"/>
      <c r="V20" s="705"/>
      <c r="W20" s="706"/>
      <c r="X20" s="1351"/>
      <c r="Y20" s="3762"/>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62"/>
      <c r="Q21" s="1348" t="str">
        <f t="shared" si="8"/>
        <v>环境状况</v>
      </c>
      <c r="R21" s="705" t="s">
        <v>14</v>
      </c>
      <c r="S21" s="706">
        <f>F21</f>
        <v>100</v>
      </c>
      <c r="T21" s="705" t="s">
        <v>14</v>
      </c>
      <c r="U21" s="706">
        <f>H21</f>
        <v>100</v>
      </c>
      <c r="V21" s="705" t="s">
        <v>14</v>
      </c>
      <c r="W21" s="706">
        <f>J21</f>
        <v>100</v>
      </c>
      <c r="X21" s="1351"/>
      <c r="Y21" s="3762"/>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62"/>
      <c r="Q22" s="1348"/>
      <c r="R22" s="705"/>
      <c r="S22" s="706"/>
      <c r="T22" s="705"/>
      <c r="U22" s="706"/>
      <c r="V22" s="705"/>
      <c r="W22" s="706"/>
      <c r="X22" s="1351"/>
      <c r="Y22" s="3762"/>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62"/>
      <c r="Q23" s="1339" t="str">
        <f t="shared" si="8"/>
        <v>公共配套设施</v>
      </c>
      <c r="R23" s="701" t="s">
        <v>14</v>
      </c>
      <c r="S23" s="702">
        <f>F23</f>
        <v>100</v>
      </c>
      <c r="T23" s="701" t="s">
        <v>14</v>
      </c>
      <c r="U23" s="702">
        <f>H23</f>
        <v>100</v>
      </c>
      <c r="V23" s="701" t="s">
        <v>14</v>
      </c>
      <c r="W23" s="702">
        <f>J23</f>
        <v>100</v>
      </c>
      <c r="X23" s="703"/>
      <c r="Y23" s="3762"/>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62"/>
      <c r="Q24" s="1339"/>
      <c r="R24" s="701"/>
      <c r="S24" s="702"/>
      <c r="T24" s="701"/>
      <c r="U24" s="702"/>
      <c r="V24" s="701"/>
      <c r="W24" s="702"/>
      <c r="X24" s="703"/>
      <c r="Y24" s="3762"/>
      <c r="Z24" s="52"/>
      <c r="AA24" s="704">
        <v>1</v>
      </c>
      <c r="AB24" s="704">
        <v>1</v>
      </c>
      <c r="AC24" s="704">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62"/>
      <c r="Q25" s="1339" t="str">
        <f t="shared" ref="Q25" si="9">B25</f>
        <v>基础设施水平</v>
      </c>
      <c r="R25" s="701" t="s">
        <v>14</v>
      </c>
      <c r="S25" s="702">
        <f>F25</f>
        <v>100</v>
      </c>
      <c r="T25" s="701" t="s">
        <v>14</v>
      </c>
      <c r="U25" s="702">
        <f>H25</f>
        <v>100</v>
      </c>
      <c r="V25" s="701" t="s">
        <v>14</v>
      </c>
      <c r="W25" s="702">
        <f>J25</f>
        <v>100</v>
      </c>
      <c r="X25" s="703"/>
      <c r="Y25" s="3762"/>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62"/>
      <c r="Q26" s="1339"/>
      <c r="R26" s="701"/>
      <c r="S26" s="702"/>
      <c r="T26" s="701"/>
      <c r="U26" s="702"/>
      <c r="V26" s="701"/>
      <c r="W26" s="702"/>
      <c r="X26" s="703"/>
      <c r="Y26" s="376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62"/>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62"/>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62"/>
      <c r="Q28" s="1348" t="str">
        <f t="shared" si="8"/>
        <v>毗邻道路的类型与等级</v>
      </c>
      <c r="R28" s="705" t="s">
        <v>14</v>
      </c>
      <c r="S28" s="706">
        <f t="shared" si="10"/>
        <v>100</v>
      </c>
      <c r="T28" s="705" t="s">
        <v>14</v>
      </c>
      <c r="U28" s="706">
        <f t="shared" si="11"/>
        <v>100</v>
      </c>
      <c r="V28" s="705" t="s">
        <v>14</v>
      </c>
      <c r="W28" s="706">
        <f t="shared" si="12"/>
        <v>100</v>
      </c>
      <c r="X28" s="1351"/>
      <c r="Y28" s="3762"/>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62"/>
      <c r="Q29" s="1348"/>
      <c r="R29" s="705"/>
      <c r="S29" s="706"/>
      <c r="T29" s="705"/>
      <c r="U29" s="706"/>
      <c r="V29" s="705"/>
      <c r="W29" s="706"/>
      <c r="X29" s="1351"/>
      <c r="Y29" s="3762"/>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62"/>
      <c r="Q30" s="1348" t="str">
        <f t="shared" si="8"/>
        <v>土地级别</v>
      </c>
      <c r="R30" s="705" t="s">
        <v>14</v>
      </c>
      <c r="S30" s="706">
        <f t="shared" si="10"/>
        <v>100</v>
      </c>
      <c r="T30" s="705" t="s">
        <v>14</v>
      </c>
      <c r="U30" s="706">
        <f t="shared" si="11"/>
        <v>100</v>
      </c>
      <c r="V30" s="705" t="s">
        <v>14</v>
      </c>
      <c r="W30" s="706">
        <f t="shared" si="12"/>
        <v>100</v>
      </c>
      <c r="X30" s="1351"/>
      <c r="Y30" s="3762"/>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62"/>
      <c r="Q31" s="1348">
        <f t="shared" si="8"/>
        <v>111</v>
      </c>
      <c r="R31" s="705" t="s">
        <v>14</v>
      </c>
      <c r="S31" s="706">
        <f t="shared" si="10"/>
        <v>100</v>
      </c>
      <c r="T31" s="705" t="s">
        <v>14</v>
      </c>
      <c r="U31" s="706">
        <f t="shared" si="11"/>
        <v>100</v>
      </c>
      <c r="V31" s="705" t="s">
        <v>14</v>
      </c>
      <c r="W31" s="706">
        <f t="shared" si="12"/>
        <v>100</v>
      </c>
      <c r="X31" s="1351"/>
      <c r="Y31" s="3762"/>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85" t="s">
        <v>1696</v>
      </c>
      <c r="Q32" s="1348">
        <f t="shared" si="8"/>
        <v>111</v>
      </c>
      <c r="R32" s="705" t="s">
        <v>14</v>
      </c>
      <c r="S32" s="706">
        <f t="shared" si="10"/>
        <v>100</v>
      </c>
      <c r="T32" s="705" t="s">
        <v>14</v>
      </c>
      <c r="U32" s="706">
        <f t="shared" si="11"/>
        <v>100</v>
      </c>
      <c r="V32" s="705" t="s">
        <v>14</v>
      </c>
      <c r="W32" s="706">
        <f t="shared" si="12"/>
        <v>100</v>
      </c>
      <c r="X32" s="1351"/>
      <c r="Y32" s="3766"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66"/>
      <c r="Q33" s="1348">
        <f t="shared" si="8"/>
        <v>111</v>
      </c>
      <c r="R33" s="708" t="s">
        <v>14</v>
      </c>
      <c r="S33" s="709">
        <f t="shared" si="10"/>
        <v>100</v>
      </c>
      <c r="T33" s="708" t="s">
        <v>14</v>
      </c>
      <c r="U33" s="709">
        <f t="shared" si="11"/>
        <v>100</v>
      </c>
      <c r="V33" s="708" t="s">
        <v>14</v>
      </c>
      <c r="W33" s="709">
        <f t="shared" si="12"/>
        <v>100</v>
      </c>
      <c r="X33" s="710"/>
      <c r="Y33" s="3766"/>
      <c r="Z33" s="711">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66"/>
      <c r="Q34" s="1348" t="str">
        <f>B34</f>
        <v>宗地面积</v>
      </c>
      <c r="R34" s="705" t="s">
        <v>14</v>
      </c>
      <c r="S34" s="706" t="e">
        <f t="shared" si="10"/>
        <v>#N/A</v>
      </c>
      <c r="T34" s="705" t="s">
        <v>14</v>
      </c>
      <c r="U34" s="706" t="e">
        <f t="shared" si="11"/>
        <v>#N/A</v>
      </c>
      <c r="V34" s="705" t="s">
        <v>14</v>
      </c>
      <c r="W34" s="706" t="e">
        <f t="shared" si="12"/>
        <v>#N/A</v>
      </c>
      <c r="X34" s="1351"/>
      <c r="Y34" s="3766"/>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66"/>
      <c r="Q35" s="1348" t="str">
        <f t="shared" ref="Q35:Q40" si="14">B35</f>
        <v>宗地形状</v>
      </c>
      <c r="R35" s="705" t="s">
        <v>14</v>
      </c>
      <c r="S35" s="706">
        <f t="shared" si="10"/>
        <v>100</v>
      </c>
      <c r="T35" s="705" t="s">
        <v>14</v>
      </c>
      <c r="U35" s="706">
        <f t="shared" si="11"/>
        <v>100</v>
      </c>
      <c r="V35" s="705" t="s">
        <v>14</v>
      </c>
      <c r="W35" s="706">
        <f t="shared" si="12"/>
        <v>100</v>
      </c>
      <c r="X35" s="1351"/>
      <c r="Y35" s="3766"/>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66"/>
      <c r="Q36" s="1348" t="str">
        <f t="shared" si="14"/>
        <v>宗地开发程度</v>
      </c>
      <c r="R36" s="701" t="s">
        <v>14</v>
      </c>
      <c r="S36" s="702">
        <f t="shared" si="10"/>
        <v>100</v>
      </c>
      <c r="T36" s="701" t="s">
        <v>14</v>
      </c>
      <c r="U36" s="702">
        <f t="shared" si="11"/>
        <v>100</v>
      </c>
      <c r="V36" s="701" t="s">
        <v>14</v>
      </c>
      <c r="W36" s="702">
        <f t="shared" si="12"/>
        <v>100</v>
      </c>
      <c r="X36" s="703"/>
      <c r="Y36" s="3766"/>
      <c r="Z36" s="52" t="str">
        <f t="shared" si="13"/>
        <v>宗地开发程度</v>
      </c>
      <c r="AA36" s="704">
        <f t="shared" si="3"/>
        <v>1</v>
      </c>
      <c r="AB36" s="704">
        <f t="shared" si="4"/>
        <v>1</v>
      </c>
      <c r="AC36" s="704">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66" t="s">
        <v>1696</v>
      </c>
      <c r="Q37" s="1348" t="str">
        <f t="shared" si="14"/>
        <v>工程地质条件</v>
      </c>
      <c r="R37" s="705" t="s">
        <v>14</v>
      </c>
      <c r="S37" s="706">
        <f t="shared" si="10"/>
        <v>100</v>
      </c>
      <c r="T37" s="705" t="s">
        <v>14</v>
      </c>
      <c r="U37" s="706">
        <f t="shared" si="11"/>
        <v>100</v>
      </c>
      <c r="V37" s="705" t="s">
        <v>14</v>
      </c>
      <c r="W37" s="706">
        <f t="shared" si="12"/>
        <v>100</v>
      </c>
      <c r="X37" s="1351"/>
      <c r="Y37" s="3766"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66"/>
      <c r="Q38" s="1348">
        <f t="shared" si="14"/>
        <v>111</v>
      </c>
      <c r="R38" s="705" t="s">
        <v>14</v>
      </c>
      <c r="S38" s="706">
        <f t="shared" si="10"/>
        <v>100</v>
      </c>
      <c r="T38" s="705" t="s">
        <v>14</v>
      </c>
      <c r="U38" s="706">
        <f t="shared" si="11"/>
        <v>100</v>
      </c>
      <c r="V38" s="705" t="s">
        <v>14</v>
      </c>
      <c r="W38" s="706">
        <f t="shared" si="12"/>
        <v>100</v>
      </c>
      <c r="X38" s="1351"/>
      <c r="Y38" s="3766"/>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66"/>
      <c r="Q39" s="1348">
        <f t="shared" si="14"/>
        <v>111</v>
      </c>
      <c r="R39" s="705" t="s">
        <v>14</v>
      </c>
      <c r="S39" s="706">
        <f t="shared" si="10"/>
        <v>100</v>
      </c>
      <c r="T39" s="705" t="s">
        <v>14</v>
      </c>
      <c r="U39" s="706">
        <f t="shared" si="11"/>
        <v>100</v>
      </c>
      <c r="V39" s="705" t="s">
        <v>14</v>
      </c>
      <c r="W39" s="706">
        <f t="shared" si="12"/>
        <v>100</v>
      </c>
      <c r="X39" s="1351"/>
      <c r="Y39" s="3766"/>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66"/>
      <c r="Q40" s="1348">
        <f t="shared" si="14"/>
        <v>111</v>
      </c>
      <c r="R40" s="708" t="s">
        <v>14</v>
      </c>
      <c r="S40" s="709">
        <f t="shared" si="10"/>
        <v>100</v>
      </c>
      <c r="T40" s="708" t="s">
        <v>14</v>
      </c>
      <c r="U40" s="709">
        <f t="shared" si="11"/>
        <v>100</v>
      </c>
      <c r="V40" s="708" t="s">
        <v>14</v>
      </c>
      <c r="W40" s="709">
        <f t="shared" si="12"/>
        <v>100</v>
      </c>
      <c r="X40" s="710"/>
      <c r="Y40" s="3766"/>
      <c r="Z40" s="711">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4"/>
      <c r="L41" s="2720"/>
      <c r="M41" s="2712"/>
      <c r="N41" s="2712"/>
      <c r="O41" s="2721"/>
      <c r="P41" s="3759" t="str">
        <f>A41</f>
        <v>成交单价</v>
      </c>
      <c r="Q41" s="3759"/>
      <c r="R41" s="3754">
        <f>E41</f>
        <v>0</v>
      </c>
      <c r="S41" s="3754"/>
      <c r="T41" s="3754">
        <f>G41</f>
        <v>0</v>
      </c>
      <c r="U41" s="3754"/>
      <c r="V41" s="3754">
        <f>I41</f>
        <v>0</v>
      </c>
      <c r="W41" s="3754"/>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759" t="str">
        <f>A42</f>
        <v>比较价值（元/平方米）</v>
      </c>
      <c r="Q42" s="3759"/>
      <c r="R42" s="3787" t="e">
        <f>ROUND(PRODUCT(R41,AA7:AA40),0)</f>
        <v>#DIV/0!</v>
      </c>
      <c r="S42" s="3787"/>
      <c r="T42" s="3787" t="e">
        <f>ROUND(PRODUCT(T41,AB7:AB40),0)</f>
        <v>#DIV/0!</v>
      </c>
      <c r="U42" s="3787"/>
      <c r="V42" s="3787" t="e">
        <f>ROUND(PRODUCT(V41,AC7:AC40),0)</f>
        <v>#DIV/0!</v>
      </c>
      <c r="W42" s="378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56" t="str">
        <f>A43</f>
        <v>估价对象XX用房的比较价值（楼面单价，元/平方米）</v>
      </c>
      <c r="Q43" s="3757"/>
      <c r="R43" s="3788" t="e">
        <f>ROUND(IF(D42="简单平均",AVERAGE(R42:W42),R42*F42+T42*H42+V42*J42),0)</f>
        <v>#DIV/0!</v>
      </c>
      <c r="S43" s="3788"/>
      <c r="T43" s="3788"/>
      <c r="U43" s="3788"/>
      <c r="V43" s="3788"/>
      <c r="W43" s="3788"/>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42" t="s">
        <v>1887</v>
      </c>
      <c r="H50" s="3789"/>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0">
        <v>1</v>
      </c>
      <c r="E51" s="638">
        <f>'数据-汇总表'!E8+'数据-汇总表'!E9</f>
        <v>2447.34</v>
      </c>
      <c r="F51" s="639" t="e">
        <f t="shared" ref="F51:F60" si="15">ROUND(B51*E51/10000,0)</f>
        <v>#DIV/0!</v>
      </c>
      <c r="G51" s="3741"/>
      <c r="H51" s="3759"/>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1">
        <v>0.25</v>
      </c>
      <c r="E52" s="642"/>
      <c r="F52" s="639" t="e">
        <f t="shared" si="15"/>
        <v>#DIV/0!</v>
      </c>
      <c r="G52" s="3002" t="s">
        <v>1892</v>
      </c>
      <c r="H52" s="883">
        <f>项目基本情况!B37</f>
        <v>0</v>
      </c>
      <c r="I52" s="769">
        <f>SUMIF(修正!A57:A68,H52,修正!B57:B68)</f>
        <v>0</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1">
        <v>0.25</v>
      </c>
      <c r="E53" s="642"/>
      <c r="F53" s="639" t="e">
        <f t="shared" si="15"/>
        <v>#DIV/0!</v>
      </c>
      <c r="G53" s="3003"/>
      <c r="H53" s="883">
        <f>项目基本情况!B37</f>
        <v>0</v>
      </c>
      <c r="I53" s="769">
        <f>SUMIF(修正!A57:A68,H53,修正!C57:C68)</f>
        <v>0</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1">
        <v>0.25</v>
      </c>
      <c r="E54" s="642"/>
      <c r="F54" s="639" t="e">
        <f t="shared" si="15"/>
        <v>#DIV/0!</v>
      </c>
      <c r="G54" s="3003"/>
      <c r="H54" s="883">
        <f>项目基本情况!B37</f>
        <v>0</v>
      </c>
      <c r="I54" s="769">
        <f>SUMIF(修正!A57:A68,H54,修正!D57:D68)</f>
        <v>0</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1"/>
      <c r="E55" s="642"/>
      <c r="F55" s="639"/>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1">
        <v>0.25</v>
      </c>
      <c r="E56" s="217">
        <f>'数据-汇总表'!E11</f>
        <v>0</v>
      </c>
      <c r="F56" s="639" t="e">
        <f t="shared" si="15"/>
        <v>#DIV/0!</v>
      </c>
      <c r="G56" s="1983" t="s">
        <v>1896</v>
      </c>
      <c r="H56" s="883">
        <f>项目基本情况!C37</f>
        <v>0</v>
      </c>
      <c r="I56" s="769">
        <f>SUMIF(修正!A57:A68,H56,修正!E57:E68)</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1">
        <v>0.25</v>
      </c>
      <c r="E57" s="217">
        <f>'数据-汇总表'!E12</f>
        <v>0</v>
      </c>
      <c r="F57" s="639" t="e">
        <f t="shared" si="15"/>
        <v>#DIV/0!</v>
      </c>
      <c r="G57" s="888" t="s">
        <v>1898</v>
      </c>
      <c r="H57" s="883">
        <f>IF(G57="商业",项目基本情况!B37,IF(G57="办公",项目基本情况!C37,IF(G57="住宅",项目基本情况!D37,项目基本情况!E37)))</f>
        <v>0</v>
      </c>
      <c r="I57" s="769">
        <f>SUMIF(修正!A57:A68,H57,修正!F57:F68)</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1">
        <v>0.25</v>
      </c>
      <c r="E58" s="217">
        <f>'数据-汇总表'!E13</f>
        <v>0</v>
      </c>
      <c r="F58" s="639" t="e">
        <f t="shared" si="15"/>
        <v>#DIV/0!</v>
      </c>
      <c r="G58" s="888" t="s">
        <v>1900</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1">
        <v>0.25</v>
      </c>
      <c r="E59" s="217">
        <f>'数据-汇总表'!E14</f>
        <v>0</v>
      </c>
      <c r="F59" s="639" t="e">
        <f t="shared" si="15"/>
        <v>#DIV/0!</v>
      </c>
      <c r="G59" s="1983" t="s">
        <v>1892</v>
      </c>
      <c r="H59" s="883">
        <f>项目基本情况!B37</f>
        <v>0</v>
      </c>
      <c r="I59" s="769">
        <f>SUMIF(修正!A57:A68,H59,修正!G57:G68)</f>
        <v>0</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1">
        <v>0.25</v>
      </c>
      <c r="E60" s="217">
        <f>'数据-汇总表'!E15</f>
        <v>0</v>
      </c>
      <c r="F60" s="639" t="e">
        <f t="shared" si="15"/>
        <v>#DIV/0!</v>
      </c>
      <c r="G60" s="1984" t="s">
        <v>1896</v>
      </c>
      <c r="H60" s="893">
        <f>项目基本情况!C37</f>
        <v>0</v>
      </c>
      <c r="I60" s="769">
        <f>SUMIF(修正!A57:A68,H60,修正!G57:G68)</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5389.47</v>
      </c>
      <c r="F61" s="645"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36"/>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2083</v>
      </c>
      <c r="C1" s="3797" t="s">
        <v>2084</v>
      </c>
      <c r="D1" s="3798"/>
      <c r="E1" s="3798"/>
      <c r="F1" s="3798"/>
      <c r="G1" s="3798"/>
      <c r="H1" s="3798"/>
      <c r="I1" s="3798"/>
      <c r="J1" s="3798"/>
      <c r="K1" s="3798"/>
      <c r="L1" s="3798"/>
      <c r="M1" s="3798"/>
      <c r="N1" s="3798"/>
      <c r="O1" s="3798"/>
      <c r="P1" s="3798"/>
      <c r="Q1" s="3798"/>
      <c r="R1" s="3798"/>
      <c r="S1" s="3799"/>
      <c r="T1" s="979" t="s">
        <v>2085</v>
      </c>
    </row>
    <row r="2" spans="1:45" s="655" customFormat="1">
      <c r="A2" s="980"/>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2095</v>
      </c>
      <c r="E19" s="1336"/>
      <c r="F19" s="1336"/>
      <c r="G19" s="1336"/>
      <c r="H19" s="1055"/>
      <c r="I19" s="159"/>
      <c r="J19" s="159"/>
      <c r="K19" s="159"/>
      <c r="L19" s="159"/>
      <c r="M19" s="159"/>
      <c r="N19" s="159"/>
      <c r="O19" s="159"/>
      <c r="P19" s="159"/>
      <c r="Q19" s="159"/>
      <c r="R19" s="718"/>
      <c r="S19" s="129"/>
    </row>
    <row r="20" spans="1:45" ht="16.5" thickBot="1">
      <c r="A20" s="662" t="s">
        <v>2096</v>
      </c>
      <c r="B20" s="294" t="e">
        <f ca="1">IF(D20="——",S22,S22-F20)</f>
        <v>#REF!</v>
      </c>
      <c r="C20" s="159"/>
      <c r="D20" s="2147"/>
      <c r="E20" s="1337"/>
      <c r="F20" s="979" t="e">
        <f ca="1">SUMIF(INDIRECT("'"&amp;H20&amp;"'"&amp;"!A:A"),"承租人权益价值",INDIRECT("'"&amp;H20&amp;"'"&amp;"!c:c"))</f>
        <v>#REF!</v>
      </c>
      <c r="G20" s="979"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4" t="s">
        <v>27</v>
      </c>
      <c r="D22" s="3795"/>
      <c r="E22" s="3795"/>
      <c r="F22" s="3795"/>
      <c r="G22" s="3795"/>
      <c r="H22" s="3795"/>
      <c r="I22" s="3795"/>
      <c r="J22" s="3795"/>
      <c r="K22" s="3795"/>
      <c r="L22" s="3795"/>
      <c r="M22" s="3795"/>
      <c r="N22" s="3795"/>
      <c r="O22" s="3795"/>
      <c r="P22" s="3795"/>
      <c r="Q22" s="379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593</v>
      </c>
      <c r="C2" s="2141" t="s">
        <v>2074</v>
      </c>
      <c r="D2" s="2141" t="s">
        <v>2075</v>
      </c>
      <c r="E2" s="2608">
        <f ca="1">SUMIF(E6:E13,"&lt;&gt;#ref!",E6:E13)</f>
        <v>5389.47</v>
      </c>
      <c r="F2" s="2789"/>
      <c r="G2" s="2789"/>
      <c r="H2" s="2789"/>
      <c r="I2" s="2789"/>
      <c r="J2" s="2789"/>
      <c r="K2" s="2789"/>
      <c r="L2" s="2789"/>
      <c r="M2" s="2789"/>
      <c r="N2" s="2789"/>
      <c r="O2" s="2789"/>
      <c r="P2" s="2789"/>
    </row>
    <row r="3" spans="1:16" ht="15.75">
      <c r="A3" s="2141" t="s">
        <v>2076</v>
      </c>
      <c r="B3" s="2598">
        <f ca="1">ROUND(B2*10000/E2,0)</f>
        <v>1100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593</v>
      </c>
      <c r="C6" s="2141" t="s">
        <v>2074</v>
      </c>
      <c r="D6" s="2789"/>
      <c r="E6" s="2608">
        <f ca="1">SUMIF(INDIRECT("'"&amp;A6&amp;"'"&amp;"!C:C"),"建筑面积",INDIRECT("'"&amp;A6&amp;"'"&amp;"!D:D"))</f>
        <v>5389.47</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89"/>
      <c r="B4" s="3492" t="s">
        <v>917</v>
      </c>
      <c r="C4" s="3492"/>
      <c r="D4" s="3492"/>
      <c r="E4" s="1489"/>
    </row>
    <row r="5" spans="1:5" ht="16.5" thickTop="1">
      <c r="A5" s="1487"/>
      <c r="B5" s="3490" t="s">
        <v>909</v>
      </c>
      <c r="C5" s="1490" t="s">
        <v>910</v>
      </c>
      <c r="D5" s="846">
        <f ca="1">结果表!H101</f>
        <v>1404</v>
      </c>
      <c r="E5" s="1487"/>
    </row>
    <row r="6" spans="1:5" ht="15.75">
      <c r="A6" s="1487"/>
      <c r="B6" s="3490"/>
      <c r="C6" s="1490" t="s">
        <v>911</v>
      </c>
      <c r="D6" s="846" t="str">
        <f ca="1">NUMBERSTRING(INT(D5*10000),2)&amp;"元整"</f>
        <v>壹仟肆佰零肆万元整</v>
      </c>
      <c r="E6" s="1487"/>
    </row>
    <row r="7" spans="1:5" ht="15.75">
      <c r="A7" s="1487"/>
      <c r="B7" s="3495"/>
      <c r="C7" s="1491" t="s">
        <v>912</v>
      </c>
      <c r="D7" s="847">
        <f ca="1">结果表!H102</f>
        <v>5737</v>
      </c>
      <c r="E7" s="1487"/>
    </row>
    <row r="8" spans="1:5" ht="15.75">
      <c r="A8" s="1487"/>
      <c r="B8" s="3496" t="str">
        <f>结果表!E103</f>
        <v>2.估价师知悉的法定优先受偿款</v>
      </c>
      <c r="C8" s="1492" t="s">
        <v>913</v>
      </c>
      <c r="D8" s="847">
        <f>结果表!H103</f>
        <v>0</v>
      </c>
      <c r="E8" s="1487"/>
    </row>
    <row r="9" spans="1:5" ht="15.75">
      <c r="A9" s="1487"/>
      <c r="B9" s="3498"/>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489" t="str">
        <f>结果表!E107</f>
        <v>3.房地产抵押价值</v>
      </c>
      <c r="C13" s="1495" t="s">
        <v>910</v>
      </c>
      <c r="D13" s="849">
        <f ca="1">结果表!H107</f>
        <v>1404</v>
      </c>
      <c r="E13" s="1487"/>
    </row>
    <row r="14" spans="1:5" ht="15.75">
      <c r="A14" s="1487"/>
      <c r="B14" s="3490"/>
      <c r="C14" s="1490" t="s">
        <v>911</v>
      </c>
      <c r="D14" s="846" t="str">
        <f ca="1">NUMBERSTRING(INT(D13*10000),2)&amp;"元整"</f>
        <v>壹仟肆佰零肆万元整</v>
      </c>
      <c r="E14" s="1487"/>
    </row>
    <row r="15" spans="1:5" ht="15">
      <c r="A15" s="1487"/>
      <c r="B15" s="3495"/>
      <c r="C15" s="1491" t="s">
        <v>921</v>
      </c>
      <c r="D15" s="855">
        <f ca="1">结果表!H108</f>
        <v>5737</v>
      </c>
      <c r="E15" s="1487"/>
    </row>
    <row r="16" spans="1:5" ht="15">
      <c r="A16" s="1487"/>
      <c r="B16" s="3496" t="str">
        <f>结果表!E109</f>
        <v>——</v>
      </c>
      <c r="C16" s="1495" t="s">
        <v>922</v>
      </c>
      <c r="D16" s="1496" t="str">
        <f>结果表!H109</f>
        <v>——</v>
      </c>
      <c r="E16" s="1487"/>
    </row>
    <row r="17" spans="1:5" ht="15.75">
      <c r="A17" s="1487"/>
      <c r="B17" s="3497"/>
      <c r="C17" s="1490" t="s">
        <v>923</v>
      </c>
      <c r="D17" s="846" t="e">
        <f>NUMBERSTRING(INT(D16*10000),2)&amp;"元整"</f>
        <v>#VALUE!</v>
      </c>
      <c r="E17" s="1487"/>
    </row>
    <row r="18" spans="1:5" ht="15">
      <c r="A18" s="1487"/>
      <c r="B18" s="3498"/>
      <c r="C18" s="1491" t="s">
        <v>912</v>
      </c>
      <c r="D18" s="855" t="str">
        <f>结果表!H110</f>
        <v>——</v>
      </c>
      <c r="E18" s="1487"/>
    </row>
    <row r="19" spans="1:5" ht="15.75">
      <c r="A19" s="1487"/>
      <c r="B19" s="3489" t="str">
        <f>结果表!E111</f>
        <v>——</v>
      </c>
      <c r="C19" s="1495" t="s">
        <v>910</v>
      </c>
      <c r="D19" s="847" t="str">
        <f>结果表!H111</f>
        <v>——</v>
      </c>
      <c r="E19" s="1487"/>
    </row>
    <row r="20" spans="1:5" ht="15.75">
      <c r="A20" s="1487"/>
      <c r="B20" s="3490"/>
      <c r="C20" s="1490" t="s">
        <v>923</v>
      </c>
      <c r="D20" s="846" t="e">
        <f>NUMBERSTRING(INT(D19*10000),2)&amp;"元整"</f>
        <v>#VALUE!</v>
      </c>
      <c r="E20" s="1487"/>
    </row>
    <row r="21" spans="1:5" ht="15.75" thickBot="1">
      <c r="A21" s="1487"/>
      <c r="B21" s="3491"/>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2598</v>
      </c>
      <c r="B1" s="3068" t="s">
        <v>2599</v>
      </c>
      <c r="C1" s="3068" t="s">
        <v>2600</v>
      </c>
      <c r="D1" s="3068" t="s">
        <v>2601</v>
      </c>
      <c r="E1" s="3068" t="s">
        <v>2602</v>
      </c>
      <c r="F1" s="3068" t="s">
        <v>2603</v>
      </c>
      <c r="G1" s="3068" t="s">
        <v>2604</v>
      </c>
      <c r="H1" s="3068" t="s">
        <v>2605</v>
      </c>
      <c r="I1" s="3068" t="s">
        <v>2606</v>
      </c>
      <c r="J1" s="3068" t="s">
        <v>2607</v>
      </c>
      <c r="K1" s="3068" t="s">
        <v>2608</v>
      </c>
      <c r="L1" s="3068" t="s">
        <v>2609</v>
      </c>
      <c r="M1" s="3069" t="s">
        <v>2610</v>
      </c>
    </row>
    <row r="2" spans="1:13" ht="19.5" customHeight="1">
      <c r="A2" s="3071" t="s">
        <v>2611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2620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2627</v>
      </c>
      <c r="B18" s="3093"/>
      <c r="C18" s="3094"/>
      <c r="D18" s="3094"/>
      <c r="E18" s="3093"/>
      <c r="F18" s="3094"/>
      <c r="G18" s="3094"/>
    </row>
    <row r="19" spans="1:13" ht="19.5" customHeight="1" thickBot="1">
      <c r="A19" s="3091" t="s">
        <v>2628</v>
      </c>
      <c r="B19" s="3096" t="s">
        <v>2629</v>
      </c>
      <c r="C19" s="3096" t="s">
        <v>2630</v>
      </c>
      <c r="D19" s="3097"/>
      <c r="E19" s="3091" t="s">
        <v>2631</v>
      </c>
      <c r="F19" s="3098"/>
      <c r="G19" s="3098"/>
    </row>
    <row r="20" spans="1:13" ht="19.5" customHeight="1">
      <c r="A20" s="3807" t="s">
        <v>2611</v>
      </c>
      <c r="B20" s="3800" t="s">
        <v>2632</v>
      </c>
      <c r="C20" s="3099" t="s">
        <v>2443</v>
      </c>
      <c r="D20" s="3100"/>
      <c r="E20" s="3101">
        <v>1</v>
      </c>
      <c r="F20" s="3102" t="s">
        <v>2444</v>
      </c>
      <c r="G20" s="3102"/>
    </row>
    <row r="21" spans="1:13" ht="19.5" customHeight="1">
      <c r="A21" s="3808"/>
      <c r="B21" s="3801"/>
      <c r="C21" s="3103" t="s">
        <v>2445</v>
      </c>
      <c r="D21" s="3104"/>
      <c r="E21" s="3105">
        <v>1</v>
      </c>
      <c r="F21" s="3102" t="s">
        <v>2446</v>
      </c>
      <c r="G21" s="3102"/>
    </row>
    <row r="22" spans="1:13" ht="19.5" customHeight="1">
      <c r="A22" s="3808"/>
      <c r="B22" s="3801"/>
      <c r="C22" s="3103" t="s">
        <v>2447</v>
      </c>
      <c r="D22" s="3104"/>
      <c r="E22" s="3105">
        <v>0.9</v>
      </c>
      <c r="F22" s="3102" t="s">
        <v>2448</v>
      </c>
      <c r="G22" s="3102"/>
    </row>
    <row r="23" spans="1:13" ht="19.5" customHeight="1">
      <c r="A23" s="3808"/>
      <c r="B23" s="3801"/>
      <c r="C23" s="3103" t="s">
        <v>2449</v>
      </c>
      <c r="D23" s="3104"/>
      <c r="E23" s="3105">
        <v>0.9</v>
      </c>
      <c r="F23" s="3102" t="s">
        <v>2450</v>
      </c>
      <c r="G23" s="3102"/>
    </row>
    <row r="24" spans="1:13" ht="19.5" customHeight="1">
      <c r="A24" s="3808"/>
      <c r="B24" s="3801"/>
      <c r="C24" s="3103" t="s">
        <v>2451</v>
      </c>
      <c r="D24" s="3104"/>
      <c r="E24" s="3105">
        <v>0.8</v>
      </c>
      <c r="F24" s="3102" t="s">
        <v>2452</v>
      </c>
      <c r="G24" s="3102"/>
    </row>
    <row r="25" spans="1:13" ht="19.5" customHeight="1" thickBot="1">
      <c r="A25" s="3809"/>
      <c r="B25" s="3802"/>
      <c r="C25" s="3106" t="s">
        <v>2453</v>
      </c>
      <c r="D25" s="3107"/>
      <c r="E25" s="3108">
        <v>0.8</v>
      </c>
      <c r="F25" s="3102" t="s">
        <v>2454</v>
      </c>
      <c r="G25" s="3102"/>
    </row>
    <row r="26" spans="1:13" ht="19.5" customHeight="1" thickBot="1">
      <c r="A26" s="3109" t="s">
        <v>2633</v>
      </c>
      <c r="B26" s="3110" t="s">
        <v>2632</v>
      </c>
      <c r="C26" s="3111" t="s">
        <v>2634</v>
      </c>
      <c r="D26" s="3112"/>
      <c r="E26" s="3113">
        <v>1</v>
      </c>
      <c r="F26" s="3102" t="s">
        <v>2455</v>
      </c>
      <c r="G26" s="3102"/>
    </row>
    <row r="27" spans="1:13" ht="19.5" customHeight="1">
      <c r="A27" s="3803" t="s">
        <v>2635</v>
      </c>
      <c r="B27" s="3800" t="s">
        <v>2616</v>
      </c>
      <c r="C27" s="3099" t="s">
        <v>2456</v>
      </c>
      <c r="D27" s="3100"/>
      <c r="E27" s="3101">
        <v>1</v>
      </c>
      <c r="F27" s="3102" t="s">
        <v>2457</v>
      </c>
      <c r="G27" s="3102"/>
    </row>
    <row r="28" spans="1:13" ht="19.5" customHeight="1">
      <c r="A28" s="3804"/>
      <c r="B28" s="3801"/>
      <c r="C28" s="3103" t="s">
        <v>2458</v>
      </c>
      <c r="D28" s="3104"/>
      <c r="E28" s="3105">
        <v>1</v>
      </c>
      <c r="F28" s="3102" t="s">
        <v>2459</v>
      </c>
      <c r="G28" s="3102"/>
    </row>
    <row r="29" spans="1:13" ht="19.5" customHeight="1">
      <c r="A29" s="3804"/>
      <c r="B29" s="3801"/>
      <c r="C29" s="3103" t="s">
        <v>2460</v>
      </c>
      <c r="D29" s="3104"/>
      <c r="E29" s="3105">
        <v>0.8</v>
      </c>
      <c r="F29" s="3102" t="s">
        <v>2461</v>
      </c>
      <c r="G29" s="3102"/>
    </row>
    <row r="30" spans="1:13" ht="19.5" customHeight="1">
      <c r="A30" s="3804"/>
      <c r="B30" s="3801"/>
      <c r="C30" s="3103" t="s">
        <v>2462</v>
      </c>
      <c r="D30" s="3104"/>
      <c r="E30" s="3105">
        <v>0.8</v>
      </c>
      <c r="F30" s="3102" t="s">
        <v>2463</v>
      </c>
      <c r="G30" s="3102"/>
    </row>
    <row r="31" spans="1:13" ht="19.5" customHeight="1">
      <c r="A31" s="3804"/>
      <c r="B31" s="3801"/>
      <c r="C31" s="3103" t="s">
        <v>2464</v>
      </c>
      <c r="D31" s="3104"/>
      <c r="E31" s="3105">
        <v>0.8</v>
      </c>
      <c r="F31" s="3102" t="s">
        <v>2465</v>
      </c>
      <c r="G31" s="3102"/>
    </row>
    <row r="32" spans="1:13" ht="19.5" customHeight="1">
      <c r="A32" s="3804"/>
      <c r="B32" s="3801"/>
      <c r="C32" s="3103" t="s">
        <v>2466</v>
      </c>
      <c r="D32" s="3104"/>
      <c r="E32" s="3105">
        <v>0.7</v>
      </c>
      <c r="F32" s="3102" t="s">
        <v>2467</v>
      </c>
      <c r="G32" s="3102"/>
    </row>
    <row r="33" spans="1:7" ht="19.5" customHeight="1">
      <c r="A33" s="3804"/>
      <c r="B33" s="3801"/>
      <c r="C33" s="3103" t="s">
        <v>2468</v>
      </c>
      <c r="D33" s="3104"/>
      <c r="E33" s="3105">
        <v>0.8</v>
      </c>
      <c r="F33" s="3102" t="s">
        <v>2469</v>
      </c>
      <c r="G33" s="3102"/>
    </row>
    <row r="34" spans="1:7" ht="19.5" customHeight="1">
      <c r="A34" s="3804"/>
      <c r="B34" s="3801"/>
      <c r="C34" s="3103" t="s">
        <v>2470</v>
      </c>
      <c r="D34" s="3104"/>
      <c r="E34" s="3105">
        <v>0.6</v>
      </c>
      <c r="F34" s="3102" t="s">
        <v>2471</v>
      </c>
      <c r="G34" s="3102"/>
    </row>
    <row r="35" spans="1:7" ht="19.5" customHeight="1">
      <c r="A35" s="3804"/>
      <c r="B35" s="3801"/>
      <c r="C35" s="3103" t="s">
        <v>2472</v>
      </c>
      <c r="D35" s="3104"/>
      <c r="E35" s="3105">
        <v>0.2</v>
      </c>
      <c r="F35" s="3102" t="s">
        <v>2473</v>
      </c>
      <c r="G35" s="3102"/>
    </row>
    <row r="36" spans="1:7" ht="19.5" customHeight="1">
      <c r="A36" s="3804"/>
      <c r="B36" s="3801"/>
      <c r="C36" s="3103" t="s">
        <v>2474</v>
      </c>
      <c r="D36" s="3104"/>
      <c r="E36" s="3105">
        <v>0.2</v>
      </c>
      <c r="F36" s="3102" t="s">
        <v>2475</v>
      </c>
      <c r="G36" s="3102"/>
    </row>
    <row r="37" spans="1:7" ht="19.5" customHeight="1">
      <c r="A37" s="3804"/>
      <c r="B37" s="3806" t="s">
        <v>2636</v>
      </c>
      <c r="C37" s="3103" t="s">
        <v>2476</v>
      </c>
      <c r="D37" s="3104"/>
      <c r="E37" s="3105">
        <v>0.6</v>
      </c>
      <c r="F37" s="3102" t="s">
        <v>2477</v>
      </c>
      <c r="G37" s="3102"/>
    </row>
    <row r="38" spans="1:7" ht="19.5" customHeight="1">
      <c r="A38" s="3804"/>
      <c r="B38" s="3801"/>
      <c r="C38" s="3103" t="s">
        <v>2478</v>
      </c>
      <c r="D38" s="3104"/>
      <c r="E38" s="3105">
        <v>0.6</v>
      </c>
      <c r="F38" s="3102" t="s">
        <v>2479</v>
      </c>
      <c r="G38" s="3102"/>
    </row>
    <row r="39" spans="1:7" ht="19.5" customHeight="1" thickBot="1">
      <c r="A39" s="3805"/>
      <c r="B39" s="3802"/>
      <c r="C39" s="3106" t="s">
        <v>2480</v>
      </c>
      <c r="D39" s="3107"/>
      <c r="E39" s="3108">
        <v>0.6</v>
      </c>
      <c r="F39" s="3102" t="s">
        <v>2481</v>
      </c>
      <c r="G39" s="3102"/>
    </row>
    <row r="40" spans="1:7" ht="19.5" customHeight="1" thickBot="1">
      <c r="A40" s="3109" t="s">
        <v>2613</v>
      </c>
      <c r="B40" s="3110" t="s">
        <v>2613</v>
      </c>
      <c r="C40" s="3111" t="s">
        <v>2637</v>
      </c>
      <c r="D40" s="3112"/>
      <c r="E40" s="3113">
        <v>1</v>
      </c>
      <c r="F40" s="3102" t="s">
        <v>2482</v>
      </c>
      <c r="G40" s="3102"/>
    </row>
    <row r="41" spans="1:7" ht="19.5" customHeight="1">
      <c r="A41" s="3807" t="s">
        <v>2614</v>
      </c>
      <c r="B41" s="3800" t="s">
        <v>2638</v>
      </c>
      <c r="C41" s="3099" t="s">
        <v>2483</v>
      </c>
      <c r="D41" s="3100"/>
      <c r="E41" s="3101">
        <v>1</v>
      </c>
      <c r="F41" s="3102" t="s">
        <v>2484</v>
      </c>
      <c r="G41" s="3102"/>
    </row>
    <row r="42" spans="1:7" ht="19.5" customHeight="1">
      <c r="A42" s="3808"/>
      <c r="B42" s="3801"/>
      <c r="C42" s="3103" t="s">
        <v>2485</v>
      </c>
      <c r="D42" s="3104"/>
      <c r="E42" s="3105">
        <v>1</v>
      </c>
      <c r="F42" s="3102" t="s">
        <v>2486</v>
      </c>
      <c r="G42" s="3102"/>
    </row>
    <row r="43" spans="1:7" ht="19.5" customHeight="1">
      <c r="A43" s="3808"/>
      <c r="B43" s="3810"/>
      <c r="C43" s="3103" t="s">
        <v>2487</v>
      </c>
      <c r="D43" s="3104"/>
      <c r="E43" s="3105">
        <v>1.5</v>
      </c>
      <c r="F43" s="3102" t="s">
        <v>2488</v>
      </c>
      <c r="G43" s="3102"/>
    </row>
    <row r="44" spans="1:7" ht="19.5" customHeight="1">
      <c r="A44" s="3808"/>
      <c r="B44" s="3114" t="s">
        <v>2639</v>
      </c>
      <c r="C44" s="3103" t="s">
        <v>2640</v>
      </c>
      <c r="D44" s="3104"/>
      <c r="E44" s="3105">
        <v>2</v>
      </c>
      <c r="F44" s="3102" t="s">
        <v>2489</v>
      </c>
      <c r="G44" s="3102"/>
    </row>
    <row r="45" spans="1:7" ht="19.5" customHeight="1">
      <c r="A45" s="3808"/>
      <c r="B45" s="3806" t="s">
        <v>2641</v>
      </c>
      <c r="C45" s="3103" t="s">
        <v>2490</v>
      </c>
      <c r="D45" s="3104"/>
      <c r="E45" s="3105">
        <v>1</v>
      </c>
      <c r="F45" s="3102" t="s">
        <v>2491</v>
      </c>
      <c r="G45" s="3102"/>
    </row>
    <row r="46" spans="1:7" ht="19.5" customHeight="1">
      <c r="A46" s="3808"/>
      <c r="B46" s="3801"/>
      <c r="C46" s="3103" t="s">
        <v>2492</v>
      </c>
      <c r="D46" s="3104"/>
      <c r="E46" s="3105">
        <v>1</v>
      </c>
      <c r="F46" s="3102" t="s">
        <v>2493</v>
      </c>
      <c r="G46" s="3102"/>
    </row>
    <row r="47" spans="1:7" ht="19.5" customHeight="1">
      <c r="A47" s="3808"/>
      <c r="B47" s="3801"/>
      <c r="C47" s="3103" t="s">
        <v>2494</v>
      </c>
      <c r="D47" s="3104"/>
      <c r="E47" s="3105">
        <v>1</v>
      </c>
      <c r="F47" s="3102" t="s">
        <v>2495</v>
      </c>
      <c r="G47" s="3102"/>
    </row>
    <row r="48" spans="1:7" ht="19.5" customHeight="1">
      <c r="A48" s="3808"/>
      <c r="B48" s="3801"/>
      <c r="C48" s="3103" t="s">
        <v>2496</v>
      </c>
      <c r="D48" s="3104"/>
      <c r="E48" s="3105">
        <v>1</v>
      </c>
      <c r="F48" s="3102" t="s">
        <v>2497</v>
      </c>
      <c r="G48" s="3102"/>
    </row>
    <row r="49" spans="1:7" ht="19.5" customHeight="1">
      <c r="A49" s="3808"/>
      <c r="B49" s="3801"/>
      <c r="C49" s="3103" t="s">
        <v>2498</v>
      </c>
      <c r="D49" s="3104"/>
      <c r="E49" s="3105">
        <v>1</v>
      </c>
      <c r="F49" s="3102" t="s">
        <v>2499</v>
      </c>
      <c r="G49" s="3102"/>
    </row>
    <row r="50" spans="1:7" ht="19.5" customHeight="1">
      <c r="A50" s="3808"/>
      <c r="B50" s="3801"/>
      <c r="C50" s="3103" t="s">
        <v>2500</v>
      </c>
      <c r="D50" s="3104"/>
      <c r="E50" s="3105">
        <v>1</v>
      </c>
      <c r="F50" s="3102" t="s">
        <v>2501</v>
      </c>
      <c r="G50" s="3102"/>
    </row>
    <row r="51" spans="1:7" ht="19.5" customHeight="1" thickBot="1">
      <c r="A51" s="3809"/>
      <c r="B51" s="3802"/>
      <c r="C51" s="3106" t="s">
        <v>2502</v>
      </c>
      <c r="D51" s="3107"/>
      <c r="E51" s="3108">
        <v>1</v>
      </c>
      <c r="F51" s="3102" t="s">
        <v>2503</v>
      </c>
      <c r="G51" s="3102"/>
    </row>
    <row r="52" spans="1:7" ht="19.5" customHeight="1">
      <c r="A52" s="3115"/>
      <c r="B52" s="3115"/>
      <c r="C52" s="3115"/>
      <c r="D52" s="3115"/>
      <c r="E52" s="3115"/>
      <c r="F52" s="3115"/>
      <c r="G52" s="3115"/>
    </row>
    <row r="54" spans="1:7" ht="19.5" customHeight="1">
      <c r="A54" s="3116"/>
      <c r="B54" s="3088" t="s">
        <v>2642</v>
      </c>
      <c r="C54" s="3088" t="s">
        <v>2642</v>
      </c>
      <c r="D54" s="3088" t="s">
        <v>2642</v>
      </c>
      <c r="E54" s="3091" t="s">
        <v>2642</v>
      </c>
      <c r="F54" s="3091" t="s">
        <v>2643</v>
      </c>
      <c r="G54" s="3091" t="s">
        <v>2644</v>
      </c>
    </row>
    <row r="55" spans="1:7" ht="19.5" customHeight="1">
      <c r="A55" s="3117"/>
      <c r="B55" s="3091" t="s">
        <v>2611</v>
      </c>
      <c r="C55" s="3091" t="s">
        <v>2611</v>
      </c>
      <c r="D55" s="3091" t="s">
        <v>2611</v>
      </c>
      <c r="E55" s="3088" t="s">
        <v>2612</v>
      </c>
      <c r="F55" s="3088" t="s">
        <v>2614</v>
      </c>
      <c r="G55" s="3088" t="s">
        <v>2645</v>
      </c>
    </row>
    <row r="56" spans="1:7" ht="19.5" customHeight="1">
      <c r="A56" s="3118"/>
      <c r="B56" s="3088">
        <v>1</v>
      </c>
      <c r="C56" s="3088">
        <v>2</v>
      </c>
      <c r="D56" s="3088">
        <v>3</v>
      </c>
      <c r="E56" s="3119" t="s">
        <v>2646</v>
      </c>
      <c r="F56" s="3119" t="s">
        <v>2646</v>
      </c>
      <c r="G56" s="3119" t="s">
        <v>2646</v>
      </c>
    </row>
    <row r="57" spans="1:7" ht="19.5" customHeight="1">
      <c r="A57" s="3120" t="s">
        <v>2599</v>
      </c>
      <c r="B57" s="3088">
        <v>0.7</v>
      </c>
      <c r="C57" s="3088">
        <v>0.4</v>
      </c>
      <c r="D57" s="3088">
        <v>0.3</v>
      </c>
      <c r="E57" s="3119">
        <v>0.3</v>
      </c>
      <c r="F57" s="3088">
        <v>0.3</v>
      </c>
      <c r="G57" s="3088">
        <v>0.2</v>
      </c>
    </row>
    <row r="58" spans="1:7" ht="19.5" customHeight="1">
      <c r="A58" s="3120" t="s">
        <v>2600</v>
      </c>
      <c r="B58" s="3088">
        <v>0.7</v>
      </c>
      <c r="C58" s="3088">
        <v>0.4</v>
      </c>
      <c r="D58" s="3088">
        <v>0.3</v>
      </c>
      <c r="E58" s="3088">
        <v>0.3</v>
      </c>
      <c r="F58" s="3088">
        <v>0.3</v>
      </c>
      <c r="G58" s="3088">
        <v>0.2</v>
      </c>
    </row>
    <row r="59" spans="1:7" ht="19.5" customHeight="1">
      <c r="A59" s="3120" t="s">
        <v>2601</v>
      </c>
      <c r="B59" s="3088">
        <v>0.6</v>
      </c>
      <c r="C59" s="3088">
        <v>0.3</v>
      </c>
      <c r="D59" s="3088">
        <v>0.25</v>
      </c>
      <c r="E59" s="3088">
        <v>0.25</v>
      </c>
      <c r="F59" s="3088">
        <v>0.25</v>
      </c>
      <c r="G59" s="3088">
        <v>0.15</v>
      </c>
    </row>
    <row r="60" spans="1:7" ht="19.5" customHeight="1">
      <c r="A60" s="3120" t="s">
        <v>2602</v>
      </c>
      <c r="B60" s="3088">
        <v>0.6</v>
      </c>
      <c r="C60" s="3088">
        <v>0.3</v>
      </c>
      <c r="D60" s="3088">
        <v>0.25</v>
      </c>
      <c r="E60" s="3088">
        <v>0.25</v>
      </c>
      <c r="F60" s="3088">
        <v>0.25</v>
      </c>
      <c r="G60" s="3088">
        <v>0.15</v>
      </c>
    </row>
    <row r="61" spans="1:7" ht="19.5" customHeight="1">
      <c r="A61" s="3120" t="s">
        <v>2603</v>
      </c>
      <c r="B61" s="3088">
        <v>0.6</v>
      </c>
      <c r="C61" s="3088">
        <v>0.3</v>
      </c>
      <c r="D61" s="3088">
        <v>0.25</v>
      </c>
      <c r="E61" s="3088">
        <v>0.25</v>
      </c>
      <c r="F61" s="3088">
        <v>0.25</v>
      </c>
      <c r="G61" s="3088">
        <v>0.15</v>
      </c>
    </row>
    <row r="62" spans="1:7" ht="19.5" customHeight="1">
      <c r="A62" s="3120" t="s">
        <v>2604</v>
      </c>
      <c r="B62" s="3088">
        <v>0.6</v>
      </c>
      <c r="C62" s="3088">
        <v>0.3</v>
      </c>
      <c r="D62" s="3088">
        <v>0.25</v>
      </c>
      <c r="E62" s="3088">
        <v>0.25</v>
      </c>
      <c r="F62" s="3088">
        <v>0.25</v>
      </c>
      <c r="G62" s="3088">
        <v>0.15</v>
      </c>
    </row>
    <row r="63" spans="1:7" ht="19.5" customHeight="1">
      <c r="A63" s="3120" t="s">
        <v>2605</v>
      </c>
      <c r="B63" s="3088">
        <v>0.6</v>
      </c>
      <c r="C63" s="3088">
        <v>0.3</v>
      </c>
      <c r="D63" s="3088">
        <v>0.25</v>
      </c>
      <c r="E63" s="3088">
        <v>0.25</v>
      </c>
      <c r="F63" s="3088">
        <v>0.25</v>
      </c>
      <c r="G63" s="3088">
        <v>0.15</v>
      </c>
    </row>
    <row r="64" spans="1:7" ht="19.5" customHeight="1">
      <c r="A64" s="3120" t="s">
        <v>2606</v>
      </c>
      <c r="B64" s="3088">
        <v>0.5</v>
      </c>
      <c r="C64" s="3088">
        <v>0.2</v>
      </c>
      <c r="D64" s="3088">
        <v>0.2</v>
      </c>
      <c r="E64" s="3088">
        <v>0.2</v>
      </c>
      <c r="F64" s="3088">
        <v>0.2</v>
      </c>
      <c r="G64" s="3088">
        <v>0.1</v>
      </c>
    </row>
    <row r="65" spans="1:7" ht="19.5" customHeight="1">
      <c r="A65" s="3120" t="s">
        <v>2607</v>
      </c>
      <c r="B65" s="3088">
        <v>0.5</v>
      </c>
      <c r="C65" s="3088">
        <v>0.2</v>
      </c>
      <c r="D65" s="3088">
        <v>0.2</v>
      </c>
      <c r="E65" s="3088">
        <v>0.2</v>
      </c>
      <c r="F65" s="3088">
        <v>0.2</v>
      </c>
      <c r="G65" s="3088">
        <v>0.1</v>
      </c>
    </row>
    <row r="66" spans="1:7" ht="19.5" customHeight="1">
      <c r="A66" s="3120" t="s">
        <v>2608</v>
      </c>
      <c r="B66" s="3088">
        <v>0.5</v>
      </c>
      <c r="C66" s="3088">
        <v>0.2</v>
      </c>
      <c r="D66" s="3088">
        <v>0.2</v>
      </c>
      <c r="E66" s="3088">
        <v>0.2</v>
      </c>
      <c r="F66" s="3088">
        <v>0.2</v>
      </c>
      <c r="G66" s="3088">
        <v>0.1</v>
      </c>
    </row>
    <row r="67" spans="1:7" ht="19.5" customHeight="1">
      <c r="A67" s="3120" t="s">
        <v>2609</v>
      </c>
      <c r="B67" s="3088">
        <v>0.5</v>
      </c>
      <c r="C67" s="3088">
        <v>0.2</v>
      </c>
      <c r="D67" s="3088">
        <v>0.2</v>
      </c>
      <c r="E67" s="3088">
        <v>0.2</v>
      </c>
      <c r="F67" s="3088">
        <v>0.2</v>
      </c>
      <c r="G67" s="3088">
        <v>0.1</v>
      </c>
    </row>
    <row r="68" spans="1:7" ht="19.5" customHeight="1">
      <c r="A68" s="3120" t="s">
        <v>2610</v>
      </c>
      <c r="B68" s="3088">
        <v>0.5</v>
      </c>
      <c r="C68" s="3088">
        <v>0.2</v>
      </c>
      <c r="D68" s="3088">
        <v>0.2</v>
      </c>
      <c r="E68" s="3088">
        <v>0.2</v>
      </c>
      <c r="F68" s="3088">
        <v>0.2</v>
      </c>
      <c r="G68" s="3088">
        <v>0.1</v>
      </c>
    </row>
    <row r="70" spans="1:7" ht="19.5" customHeight="1">
      <c r="A70" s="3121"/>
      <c r="B70" s="3122"/>
      <c r="C70" s="3122"/>
      <c r="D70" s="3122" t="s">
        <v>2647</v>
      </c>
      <c r="E70" s="3122"/>
      <c r="F70" s="3122"/>
    </row>
    <row r="71" spans="1:7" ht="19.5" customHeight="1">
      <c r="A71" s="3114" t="s">
        <v>2648</v>
      </c>
      <c r="B71" s="3114" t="s">
        <v>2649</v>
      </c>
      <c r="C71" s="3114" t="s">
        <v>2650</v>
      </c>
      <c r="D71" s="3114" t="s">
        <v>2651</v>
      </c>
      <c r="E71" s="3114" t="s">
        <v>2652</v>
      </c>
      <c r="F71" s="3114" t="s">
        <v>2653</v>
      </c>
    </row>
    <row r="72" spans="1:7" ht="13.5">
      <c r="A72" s="3114"/>
      <c r="B72" s="3114"/>
      <c r="C72" s="3114" t="s">
        <v>2654</v>
      </c>
      <c r="D72" s="3114"/>
      <c r="E72" s="3114" t="s">
        <v>2625</v>
      </c>
      <c r="F72" s="3114" t="s">
        <v>2625</v>
      </c>
    </row>
    <row r="73" spans="1:7" ht="13.5">
      <c r="A73" s="3114">
        <v>1</v>
      </c>
      <c r="B73" s="3806" t="s">
        <v>2655</v>
      </c>
      <c r="C73" s="3088" t="s">
        <v>2656</v>
      </c>
      <c r="D73" s="3088" t="s">
        <v>2657</v>
      </c>
      <c r="E73" s="3114">
        <v>0.2</v>
      </c>
      <c r="F73" s="3114">
        <v>25</v>
      </c>
    </row>
    <row r="74" spans="1:7" ht="24">
      <c r="A74" s="3114">
        <v>2</v>
      </c>
      <c r="B74" s="3801"/>
      <c r="C74" s="3088" t="s">
        <v>2658</v>
      </c>
      <c r="D74" s="3088" t="s">
        <v>2659</v>
      </c>
      <c r="E74" s="3114">
        <v>0.2</v>
      </c>
      <c r="F74" s="3114">
        <v>25</v>
      </c>
    </row>
    <row r="75" spans="1:7" ht="24">
      <c r="A75" s="3114">
        <v>3</v>
      </c>
      <c r="B75" s="3801"/>
      <c r="C75" s="3088" t="s">
        <v>2660</v>
      </c>
      <c r="D75" s="3088" t="s">
        <v>2661</v>
      </c>
      <c r="E75" s="3114">
        <v>0.2</v>
      </c>
      <c r="F75" s="3114">
        <v>25</v>
      </c>
    </row>
    <row r="76" spans="1:7" ht="13.5">
      <c r="A76" s="3114">
        <v>4</v>
      </c>
      <c r="B76" s="3801"/>
      <c r="C76" s="3088" t="s">
        <v>2662</v>
      </c>
      <c r="D76" s="3088" t="s">
        <v>2663</v>
      </c>
      <c r="E76" s="3114">
        <v>0.15</v>
      </c>
      <c r="F76" s="3114">
        <v>20</v>
      </c>
    </row>
    <row r="77" spans="1:7" ht="24">
      <c r="A77" s="3114">
        <v>5</v>
      </c>
      <c r="B77" s="3801"/>
      <c r="C77" s="3088" t="s">
        <v>2664</v>
      </c>
      <c r="D77" s="3088" t="s">
        <v>2665</v>
      </c>
      <c r="E77" s="3114">
        <v>0.15</v>
      </c>
      <c r="F77" s="3114">
        <v>20</v>
      </c>
    </row>
    <row r="78" spans="1:7" ht="24">
      <c r="A78" s="3114">
        <v>6</v>
      </c>
      <c r="B78" s="3801"/>
      <c r="C78" s="3088" t="s">
        <v>2666</v>
      </c>
      <c r="D78" s="3088" t="s">
        <v>2667</v>
      </c>
      <c r="E78" s="3114">
        <v>0.15</v>
      </c>
      <c r="F78" s="3114">
        <v>20</v>
      </c>
    </row>
    <row r="79" spans="1:7" ht="24">
      <c r="A79" s="3114">
        <v>7</v>
      </c>
      <c r="B79" s="3801"/>
      <c r="C79" s="3088" t="s">
        <v>2668</v>
      </c>
      <c r="D79" s="3088" t="s">
        <v>2669</v>
      </c>
      <c r="E79" s="3114">
        <v>0.15</v>
      </c>
      <c r="F79" s="3114">
        <v>20</v>
      </c>
    </row>
    <row r="80" spans="1:7" ht="24">
      <c r="A80" s="3114">
        <v>8</v>
      </c>
      <c r="B80" s="3801"/>
      <c r="C80" s="3088" t="s">
        <v>2670</v>
      </c>
      <c r="D80" s="3088" t="s">
        <v>2671</v>
      </c>
      <c r="E80" s="3114">
        <v>0.1</v>
      </c>
      <c r="F80" s="3114">
        <v>15</v>
      </c>
    </row>
    <row r="81" spans="1:6" ht="24">
      <c r="A81" s="3114">
        <v>9</v>
      </c>
      <c r="B81" s="3801"/>
      <c r="C81" s="3088" t="s">
        <v>2672</v>
      </c>
      <c r="D81" s="3088" t="s">
        <v>2673</v>
      </c>
      <c r="E81" s="3114">
        <v>0.1</v>
      </c>
      <c r="F81" s="3114">
        <v>15</v>
      </c>
    </row>
    <row r="82" spans="1:6" ht="24">
      <c r="A82" s="3114">
        <v>10</v>
      </c>
      <c r="B82" s="3801"/>
      <c r="C82" s="3088" t="s">
        <v>2674</v>
      </c>
      <c r="D82" s="3088" t="s">
        <v>2675</v>
      </c>
      <c r="E82" s="3114">
        <v>0.1</v>
      </c>
      <c r="F82" s="3114">
        <v>15</v>
      </c>
    </row>
    <row r="83" spans="1:6" ht="24">
      <c r="A83" s="3114">
        <v>11</v>
      </c>
      <c r="B83" s="3801"/>
      <c r="C83" s="3088" t="s">
        <v>2676</v>
      </c>
      <c r="D83" s="3088" t="s">
        <v>2677</v>
      </c>
      <c r="E83" s="3114">
        <v>0.1</v>
      </c>
      <c r="F83" s="3114">
        <v>15</v>
      </c>
    </row>
    <row r="84" spans="1:6" ht="24">
      <c r="A84" s="3114">
        <v>12</v>
      </c>
      <c r="B84" s="3801"/>
      <c r="C84" s="3088" t="s">
        <v>2678</v>
      </c>
      <c r="D84" s="3088" t="s">
        <v>2679</v>
      </c>
      <c r="E84" s="3114">
        <v>0.1</v>
      </c>
      <c r="F84" s="3114">
        <v>15</v>
      </c>
    </row>
    <row r="85" spans="1:6" ht="13.5">
      <c r="A85" s="3114">
        <v>13</v>
      </c>
      <c r="B85" s="3801"/>
      <c r="C85" s="3088" t="s">
        <v>2680</v>
      </c>
      <c r="D85" s="3088" t="s">
        <v>2681</v>
      </c>
      <c r="E85" s="3114">
        <v>0.1</v>
      </c>
      <c r="F85" s="3114">
        <v>15</v>
      </c>
    </row>
    <row r="86" spans="1:6" ht="13.5">
      <c r="A86" s="3114">
        <v>14</v>
      </c>
      <c r="B86" s="3801"/>
      <c r="C86" s="3088" t="s">
        <v>2682</v>
      </c>
      <c r="D86" s="3088" t="s">
        <v>2683</v>
      </c>
      <c r="E86" s="3114">
        <v>0.1</v>
      </c>
      <c r="F86" s="3114">
        <v>15</v>
      </c>
    </row>
    <row r="87" spans="1:6" ht="13.5">
      <c r="A87" s="3114">
        <v>15</v>
      </c>
      <c r="B87" s="3801"/>
      <c r="C87" s="3088" t="s">
        <v>2684</v>
      </c>
      <c r="D87" s="3088" t="s">
        <v>2685</v>
      </c>
      <c r="E87" s="3114">
        <v>0.1</v>
      </c>
      <c r="F87" s="3114">
        <v>15</v>
      </c>
    </row>
    <row r="88" spans="1:6" ht="24">
      <c r="A88" s="3114">
        <v>16</v>
      </c>
      <c r="B88" s="3801"/>
      <c r="C88" s="3088" t="s">
        <v>2686</v>
      </c>
      <c r="D88" s="3088" t="s">
        <v>2687</v>
      </c>
      <c r="E88" s="3114">
        <v>0.1</v>
      </c>
      <c r="F88" s="3114">
        <v>15</v>
      </c>
    </row>
    <row r="89" spans="1:6" ht="24">
      <c r="A89" s="3114">
        <v>17</v>
      </c>
      <c r="B89" s="3810"/>
      <c r="C89" s="3088" t="s">
        <v>2688</v>
      </c>
      <c r="D89" s="3088" t="s">
        <v>2689</v>
      </c>
      <c r="E89" s="3114">
        <v>0.1</v>
      </c>
      <c r="F89" s="3114">
        <v>15</v>
      </c>
    </row>
    <row r="90" spans="1:6" ht="13.5">
      <c r="A90" s="3114">
        <v>18</v>
      </c>
      <c r="B90" s="3806" t="s">
        <v>2690</v>
      </c>
      <c r="C90" s="3088" t="s">
        <v>2691</v>
      </c>
      <c r="D90" s="3088" t="s">
        <v>2692</v>
      </c>
      <c r="E90" s="3114">
        <v>0.2</v>
      </c>
      <c r="F90" s="3114">
        <v>25</v>
      </c>
    </row>
    <row r="91" spans="1:6" ht="24">
      <c r="A91" s="3114">
        <v>19</v>
      </c>
      <c r="B91" s="3801"/>
      <c r="C91" s="3088" t="s">
        <v>2693</v>
      </c>
      <c r="D91" s="3088" t="s">
        <v>2694</v>
      </c>
      <c r="E91" s="3114">
        <v>0.2</v>
      </c>
      <c r="F91" s="3114">
        <v>25</v>
      </c>
    </row>
    <row r="92" spans="1:6" ht="13.5">
      <c r="A92" s="3114">
        <v>20</v>
      </c>
      <c r="B92" s="3801"/>
      <c r="C92" s="3088" t="s">
        <v>2695</v>
      </c>
      <c r="D92" s="3088" t="s">
        <v>2696</v>
      </c>
      <c r="E92" s="3114">
        <v>0.15</v>
      </c>
      <c r="F92" s="3114">
        <v>20</v>
      </c>
    </row>
    <row r="93" spans="1:6" ht="13.5">
      <c r="A93" s="3114">
        <v>21</v>
      </c>
      <c r="B93" s="3801"/>
      <c r="C93" s="3088" t="s">
        <v>2697</v>
      </c>
      <c r="D93" s="3088" t="s">
        <v>2698</v>
      </c>
      <c r="E93" s="3114">
        <v>0.15</v>
      </c>
      <c r="F93" s="3114">
        <v>20</v>
      </c>
    </row>
    <row r="94" spans="1:6" ht="13.5">
      <c r="A94" s="3114">
        <v>22</v>
      </c>
      <c r="B94" s="3801"/>
      <c r="C94" s="3088" t="s">
        <v>2699</v>
      </c>
      <c r="D94" s="3088" t="s">
        <v>2700</v>
      </c>
      <c r="E94" s="3114">
        <v>0.15</v>
      </c>
      <c r="F94" s="3114">
        <v>20</v>
      </c>
    </row>
    <row r="95" spans="1:6" ht="36">
      <c r="A95" s="3114">
        <v>23</v>
      </c>
      <c r="B95" s="3801"/>
      <c r="C95" s="3088" t="s">
        <v>2701</v>
      </c>
      <c r="D95" s="3088" t="s">
        <v>2702</v>
      </c>
      <c r="E95" s="3114">
        <v>0.15</v>
      </c>
      <c r="F95" s="3114">
        <v>20</v>
      </c>
    </row>
    <row r="96" spans="1:6" ht="13.5">
      <c r="A96" s="3114">
        <v>24</v>
      </c>
      <c r="B96" s="3801"/>
      <c r="C96" s="3088" t="s">
        <v>2703</v>
      </c>
      <c r="D96" s="3088" t="s">
        <v>2704</v>
      </c>
      <c r="E96" s="3114">
        <v>0.1</v>
      </c>
      <c r="F96" s="3114">
        <v>15</v>
      </c>
    </row>
    <row r="97" spans="1:6" ht="13.5">
      <c r="A97" s="3114">
        <v>25</v>
      </c>
      <c r="B97" s="3801"/>
      <c r="C97" s="3088" t="s">
        <v>2705</v>
      </c>
      <c r="D97" s="3088" t="s">
        <v>2706</v>
      </c>
      <c r="E97" s="3114">
        <v>0.1</v>
      </c>
      <c r="F97" s="3114">
        <v>15</v>
      </c>
    </row>
    <row r="98" spans="1:6" ht="24">
      <c r="A98" s="3114">
        <v>26</v>
      </c>
      <c r="B98" s="3801"/>
      <c r="C98" s="3088" t="s">
        <v>2707</v>
      </c>
      <c r="D98" s="3088" t="s">
        <v>2708</v>
      </c>
      <c r="E98" s="3114">
        <v>0.1</v>
      </c>
      <c r="F98" s="3114">
        <v>15</v>
      </c>
    </row>
    <row r="99" spans="1:6" ht="24">
      <c r="A99" s="3114">
        <v>27</v>
      </c>
      <c r="B99" s="3801"/>
      <c r="C99" s="3088" t="s">
        <v>2709</v>
      </c>
      <c r="D99" s="3088" t="s">
        <v>2710</v>
      </c>
      <c r="E99" s="3114">
        <v>0.1</v>
      </c>
      <c r="F99" s="3114">
        <v>15</v>
      </c>
    </row>
    <row r="100" spans="1:6" ht="13.5">
      <c r="A100" s="3114">
        <v>28</v>
      </c>
      <c r="B100" s="3801"/>
      <c r="C100" s="3088" t="s">
        <v>2711</v>
      </c>
      <c r="D100" s="3088" t="s">
        <v>2712</v>
      </c>
      <c r="E100" s="3114">
        <v>0.1</v>
      </c>
      <c r="F100" s="3114">
        <v>15</v>
      </c>
    </row>
    <row r="101" spans="1:6" ht="13.5">
      <c r="A101" s="3114">
        <v>29</v>
      </c>
      <c r="B101" s="3801"/>
      <c r="C101" s="3088" t="s">
        <v>2713</v>
      </c>
      <c r="D101" s="3088" t="s">
        <v>2714</v>
      </c>
      <c r="E101" s="3114">
        <v>0.1</v>
      </c>
      <c r="F101" s="3114">
        <v>15</v>
      </c>
    </row>
    <row r="102" spans="1:6" ht="13.5">
      <c r="A102" s="3114">
        <v>30</v>
      </c>
      <c r="B102" s="3801"/>
      <c r="C102" s="3088" t="s">
        <v>2715</v>
      </c>
      <c r="D102" s="3088" t="s">
        <v>2716</v>
      </c>
      <c r="E102" s="3114">
        <v>0.1</v>
      </c>
      <c r="F102" s="3114">
        <v>15</v>
      </c>
    </row>
    <row r="103" spans="1:6" ht="24">
      <c r="A103" s="3114">
        <v>31</v>
      </c>
      <c r="B103" s="3801"/>
      <c r="C103" s="3088" t="s">
        <v>2717</v>
      </c>
      <c r="D103" s="3088" t="s">
        <v>2718</v>
      </c>
      <c r="E103" s="3114">
        <v>0.1</v>
      </c>
      <c r="F103" s="3114">
        <v>15</v>
      </c>
    </row>
    <row r="104" spans="1:6" ht="24">
      <c r="A104" s="3114">
        <v>32</v>
      </c>
      <c r="B104" s="3801"/>
      <c r="C104" s="3088" t="s">
        <v>2719</v>
      </c>
      <c r="D104" s="3088" t="s">
        <v>2720</v>
      </c>
      <c r="E104" s="3114">
        <v>0.1</v>
      </c>
      <c r="F104" s="3114">
        <v>15</v>
      </c>
    </row>
    <row r="105" spans="1:6" ht="24">
      <c r="A105" s="3114">
        <v>33</v>
      </c>
      <c r="B105" s="3801"/>
      <c r="C105" s="3088" t="s">
        <v>2721</v>
      </c>
      <c r="D105" s="3088" t="s">
        <v>2722</v>
      </c>
      <c r="E105" s="3114">
        <v>0.1</v>
      </c>
      <c r="F105" s="3114">
        <v>15</v>
      </c>
    </row>
    <row r="106" spans="1:6" ht="24">
      <c r="A106" s="3114">
        <v>34</v>
      </c>
      <c r="B106" s="3810"/>
      <c r="C106" s="3088" t="s">
        <v>2723</v>
      </c>
      <c r="D106" s="3088" t="s">
        <v>2724</v>
      </c>
      <c r="E106" s="3114">
        <v>0.1</v>
      </c>
      <c r="F106" s="3114">
        <v>15</v>
      </c>
    </row>
    <row r="107" spans="1:6" ht="24">
      <c r="A107" s="3114">
        <v>35</v>
      </c>
      <c r="B107" s="3806" t="s">
        <v>2725</v>
      </c>
      <c r="C107" s="3114" t="s">
        <v>2726</v>
      </c>
      <c r="D107" s="3088" t="s">
        <v>2727</v>
      </c>
      <c r="E107" s="3114">
        <v>0.15</v>
      </c>
      <c r="F107" s="3114">
        <v>20</v>
      </c>
    </row>
    <row r="108" spans="1:6" ht="13.5">
      <c r="A108" s="3114">
        <v>36</v>
      </c>
      <c r="B108" s="3801"/>
      <c r="C108" s="3114" t="s">
        <v>2728</v>
      </c>
      <c r="D108" s="3088" t="s">
        <v>2729</v>
      </c>
      <c r="E108" s="3114">
        <v>0.15</v>
      </c>
      <c r="F108" s="3114">
        <v>20</v>
      </c>
    </row>
    <row r="109" spans="1:6" ht="13.5">
      <c r="A109" s="3114">
        <v>37</v>
      </c>
      <c r="B109" s="3801"/>
      <c r="C109" s="3114" t="s">
        <v>2730</v>
      </c>
      <c r="D109" s="3088" t="s">
        <v>2731</v>
      </c>
      <c r="E109" s="3114">
        <v>0.15</v>
      </c>
      <c r="F109" s="3114">
        <v>20</v>
      </c>
    </row>
    <row r="110" spans="1:6" ht="13.5">
      <c r="A110" s="3114">
        <v>38</v>
      </c>
      <c r="B110" s="3801"/>
      <c r="C110" s="3114" t="s">
        <v>2732</v>
      </c>
      <c r="D110" s="3088" t="s">
        <v>2733</v>
      </c>
      <c r="E110" s="3114">
        <v>0.1</v>
      </c>
      <c r="F110" s="3114">
        <v>15</v>
      </c>
    </row>
    <row r="111" spans="1:6" ht="24">
      <c r="A111" s="3114">
        <v>39</v>
      </c>
      <c r="B111" s="3801"/>
      <c r="C111" s="3114" t="s">
        <v>2734</v>
      </c>
      <c r="D111" s="3088" t="s">
        <v>2735</v>
      </c>
      <c r="E111" s="3114">
        <v>0.1</v>
      </c>
      <c r="F111" s="3114">
        <v>15</v>
      </c>
    </row>
    <row r="112" spans="1:6" ht="24">
      <c r="A112" s="3114">
        <v>40</v>
      </c>
      <c r="B112" s="3810"/>
      <c r="C112" s="3114" t="s">
        <v>2736</v>
      </c>
      <c r="D112" s="3088" t="s">
        <v>2737</v>
      </c>
      <c r="E112" s="3114">
        <v>0.1</v>
      </c>
      <c r="F112" s="3114">
        <v>15</v>
      </c>
    </row>
    <row r="113" spans="1:6" ht="13.5">
      <c r="A113" s="3114">
        <v>41</v>
      </c>
      <c r="B113" s="3811" t="s">
        <v>2738</v>
      </c>
      <c r="C113" s="3114" t="s">
        <v>2739</v>
      </c>
      <c r="D113" s="3088" t="s">
        <v>2740</v>
      </c>
      <c r="E113" s="3114">
        <v>0.1</v>
      </c>
      <c r="F113" s="3114">
        <v>15</v>
      </c>
    </row>
    <row r="114" spans="1:6" ht="13.5">
      <c r="A114" s="3114">
        <v>42</v>
      </c>
      <c r="B114" s="3811"/>
      <c r="C114" s="3114" t="s">
        <v>2741</v>
      </c>
      <c r="D114" s="3088" t="s">
        <v>2742</v>
      </c>
      <c r="E114" s="3114">
        <v>0.1</v>
      </c>
      <c r="F114" s="3114">
        <v>15</v>
      </c>
    </row>
    <row r="115" spans="1:6" ht="24">
      <c r="A115" s="3114">
        <v>43</v>
      </c>
      <c r="B115" s="3811"/>
      <c r="C115" s="3114" t="s">
        <v>2743</v>
      </c>
      <c r="D115" s="3088" t="s">
        <v>2744</v>
      </c>
      <c r="E115" s="3114">
        <v>0.1</v>
      </c>
      <c r="F115" s="3114">
        <v>15</v>
      </c>
    </row>
    <row r="116" spans="1:6" ht="13.5">
      <c r="A116" s="3114">
        <v>44</v>
      </c>
      <c r="B116" s="3806" t="s">
        <v>2745</v>
      </c>
      <c r="C116" s="3114" t="s">
        <v>2746</v>
      </c>
      <c r="D116" s="3088" t="s">
        <v>2747</v>
      </c>
      <c r="E116" s="3114">
        <v>0.1</v>
      </c>
      <c r="F116" s="3114">
        <v>15</v>
      </c>
    </row>
    <row r="117" spans="1:6" ht="24">
      <c r="A117" s="3114">
        <v>45</v>
      </c>
      <c r="B117" s="3810"/>
      <c r="C117" s="3088" t="s">
        <v>2748</v>
      </c>
      <c r="D117" s="3088" t="s">
        <v>2749</v>
      </c>
      <c r="E117" s="3114">
        <v>0.1</v>
      </c>
      <c r="F117" s="3114">
        <v>15</v>
      </c>
    </row>
    <row r="118" spans="1:6" ht="24">
      <c r="A118" s="3114">
        <v>46</v>
      </c>
      <c r="B118" s="3806" t="s">
        <v>2750</v>
      </c>
      <c r="C118" s="3114" t="s">
        <v>2751</v>
      </c>
      <c r="D118" s="3088" t="s">
        <v>2752</v>
      </c>
      <c r="E118" s="3114">
        <v>0.1</v>
      </c>
      <c r="F118" s="3114">
        <v>15</v>
      </c>
    </row>
    <row r="119" spans="1:6" ht="24">
      <c r="A119" s="3114">
        <v>47</v>
      </c>
      <c r="B119" s="3810"/>
      <c r="C119" s="3114" t="s">
        <v>2753</v>
      </c>
      <c r="D119" s="3088" t="s">
        <v>2754</v>
      </c>
      <c r="E119" s="3114">
        <v>0.1</v>
      </c>
      <c r="F119" s="3114">
        <v>15</v>
      </c>
    </row>
    <row r="120" spans="1:6" ht="13.5">
      <c r="A120" s="3114">
        <v>48</v>
      </c>
      <c r="B120" s="3806" t="s">
        <v>2755</v>
      </c>
      <c r="C120" s="3114" t="s">
        <v>2756</v>
      </c>
      <c r="D120" s="3088" t="s">
        <v>2757</v>
      </c>
      <c r="E120" s="3114">
        <v>0.1</v>
      </c>
      <c r="F120" s="3114">
        <v>15</v>
      </c>
    </row>
    <row r="121" spans="1:6" ht="13.5">
      <c r="A121" s="3114">
        <v>49</v>
      </c>
      <c r="B121" s="3810"/>
      <c r="C121" s="3114" t="s">
        <v>2758</v>
      </c>
      <c r="D121" s="3088" t="s">
        <v>2759</v>
      </c>
      <c r="E121" s="3114">
        <v>0.1</v>
      </c>
      <c r="F121" s="3114">
        <v>15</v>
      </c>
    </row>
    <row r="122" spans="1:6" ht="24">
      <c r="A122" s="3114">
        <v>50</v>
      </c>
      <c r="B122" s="3811" t="s">
        <v>2760</v>
      </c>
      <c r="C122" s="3114" t="s">
        <v>2761</v>
      </c>
      <c r="D122" s="3088" t="s">
        <v>2762</v>
      </c>
      <c r="E122" s="3114">
        <v>0.1</v>
      </c>
      <c r="F122" s="3114">
        <v>15</v>
      </c>
    </row>
    <row r="123" spans="1:6" ht="24">
      <c r="A123" s="3114">
        <v>51</v>
      </c>
      <c r="B123" s="3811"/>
      <c r="C123" s="3114" t="s">
        <v>2763</v>
      </c>
      <c r="D123" s="3088" t="s">
        <v>2764</v>
      </c>
      <c r="E123" s="3114">
        <v>0.1</v>
      </c>
      <c r="F123" s="3114">
        <v>15</v>
      </c>
    </row>
    <row r="124" spans="1:6" ht="24">
      <c r="A124" s="3114">
        <v>52</v>
      </c>
      <c r="B124" s="3811" t="s">
        <v>2765</v>
      </c>
      <c r="C124" s="3114" t="s">
        <v>2766</v>
      </c>
      <c r="D124" s="3088" t="s">
        <v>2767</v>
      </c>
      <c r="E124" s="3114">
        <v>0.1</v>
      </c>
      <c r="F124" s="3114">
        <v>15</v>
      </c>
    </row>
    <row r="125" spans="1:6" ht="24">
      <c r="A125" s="3114">
        <v>53</v>
      </c>
      <c r="B125" s="3811"/>
      <c r="C125" s="3114" t="s">
        <v>2768</v>
      </c>
      <c r="D125" s="3088" t="s">
        <v>2769</v>
      </c>
      <c r="E125" s="3114">
        <v>0.1</v>
      </c>
      <c r="F125" s="3114">
        <v>15</v>
      </c>
    </row>
    <row r="126" spans="1:6" ht="13.5">
      <c r="A126" s="3114">
        <v>54</v>
      </c>
      <c r="B126" s="3114" t="s">
        <v>2770</v>
      </c>
      <c r="C126" s="3114" t="s">
        <v>2771</v>
      </c>
      <c r="D126" s="3088" t="s">
        <v>2772</v>
      </c>
      <c r="E126" s="3114">
        <v>0.1</v>
      </c>
      <c r="F126" s="3114">
        <v>15</v>
      </c>
    </row>
    <row r="127" spans="1:6" ht="13.5">
      <c r="A127" s="3114">
        <v>55</v>
      </c>
      <c r="B127" s="3811" t="s">
        <v>2773</v>
      </c>
      <c r="C127" s="3114" t="s">
        <v>2774</v>
      </c>
      <c r="D127" s="3088" t="s">
        <v>2775</v>
      </c>
      <c r="E127" s="3114">
        <v>0.1</v>
      </c>
      <c r="F127" s="3114">
        <v>15</v>
      </c>
    </row>
    <row r="128" spans="1:6" ht="13.5">
      <c r="A128" s="3114">
        <v>56</v>
      </c>
      <c r="B128" s="3811"/>
      <c r="C128" s="3114" t="s">
        <v>2776</v>
      </c>
      <c r="D128" s="3088" t="s">
        <v>2777</v>
      </c>
      <c r="E128" s="3114">
        <v>0.1</v>
      </c>
      <c r="F128" s="3114">
        <v>15</v>
      </c>
    </row>
    <row r="129" spans="1:6" ht="24">
      <c r="A129" s="3114">
        <v>57</v>
      </c>
      <c r="B129" s="3811"/>
      <c r="C129" s="3114" t="s">
        <v>2778</v>
      </c>
      <c r="D129" s="3088" t="s">
        <v>2779</v>
      </c>
      <c r="E129" s="3114">
        <v>0.1</v>
      </c>
      <c r="F129" s="3114">
        <v>15</v>
      </c>
    </row>
    <row r="130" spans="1:6" ht="24">
      <c r="A130" s="3114">
        <v>58</v>
      </c>
      <c r="B130" s="3811" t="s">
        <v>2780</v>
      </c>
      <c r="C130" s="3114" t="s">
        <v>2781</v>
      </c>
      <c r="D130" s="3088" t="s">
        <v>2782</v>
      </c>
      <c r="E130" s="3114">
        <v>0.1</v>
      </c>
      <c r="F130" s="3114">
        <v>15</v>
      </c>
    </row>
    <row r="131" spans="1:6" ht="13.5">
      <c r="A131" s="3114">
        <v>59</v>
      </c>
      <c r="B131" s="3811"/>
      <c r="C131" s="3114" t="s">
        <v>2783</v>
      </c>
      <c r="D131" s="3088" t="s">
        <v>2784</v>
      </c>
      <c r="E131" s="3114">
        <v>0.1</v>
      </c>
      <c r="F131" s="3114">
        <v>15</v>
      </c>
    </row>
    <row r="132" spans="1:6" ht="13.5">
      <c r="A132" s="3114">
        <v>60</v>
      </c>
      <c r="B132" s="3806" t="s">
        <v>2785</v>
      </c>
      <c r="C132" s="3114" t="s">
        <v>2786</v>
      </c>
      <c r="D132" s="3088" t="s">
        <v>2787</v>
      </c>
      <c r="E132" s="3114">
        <v>0.1</v>
      </c>
      <c r="F132" s="3114">
        <v>15</v>
      </c>
    </row>
    <row r="133" spans="1:6" ht="13.5">
      <c r="A133" s="3114">
        <v>61</v>
      </c>
      <c r="B133" s="3810"/>
      <c r="C133" s="3114" t="s">
        <v>2788</v>
      </c>
      <c r="D133" s="3088" t="s">
        <v>2789</v>
      </c>
      <c r="E133" s="3114">
        <v>0.1</v>
      </c>
      <c r="F133" s="3114">
        <v>15</v>
      </c>
    </row>
    <row r="134" spans="1:6" ht="24">
      <c r="A134" s="3114">
        <v>62</v>
      </c>
      <c r="B134" s="3114" t="s">
        <v>2790</v>
      </c>
      <c r="C134" s="3114" t="s">
        <v>2791</v>
      </c>
      <c r="D134" s="3088" t="s">
        <v>2792</v>
      </c>
      <c r="E134" s="3114">
        <v>0.1</v>
      </c>
      <c r="F134" s="3114">
        <v>15</v>
      </c>
    </row>
    <row r="135" spans="1:6" ht="13.5">
      <c r="A135" s="3114">
        <v>63</v>
      </c>
      <c r="B135" s="3811" t="s">
        <v>2793</v>
      </c>
      <c r="C135" s="3114" t="s">
        <v>2794</v>
      </c>
      <c r="D135" s="3088" t="s">
        <v>2795</v>
      </c>
      <c r="E135" s="3114">
        <v>0.1</v>
      </c>
      <c r="F135" s="3114">
        <v>15</v>
      </c>
    </row>
    <row r="136" spans="1:6" ht="13.5">
      <c r="A136" s="3114">
        <v>64</v>
      </c>
      <c r="B136" s="3811"/>
      <c r="C136" s="3114" t="s">
        <v>2796</v>
      </c>
      <c r="D136" s="3088" t="s">
        <v>2797</v>
      </c>
      <c r="E136" s="3114">
        <v>0.1</v>
      </c>
      <c r="F136" s="3114">
        <v>15</v>
      </c>
    </row>
    <row r="137" spans="1:6" ht="13.5">
      <c r="A137" s="3114">
        <v>65</v>
      </c>
      <c r="B137" s="3114" t="s">
        <v>2798</v>
      </c>
      <c r="C137" s="3114" t="s">
        <v>2799</v>
      </c>
      <c r="D137" s="3088" t="s">
        <v>2800</v>
      </c>
      <c r="E137" s="3114">
        <v>0.1</v>
      </c>
      <c r="F137" s="3114">
        <v>15</v>
      </c>
    </row>
    <row r="138" spans="1:6" ht="13.5">
      <c r="A138" s="3114"/>
      <c r="B138" s="3114"/>
      <c r="C138" s="3114"/>
      <c r="D138" s="3114"/>
      <c r="E138" s="3114" t="s">
        <v>2801</v>
      </c>
      <c r="F138" s="3114"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2802</v>
      </c>
      <c r="B1" s="3123"/>
      <c r="C1" s="3123"/>
      <c r="D1" s="3123"/>
      <c r="E1" s="3123"/>
      <c r="F1" s="3123"/>
      <c r="G1" s="3123"/>
      <c r="H1" s="3123"/>
      <c r="I1" s="3123"/>
      <c r="J1" s="3123"/>
      <c r="K1" s="3123"/>
      <c r="L1" s="3123"/>
      <c r="M1" s="3123"/>
      <c r="N1" s="745"/>
    </row>
    <row r="2" spans="1:20">
      <c r="A2" s="3124" t="s">
        <v>2803</v>
      </c>
      <c r="B2" s="3125" t="s">
        <v>2599</v>
      </c>
      <c r="C2" s="3125" t="s">
        <v>2600</v>
      </c>
      <c r="D2" s="3125" t="s">
        <v>2601</v>
      </c>
      <c r="E2" s="3125" t="s">
        <v>2602</v>
      </c>
      <c r="F2" s="3125" t="s">
        <v>2603</v>
      </c>
      <c r="G2" s="3125" t="s">
        <v>2604</v>
      </c>
      <c r="H2" s="3126" t="s">
        <v>2605</v>
      </c>
      <c r="I2" s="3126" t="s">
        <v>2606</v>
      </c>
      <c r="J2" s="3127" t="s">
        <v>2607</v>
      </c>
      <c r="K2" s="3127" t="s">
        <v>2608</v>
      </c>
      <c r="L2" s="3127" t="s">
        <v>2609</v>
      </c>
      <c r="M2" s="3128" t="s">
        <v>2610</v>
      </c>
      <c r="Q2" s="3138" t="s">
        <v>2808</v>
      </c>
      <c r="R2" s="3138" t="s">
        <v>2809</v>
      </c>
      <c r="S2" s="3138" t="s">
        <v>2810</v>
      </c>
      <c r="T2" s="3138" t="s">
        <v>2811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2804</v>
      </c>
      <c r="B93" s="3123"/>
      <c r="C93" s="3123"/>
      <c r="D93" s="3123"/>
      <c r="E93" s="3123"/>
      <c r="F93" s="3123"/>
      <c r="G93" s="3123"/>
      <c r="H93" s="3123"/>
      <c r="I93" s="3123"/>
      <c r="J93" s="3123"/>
      <c r="K93" s="3123"/>
      <c r="L93" s="3123"/>
      <c r="M93" s="3123"/>
    </row>
    <row r="94" spans="1:20">
      <c r="A94" s="3124" t="s">
        <v>2803</v>
      </c>
      <c r="B94" s="3125" t="s">
        <v>2599</v>
      </c>
      <c r="C94" s="3125" t="s">
        <v>2600</v>
      </c>
      <c r="D94" s="3125" t="s">
        <v>2601</v>
      </c>
      <c r="E94" s="3125" t="s">
        <v>2602</v>
      </c>
      <c r="F94" s="3125" t="s">
        <v>2603</v>
      </c>
      <c r="G94" s="3125" t="s">
        <v>2604</v>
      </c>
      <c r="H94" s="3126" t="s">
        <v>2605</v>
      </c>
      <c r="I94" s="3126" t="s">
        <v>2606</v>
      </c>
      <c r="J94" s="3127" t="s">
        <v>2607</v>
      </c>
      <c r="K94" s="3127" t="s">
        <v>2608</v>
      </c>
      <c r="L94" s="3127" t="s">
        <v>2609</v>
      </c>
      <c r="M94" s="3128" t="s">
        <v>2610</v>
      </c>
      <c r="N94" s="746">
        <f>SUMPRODUCT((A95:A184=ROUNDDOWN(基准地价修正!G3,1))*(B94:M94=基准地价修正!G2)*(B95:M184))</f>
        <v>1.2302</v>
      </c>
      <c r="Q94" s="3138" t="s">
        <v>2808</v>
      </c>
      <c r="R94" s="3138" t="s">
        <v>2809</v>
      </c>
      <c r="S94" s="3138" t="s">
        <v>2810</v>
      </c>
      <c r="T94" s="3138" t="s">
        <v>2811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2805</v>
      </c>
      <c r="B185" s="3123"/>
      <c r="C185" s="3123"/>
      <c r="D185" s="3123"/>
      <c r="E185" s="3123"/>
      <c r="F185" s="3123"/>
      <c r="G185" s="3123"/>
      <c r="H185" s="3123"/>
      <c r="I185" s="3123"/>
      <c r="J185" s="3123"/>
      <c r="K185" s="3123"/>
      <c r="L185" s="3123"/>
      <c r="M185" s="3123"/>
    </row>
    <row r="186" spans="1:20">
      <c r="A186" s="3124" t="s">
        <v>2803</v>
      </c>
      <c r="B186" s="3125" t="s">
        <v>2599</v>
      </c>
      <c r="C186" s="3125" t="s">
        <v>2600</v>
      </c>
      <c r="D186" s="3125" t="s">
        <v>2601</v>
      </c>
      <c r="E186" s="3125" t="s">
        <v>2602</v>
      </c>
      <c r="F186" s="3125" t="s">
        <v>2603</v>
      </c>
      <c r="G186" s="3125" t="s">
        <v>2604</v>
      </c>
      <c r="H186" s="3126" t="s">
        <v>2605</v>
      </c>
      <c r="I186" s="3126" t="s">
        <v>2606</v>
      </c>
      <c r="J186" s="3127" t="s">
        <v>2607</v>
      </c>
      <c r="K186" s="3127" t="s">
        <v>2608</v>
      </c>
      <c r="L186" s="3127" t="s">
        <v>2609</v>
      </c>
      <c r="M186" s="3128" t="s">
        <v>2610</v>
      </c>
      <c r="Q186" s="3138" t="s">
        <v>2808</v>
      </c>
      <c r="R186" s="3138" t="s">
        <v>2809</v>
      </c>
      <c r="S186" s="3138" t="s">
        <v>2810</v>
      </c>
      <c r="T186" s="3138" t="s">
        <v>2811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2806</v>
      </c>
      <c r="B277" s="3123"/>
      <c r="C277" s="3123"/>
      <c r="D277" s="3123"/>
      <c r="E277" s="3123"/>
      <c r="F277" s="3123"/>
      <c r="G277" s="3123"/>
      <c r="H277" s="3123"/>
      <c r="I277" s="3123"/>
      <c r="J277" s="3123"/>
      <c r="K277" s="3123"/>
      <c r="L277" s="3123"/>
      <c r="M277" s="3123"/>
    </row>
    <row r="278" spans="1:21">
      <c r="A278" s="3124" t="s">
        <v>2803</v>
      </c>
      <c r="B278" s="3125" t="s">
        <v>2599</v>
      </c>
      <c r="C278" s="3125" t="s">
        <v>2600</v>
      </c>
      <c r="D278" s="3125" t="s">
        <v>2601</v>
      </c>
      <c r="E278" s="3125" t="s">
        <v>2602</v>
      </c>
      <c r="F278" s="3125" t="s">
        <v>2603</v>
      </c>
      <c r="G278" s="3125" t="s">
        <v>2604</v>
      </c>
      <c r="H278" s="3126" t="s">
        <v>2605</v>
      </c>
      <c r="I278" s="3126" t="s">
        <v>2606</v>
      </c>
      <c r="J278" s="3127" t="s">
        <v>2607</v>
      </c>
      <c r="K278" s="3127" t="s">
        <v>2608</v>
      </c>
      <c r="L278" s="3127" t="s">
        <v>2609</v>
      </c>
      <c r="M278" s="3128" t="s">
        <v>2610</v>
      </c>
      <c r="Q278" s="3138" t="s">
        <v>2808</v>
      </c>
      <c r="R278" s="3138" t="s">
        <v>2809</v>
      </c>
      <c r="S278" s="3138" t="s">
        <v>2812</v>
      </c>
      <c r="T278" s="3138" t="s">
        <v>2813</v>
      </c>
      <c r="U278" s="3138" t="s">
        <v>2811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2807</v>
      </c>
      <c r="B369" s="3136"/>
      <c r="C369" s="3136"/>
      <c r="D369" s="3136"/>
      <c r="E369" s="3136"/>
      <c r="F369" s="3136"/>
      <c r="G369" s="3136"/>
      <c r="H369" s="3136"/>
      <c r="I369" s="3136"/>
      <c r="J369" s="3136"/>
      <c r="K369" s="3136"/>
      <c r="L369" s="3136"/>
      <c r="M369" s="3136"/>
    </row>
    <row r="370" spans="1:20">
      <c r="A370" s="3124" t="s">
        <v>2803</v>
      </c>
      <c r="B370" s="3125" t="s">
        <v>2599</v>
      </c>
      <c r="C370" s="3125" t="s">
        <v>2600</v>
      </c>
      <c r="D370" s="3125" t="s">
        <v>2601</v>
      </c>
      <c r="E370" s="3125" t="s">
        <v>2602</v>
      </c>
      <c r="F370" s="3125" t="s">
        <v>2603</v>
      </c>
      <c r="G370" s="3125" t="s">
        <v>2604</v>
      </c>
      <c r="H370" s="3126" t="s">
        <v>2605</v>
      </c>
      <c r="I370" s="3126" t="s">
        <v>2606</v>
      </c>
      <c r="J370" s="3127" t="s">
        <v>2607</v>
      </c>
      <c r="K370" s="3127" t="s">
        <v>2608</v>
      </c>
      <c r="L370" s="3127" t="s">
        <v>2609</v>
      </c>
      <c r="M370" s="3128" t="s">
        <v>2610</v>
      </c>
      <c r="N370" s="746">
        <f>SUMPRODUCT((A371:A460=ROUNDDOWN(基准地价修正!G3,1))*(B370:M370=基准地价修正!G2)*(B371:M460))</f>
        <v>1.1198999999999999</v>
      </c>
      <c r="Q370" s="3138" t="s">
        <v>2808</v>
      </c>
      <c r="R370" s="3138" t="s">
        <v>2809</v>
      </c>
      <c r="S370" s="3138" t="s">
        <v>2810</v>
      </c>
      <c r="T370" s="3138" t="s">
        <v>2811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26286</v>
      </c>
      <c r="C2" s="2" t="s">
        <v>106</v>
      </c>
      <c r="D2" s="199"/>
      <c r="E2" s="199"/>
      <c r="F2" s="199"/>
      <c r="G2" s="199"/>
    </row>
    <row r="3" spans="1:7" s="200" customFormat="1" ht="18" customHeight="1" thickBot="1">
      <c r="A3" s="203" t="s">
        <v>58</v>
      </c>
      <c r="B3" s="204">
        <f ca="1">ROUND(B2*10000/'数据-汇总表'!E3,0)</f>
        <v>107406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120</v>
      </c>
      <c r="F9" s="221"/>
      <c r="G9" s="226"/>
    </row>
    <row r="10" spans="1:7" s="214" customFormat="1" ht="13.5" customHeight="1">
      <c r="A10" s="775" t="s">
        <v>356</v>
      </c>
      <c r="B10" s="224" t="s">
        <v>67</v>
      </c>
      <c r="C10" s="225">
        <f>ROUND(D10*E10/10000,0)</f>
        <v>39</v>
      </c>
      <c r="D10" s="841">
        <f>'数据-汇总表'!E6</f>
        <v>2447.34</v>
      </c>
      <c r="E10" s="225">
        <f>'数据-取费表'!B28</f>
        <v>160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49</v>
      </c>
      <c r="D19" s="845">
        <f>'数据-汇总表'!E3</f>
        <v>2447.34</v>
      </c>
      <c r="E19" s="211">
        <f>'数据-取费表'!B31</f>
        <v>200</v>
      </c>
      <c r="F19" s="231"/>
      <c r="G19" s="1" t="s">
        <v>436</v>
      </c>
    </row>
    <row r="20" spans="1:7" s="214" customFormat="1" ht="13.5" customHeight="1">
      <c r="A20" s="773" t="s">
        <v>419</v>
      </c>
      <c r="B20" s="210" t="s">
        <v>77</v>
      </c>
      <c r="C20" s="232">
        <f>ROUND((C5+C19)*F20,0)</f>
        <v>516</v>
      </c>
      <c r="D20" s="232"/>
      <c r="E20" s="232"/>
      <c r="F20" s="233">
        <f>'数据-取费表'!B37</f>
        <v>2.5000000000000001E-2</v>
      </c>
      <c r="G20" s="1063" t="s">
        <v>430</v>
      </c>
    </row>
    <row r="21" spans="1:7" s="214" customFormat="1" ht="13.5" customHeight="1">
      <c r="A21" s="773" t="s">
        <v>421</v>
      </c>
      <c r="B21" s="210" t="s">
        <v>78</v>
      </c>
      <c r="C21" s="235">
        <f>F21</f>
        <v>2.5000000000000001E-2</v>
      </c>
      <c r="D21" s="236" t="s">
        <v>99</v>
      </c>
      <c r="E21" s="232"/>
      <c r="F21" s="233">
        <f>'数据-取费表'!B38</f>
        <v>2.5000000000000001E-2</v>
      </c>
      <c r="G21" s="234" t="s">
        <v>79</v>
      </c>
    </row>
    <row r="22" spans="1:7" s="214" customFormat="1" ht="13.5" customHeight="1">
      <c r="A22" s="773" t="s">
        <v>341</v>
      </c>
      <c r="B22" s="210" t="s">
        <v>80</v>
      </c>
      <c r="C22" s="1100">
        <f ca="1">ROUND(SUM(C23:C25),0)</f>
        <v>722</v>
      </c>
      <c r="D22" s="235">
        <f ca="1">C26</f>
        <v>4.0000000000000002E-4</v>
      </c>
      <c r="E22" s="236" t="s">
        <v>99</v>
      </c>
      <c r="F22" s="237">
        <f ca="1">'数据-取费表'!B40</f>
        <v>3.4500000000000003E-2</v>
      </c>
      <c r="G22" s="1063" t="str">
        <f>IF('数据-取费表'!B22&lt;=1,"单利计息","复利计息")</f>
        <v>单利计息</v>
      </c>
    </row>
    <row r="23" spans="1:7" s="214" customFormat="1" ht="13.5" customHeight="1">
      <c r="A23" s="776" t="s">
        <v>349</v>
      </c>
      <c r="B23" s="215" t="s">
        <v>423</v>
      </c>
      <c r="C23" s="1101">
        <f ca="1">ROUND(IF('数据-取费表'!B22&lt;=1,C5*F22*'数据-取费表'!B23,C5*(POWER((1+F22),'数据-取费表'!B23)-1)),0)</f>
        <v>711</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2</v>
      </c>
      <c r="D24" s="238"/>
      <c r="E24" s="238"/>
      <c r="F24" s="239"/>
      <c r="G24" s="240" t="s">
        <v>82</v>
      </c>
    </row>
    <row r="25" spans="1:7" s="214" customFormat="1" ht="24">
      <c r="A25" s="776" t="s">
        <v>348</v>
      </c>
      <c r="B25" s="215" t="s">
        <v>420</v>
      </c>
      <c r="C25" s="1101">
        <f ca="1">ROUND(IF('数据-取费表'!B22&lt;=1,C20*F22*'数据-取费表'!B23/2,C20*(POWER((1+F22),'数据-取费表'!B23/2)-1)),0)</f>
        <v>9</v>
      </c>
      <c r="D25" s="238"/>
      <c r="E25" s="241"/>
      <c r="F25" s="239"/>
      <c r="G25" s="242" t="s">
        <v>83</v>
      </c>
    </row>
    <row r="26" spans="1:7" s="214" customFormat="1">
      <c r="A26" s="776" t="s">
        <v>350</v>
      </c>
      <c r="B26" s="215" t="s">
        <v>422</v>
      </c>
      <c r="C26" s="238">
        <f ca="1">ROUND(IF('数据-取费表'!B22&lt;=1,F21*F22*'数据-取费表'!B23/2,F21*(POWER((1+F22),'数据-取费表'!B23/2)-1)),4)</f>
        <v>4.0000000000000002E-4</v>
      </c>
      <c r="D26" s="238"/>
      <c r="E26" s="241"/>
      <c r="F26" s="239"/>
      <c r="G26" s="243"/>
    </row>
    <row r="27" spans="1:7" s="214" customFormat="1" ht="24.75">
      <c r="A27" s="773" t="s">
        <v>342</v>
      </c>
      <c r="B27" s="244" t="s">
        <v>85</v>
      </c>
      <c r="C27" s="245">
        <f>C28</f>
        <v>1694</v>
      </c>
      <c r="D27" s="235">
        <f>C29</f>
        <v>2E-3</v>
      </c>
      <c r="E27" s="236" t="s">
        <v>99</v>
      </c>
      <c r="F27" s="246">
        <f>'数据-取费表'!Q16</f>
        <v>0.08</v>
      </c>
      <c r="G27" s="247" t="s">
        <v>431</v>
      </c>
    </row>
    <row r="28" spans="1:7" s="214" customFormat="1" ht="13.5" customHeight="1">
      <c r="A28" s="776" t="s">
        <v>349</v>
      </c>
      <c r="B28" s="248" t="s">
        <v>424</v>
      </c>
      <c r="C28" s="249">
        <f>ROUND((C5+C19+C20)*F27*'数据-取费表'!B21/'数据-取费表'!B20,0)</f>
        <v>1694</v>
      </c>
      <c r="D28" s="235"/>
      <c r="E28" s="236"/>
      <c r="F28" s="246"/>
      <c r="G28" s="247"/>
    </row>
    <row r="29" spans="1:7" s="214" customFormat="1" ht="13.5" customHeight="1">
      <c r="A29" s="776" t="s">
        <v>347</v>
      </c>
      <c r="B29" s="248" t="s">
        <v>425</v>
      </c>
      <c r="C29" s="238">
        <f>ROUND(C21*F27*'数据-取费表'!B21/'数据-取费表'!B20,4)</f>
        <v>2E-3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25636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761</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666</v>
      </c>
      <c r="D34" s="217"/>
      <c r="E34" s="220"/>
      <c r="F34" s="257">
        <f>IF('数据-取费表'!B24=0,1,'数据-取费表'!N16)</f>
        <v>1</v>
      </c>
      <c r="G34" s="219" t="s">
        <v>89</v>
      </c>
    </row>
    <row r="35" spans="1:7" ht="13.5" customHeight="1">
      <c r="A35" s="776" t="s">
        <v>351</v>
      </c>
      <c r="B35" s="215" t="s">
        <v>33</v>
      </c>
      <c r="C35" s="220">
        <f>ROUND(C34*F35,0)</f>
        <v>33</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49</v>
      </c>
      <c r="D37" s="217">
        <f>'数据-汇总表'!E3</f>
        <v>2447.34</v>
      </c>
      <c r="E37" s="249">
        <f>'数据-取费表'!B35</f>
        <v>200</v>
      </c>
      <c r="F37" s="259"/>
      <c r="G37" s="261" t="s">
        <v>92</v>
      </c>
    </row>
    <row r="38" spans="1:7" ht="13.5" customHeight="1">
      <c r="A38" s="776" t="s">
        <v>354</v>
      </c>
      <c r="B38" s="215" t="s">
        <v>36</v>
      </c>
      <c r="C38" s="220">
        <f>ROUND(C34*F38,0)</f>
        <v>13</v>
      </c>
      <c r="D38" s="220"/>
      <c r="E38" s="220"/>
      <c r="F38" s="259">
        <f>'数据-取费表'!B36</f>
        <v>0.02</v>
      </c>
      <c r="G38" s="219" t="s">
        <v>90</v>
      </c>
    </row>
    <row r="39" spans="1:7" s="214" customFormat="1" ht="13.5" customHeight="1">
      <c r="A39" s="773" t="s">
        <v>338</v>
      </c>
      <c r="B39" s="210" t="s">
        <v>77</v>
      </c>
      <c r="C39" s="232">
        <f>ROUND(C33*F20,0)</f>
        <v>19</v>
      </c>
      <c r="D39" s="232"/>
      <c r="E39" s="232"/>
      <c r="F39" s="233"/>
      <c r="G39" s="1063" t="s">
        <v>433</v>
      </c>
    </row>
    <row r="40" spans="1:7" s="214" customFormat="1" ht="13.5" customHeight="1">
      <c r="A40" s="773" t="s">
        <v>339</v>
      </c>
      <c r="B40" s="210" t="s">
        <v>78</v>
      </c>
      <c r="C40" s="262">
        <f>F21</f>
        <v>2.5000000000000001E-2</v>
      </c>
      <c r="D40" s="236" t="s">
        <v>102</v>
      </c>
      <c r="E40" s="232"/>
      <c r="F40" s="233"/>
      <c r="G40" s="234" t="s">
        <v>93</v>
      </c>
    </row>
    <row r="41" spans="1:7" s="214" customFormat="1" ht="13.5" customHeight="1">
      <c r="A41" s="773" t="s">
        <v>340</v>
      </c>
      <c r="B41" s="210" t="s">
        <v>80</v>
      </c>
      <c r="C41" s="232">
        <f ca="1">ROUND(SUM(C42:C43),0)</f>
        <v>13</v>
      </c>
      <c r="D41" s="235">
        <f ca="1">C44</f>
        <v>4.0000000000000002E-4</v>
      </c>
      <c r="E41" s="236" t="s">
        <v>102</v>
      </c>
      <c r="F41" s="237"/>
      <c r="G41" s="1063" t="str">
        <f>IF('数据-取费表'!B22&lt;=1,"单利计息","复利计息")</f>
        <v>单利计息</v>
      </c>
    </row>
    <row r="42" spans="1:7" ht="13.5" customHeight="1">
      <c r="A42" s="776" t="s">
        <v>349</v>
      </c>
      <c r="B42" s="215" t="s">
        <v>423</v>
      </c>
      <c r="C42" s="238">
        <f ca="1">ROUND(IF('数据-取费表'!B22&lt;=1,C33*F22*'数据-取费表'!B21/2,C33*(POWER((1+F22),'数据-取费表'!B21/2)-1)),0)</f>
        <v>13</v>
      </c>
      <c r="D42" s="238"/>
      <c r="E42" s="238"/>
      <c r="F42" s="239"/>
      <c r="G42" s="3676" t="s">
        <v>94</v>
      </c>
    </row>
    <row r="43" spans="1:7" ht="13.5" customHeight="1">
      <c r="A43" s="776" t="s">
        <v>347</v>
      </c>
      <c r="B43" s="215" t="s">
        <v>426</v>
      </c>
      <c r="C43" s="238">
        <f ca="1">ROUND(IF('数据-取费表'!B22&lt;=1,C39*F22*'数据-取费表'!B21/2,C39*(POWER((1+F22),'数据-取费表'!B21/2)-1)),0)</f>
        <v>0</v>
      </c>
      <c r="D43" s="238"/>
      <c r="E43" s="238"/>
      <c r="F43" s="239"/>
      <c r="G43" s="3677"/>
    </row>
    <row r="44" spans="1:7" ht="13.5" customHeight="1">
      <c r="A44" s="776" t="s">
        <v>348</v>
      </c>
      <c r="B44" s="215" t="s">
        <v>428</v>
      </c>
      <c r="C44" s="238">
        <f ca="1">ROUND(IF('数据-取费表'!B22&lt;=1,C40*F22*'数据-取费表'!B21/2,C40*(POWER((1+F22),'数据-取费表'!B21/2)-1)),4)</f>
        <v>4.0000000000000002E-4</v>
      </c>
      <c r="D44" s="238"/>
      <c r="E44" s="238"/>
      <c r="F44" s="239"/>
      <c r="G44" s="3678"/>
    </row>
    <row r="45" spans="1:7" s="214" customFormat="1" ht="13.5" customHeight="1">
      <c r="A45" s="773" t="s">
        <v>341</v>
      </c>
      <c r="B45" s="244" t="s">
        <v>85</v>
      </c>
      <c r="C45" s="245">
        <f>C46</f>
        <v>62</v>
      </c>
      <c r="D45" s="235">
        <f>C47</f>
        <v>2E-3</v>
      </c>
      <c r="E45" s="236" t="s">
        <v>102</v>
      </c>
      <c r="F45" s="246"/>
      <c r="G45" s="247" t="s">
        <v>434</v>
      </c>
    </row>
    <row r="46" spans="1:7" s="214" customFormat="1" ht="13.5" customHeight="1">
      <c r="A46" s="776" t="s">
        <v>349</v>
      </c>
      <c r="B46" s="248" t="s">
        <v>427</v>
      </c>
      <c r="C46" s="249">
        <f>ROUND((C33+C39)*F27,0)</f>
        <v>62</v>
      </c>
      <c r="D46" s="263"/>
      <c r="E46" s="236"/>
      <c r="F46" s="246"/>
      <c r="G46" s="247"/>
    </row>
    <row r="47" spans="1:7" s="214" customFormat="1" ht="13.5" customHeight="1">
      <c r="A47" s="776" t="s">
        <v>347</v>
      </c>
      <c r="B47" s="248" t="s">
        <v>429</v>
      </c>
      <c r="C47" s="238">
        <f>ROUND(C40*F27,4)</f>
        <v>2E-3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929</v>
      </c>
      <c r="D49" s="232"/>
      <c r="E49" s="232"/>
      <c r="F49" s="264"/>
      <c r="G49" s="234" t="s">
        <v>435</v>
      </c>
    </row>
    <row r="50" spans="1:7" s="258" customFormat="1" ht="24">
      <c r="A50" s="773" t="s">
        <v>344</v>
      </c>
      <c r="B50" s="210" t="s">
        <v>97</v>
      </c>
      <c r="C50" s="232"/>
      <c r="D50" s="232"/>
      <c r="E50" s="232"/>
      <c r="F50" s="264">
        <f>IF('数据-取费表'!B24=0,'数据-取费表'!N16,1)</f>
        <v>0.7</v>
      </c>
      <c r="G50" s="247" t="s">
        <v>98</v>
      </c>
    </row>
    <row r="51" spans="1:7" ht="16.5" customHeight="1">
      <c r="A51" s="773" t="s">
        <v>345</v>
      </c>
      <c r="B51" s="210" t="s">
        <v>105</v>
      </c>
      <c r="C51" s="232">
        <f ca="1">ROUND(C49*F50,0)</f>
        <v>650</v>
      </c>
      <c r="D51" s="232"/>
      <c r="E51" s="232"/>
      <c r="F51" s="264"/>
      <c r="G51" s="234" t="s">
        <v>37</v>
      </c>
    </row>
    <row r="52" spans="1:7" s="208" customFormat="1" ht="16.5" thickBot="1">
      <c r="A52" s="265" t="s">
        <v>38</v>
      </c>
      <c r="B52" s="266"/>
      <c r="C52" s="267">
        <f ca="1">C31+C51</f>
        <v>26286</v>
      </c>
      <c r="D52" s="266"/>
      <c r="E52" s="266"/>
      <c r="F52" s="266"/>
      <c r="G52" s="268"/>
    </row>
    <row r="55" spans="1:7" ht="15">
      <c r="B55" s="270" t="s">
        <v>39</v>
      </c>
      <c r="C55" s="271"/>
    </row>
    <row r="56" spans="1:7">
      <c r="B56" s="273" t="s">
        <v>40</v>
      </c>
      <c r="C56" s="274">
        <f ca="1">ROUND(C51/C52,3)</f>
        <v>2.5000000000000001E-2</v>
      </c>
    </row>
    <row r="57" spans="1:7">
      <c r="B57" s="273" t="s">
        <v>41</v>
      </c>
      <c r="C57" s="275">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14" t="s">
        <v>2843</v>
      </c>
      <c r="B1" s="3814"/>
      <c r="C1" s="3814"/>
      <c r="D1" s="3814"/>
      <c r="E1" s="3814"/>
      <c r="F1" s="3814"/>
      <c r="G1" s="3815"/>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2"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812" t="s">
        <v>2870</v>
      </c>
      <c r="B3" s="3226"/>
      <c r="C3" s="3227" t="s">
        <v>2815</v>
      </c>
      <c r="D3" s="3227" t="s">
        <v>2871</v>
      </c>
      <c r="E3" s="3227" t="s">
        <v>2817</v>
      </c>
      <c r="F3" s="3227" t="s">
        <v>2872</v>
      </c>
      <c r="G3" s="3227" t="s">
        <v>2635</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2" thickBot="1">
      <c r="A4" s="3813"/>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2"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2"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2"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2"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16" t="s">
        <v>3185</v>
      </c>
      <c r="B1" s="3816"/>
    </row>
    <row r="2" spans="1:7" ht="14.25" thickBot="1">
      <c r="A2" s="3251"/>
      <c r="B2" s="3251"/>
    </row>
    <row r="3" spans="1:7" ht="14.25" thickBot="1">
      <c r="A3" s="3251"/>
      <c r="B3" s="3251"/>
      <c r="C3" s="3252" t="s">
        <v>2815</v>
      </c>
      <c r="D3" s="3252" t="s">
        <v>2871</v>
      </c>
      <c r="E3" s="3252" t="s">
        <v>2817</v>
      </c>
      <c r="F3" s="3252" t="s">
        <v>2872</v>
      </c>
      <c r="G3" s="3252" t="s">
        <v>2635</v>
      </c>
    </row>
    <row r="4" spans="1:7" ht="14.2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4.2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4.2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4.2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4.2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4.2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4.2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4.2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4.2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4.2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4.2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17" t="s">
        <v>3236</v>
      </c>
      <c r="B1" s="3817"/>
      <c r="C1" s="3817"/>
      <c r="D1" s="3817"/>
      <c r="E1" s="3817"/>
      <c r="F1" s="3818"/>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45421</v>
      </c>
      <c r="B1" s="3206" t="s">
        <v>3375</v>
      </c>
      <c r="C1" s="3207"/>
      <c r="D1" s="3207"/>
      <c r="E1" s="3207"/>
      <c r="F1" s="3207"/>
      <c r="G1" s="3207"/>
      <c r="H1" s="3207"/>
      <c r="I1" s="3207"/>
      <c r="J1" s="3161"/>
      <c r="K1" s="3207" t="s">
        <v>454</v>
      </c>
      <c r="L1" s="3207"/>
      <c r="M1" s="3207"/>
      <c r="N1" s="3207"/>
      <c r="O1" s="3207"/>
      <c r="P1" s="3207"/>
      <c r="Q1" s="3161"/>
      <c r="R1" s="3819" t="s">
        <v>456</v>
      </c>
      <c r="S1" s="3820"/>
      <c r="T1" s="3820"/>
      <c r="U1" s="3820"/>
      <c r="V1" s="3820"/>
      <c r="W1" s="3820"/>
      <c r="X1" s="3161"/>
      <c r="Y1" s="3819" t="s">
        <v>457</v>
      </c>
      <c r="Z1" s="3820"/>
      <c r="AA1" s="3820"/>
      <c r="AB1" s="3820"/>
      <c r="AC1" s="3820"/>
      <c r="AD1" s="3820"/>
    </row>
    <row r="2" spans="1:30" s="3139" customFormat="1" ht="14.25" thickBot="1">
      <c r="B2" s="3140"/>
      <c r="C2" s="3141"/>
      <c r="D2" s="3142" t="s">
        <v>2814</v>
      </c>
      <c r="E2" s="3143" t="s">
        <v>2815</v>
      </c>
      <c r="F2" s="3143" t="s">
        <v>2816</v>
      </c>
      <c r="G2" s="3143" t="s">
        <v>2817</v>
      </c>
      <c r="H2" s="3143" t="s">
        <v>2818</v>
      </c>
      <c r="I2" s="3143" t="s">
        <v>2635</v>
      </c>
      <c r="J2" s="3144"/>
      <c r="K2" s="3142" t="s">
        <v>2814</v>
      </c>
      <c r="L2" s="3143" t="s">
        <v>2815</v>
      </c>
      <c r="M2" s="3143" t="s">
        <v>2816</v>
      </c>
      <c r="N2" s="3143" t="s">
        <v>2817</v>
      </c>
      <c r="O2" s="3143" t="s">
        <v>2819</v>
      </c>
      <c r="P2" s="3143" t="s">
        <v>2635</v>
      </c>
      <c r="Q2" s="3144"/>
      <c r="R2" s="3142" t="s">
        <v>2814</v>
      </c>
      <c r="S2" s="3143" t="s">
        <v>2815</v>
      </c>
      <c r="T2" s="3143" t="s">
        <v>2816</v>
      </c>
      <c r="U2" s="3143" t="s">
        <v>2820</v>
      </c>
      <c r="V2" s="3143" t="s">
        <v>2821</v>
      </c>
      <c r="W2" s="3143" t="s">
        <v>2635</v>
      </c>
      <c r="X2" s="3144"/>
      <c r="Y2" s="3142" t="s">
        <v>2814</v>
      </c>
      <c r="Z2" s="3143" t="s">
        <v>2815</v>
      </c>
      <c r="AA2" s="3143" t="s">
        <v>2816</v>
      </c>
      <c r="AB2" s="3143" t="s">
        <v>2822</v>
      </c>
      <c r="AC2" s="3143" t="s">
        <v>2821</v>
      </c>
      <c r="AD2" s="3143" t="s">
        <v>2635</v>
      </c>
    </row>
    <row r="3" spans="1:30" s="3157" customFormat="1" ht="12.75">
      <c r="A3" s="3145" t="s">
        <v>2823</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3378</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3379</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3381</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3382</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3374</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3373</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3372</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3368</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3359</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2824</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2825</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2826</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2827</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2828</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3370</v>
      </c>
    </row>
    <row r="21" spans="1:30" s="3005" customFormat="1">
      <c r="I21" s="3204" t="s">
        <v>2829</v>
      </c>
    </row>
    <row r="22" spans="1:30" s="3005" customFormat="1"/>
    <row r="23" spans="1:30" s="3205" customFormat="1" ht="12.75">
      <c r="B23" s="3206" t="s">
        <v>3376</v>
      </c>
      <c r="C23" s="3207"/>
      <c r="D23" s="3207"/>
      <c r="E23" s="3207"/>
      <c r="F23" s="3207"/>
      <c r="G23" s="3207"/>
      <c r="H23" s="3207"/>
      <c r="I23" s="3207"/>
      <c r="J23" s="3161"/>
      <c r="K23" s="3207" t="s">
        <v>2830</v>
      </c>
      <c r="L23" s="3207"/>
      <c r="M23" s="3207"/>
      <c r="N23" s="3207"/>
      <c r="O23" s="3207"/>
      <c r="P23" s="3207"/>
      <c r="Q23" s="3161"/>
      <c r="R23" s="3819" t="s">
        <v>2831</v>
      </c>
      <c r="S23" s="3820"/>
      <c r="T23" s="3820"/>
      <c r="U23" s="3820"/>
      <c r="V23" s="3820"/>
      <c r="W23" s="3820"/>
      <c r="X23" s="3161"/>
      <c r="Y23" s="3819" t="s">
        <v>2832</v>
      </c>
      <c r="Z23" s="3820"/>
      <c r="AA23" s="3820"/>
      <c r="AB23" s="3820"/>
      <c r="AC23" s="3820"/>
      <c r="AD23" s="3820"/>
    </row>
    <row r="24" spans="1:30" s="3139" customFormat="1" ht="14.25" thickBot="1">
      <c r="B24" s="3140"/>
      <c r="C24" s="3141"/>
      <c r="D24" s="3142" t="s">
        <v>2833</v>
      </c>
      <c r="E24" s="3143" t="s">
        <v>2834</v>
      </c>
      <c r="F24" s="3143" t="s">
        <v>2835</v>
      </c>
      <c r="G24" s="3143" t="s">
        <v>2836</v>
      </c>
      <c r="H24" s="3143"/>
      <c r="I24" s="3143" t="s">
        <v>2837</v>
      </c>
      <c r="J24" s="3144"/>
      <c r="K24" s="3142" t="s">
        <v>2833</v>
      </c>
      <c r="L24" s="3143" t="s">
        <v>2834</v>
      </c>
      <c r="M24" s="3143" t="s">
        <v>2835</v>
      </c>
      <c r="N24" s="3143" t="s">
        <v>2836</v>
      </c>
      <c r="O24" s="3143"/>
      <c r="P24" s="3143" t="s">
        <v>2837</v>
      </c>
      <c r="Q24" s="3144"/>
      <c r="R24" s="3142" t="s">
        <v>2833</v>
      </c>
      <c r="S24" s="3143" t="s">
        <v>2834</v>
      </c>
      <c r="T24" s="3143" t="s">
        <v>2835</v>
      </c>
      <c r="U24" s="3143" t="s">
        <v>2836</v>
      </c>
      <c r="V24" s="3143"/>
      <c r="W24" s="3143" t="s">
        <v>2837</v>
      </c>
      <c r="X24" s="3144"/>
      <c r="Y24" s="3142" t="s">
        <v>2833</v>
      </c>
      <c r="Z24" s="3143" t="s">
        <v>2834</v>
      </c>
      <c r="AA24" s="3143" t="s">
        <v>2835</v>
      </c>
      <c r="AB24" s="3143" t="s">
        <v>2836</v>
      </c>
      <c r="AC24" s="3143"/>
      <c r="AD24" s="3143" t="s">
        <v>2837</v>
      </c>
    </row>
    <row r="25" spans="1:30" s="3157" customFormat="1" ht="12.75">
      <c r="A25" s="3145" t="s">
        <v>2838</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3378</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3379</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3383</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3382</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3377</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3373</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3372</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3369</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3359</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2839</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2840</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2841</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2842</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2828</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6" t="s">
        <v>452</v>
      </c>
      <c r="C1" s="3826"/>
      <c r="D1" s="3826"/>
      <c r="E1" s="3826"/>
      <c r="F1" s="3826"/>
      <c r="G1" s="3822" t="s">
        <v>453</v>
      </c>
      <c r="H1" s="3822"/>
      <c r="I1" s="3822"/>
      <c r="J1" s="3822"/>
      <c r="K1" s="3822"/>
      <c r="L1" s="3822"/>
      <c r="N1" s="3822" t="s">
        <v>454</v>
      </c>
      <c r="O1" s="3822"/>
      <c r="P1" s="3822"/>
      <c r="Q1" s="3822"/>
      <c r="S1" s="3822" t="s">
        <v>455</v>
      </c>
      <c r="T1" s="3822"/>
      <c r="U1" s="3822"/>
      <c r="V1" s="3822"/>
      <c r="X1" s="3821" t="s">
        <v>456</v>
      </c>
      <c r="Y1" s="3822"/>
      <c r="Z1" s="3822"/>
      <c r="AA1" s="3822"/>
      <c r="AB1" s="3822"/>
      <c r="AD1" s="3821" t="s">
        <v>457</v>
      </c>
      <c r="AE1" s="3822"/>
      <c r="AF1" s="3822"/>
      <c r="AG1" s="3822"/>
      <c r="AH1" s="3822"/>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2440</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4">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4"/>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4"/>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1"/>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27">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4"/>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4"/>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1"/>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7">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4"/>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4"/>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5"/>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3">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4"/>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4"/>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5"/>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3">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4"/>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4"/>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5"/>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8">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9"/>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9"/>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0"/>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3">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4"/>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4"/>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5"/>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3">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4">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4">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5">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3">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4">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4">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5">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3">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4">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4">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5">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3">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4">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4">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5">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3">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4">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4">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5">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3">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4">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4">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5">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3">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4">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4">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5">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3">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4">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4">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5">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3">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4">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4">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5">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3">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4">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4">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5">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45421</v>
      </c>
      <c r="D1" s="1298" t="s">
        <v>603</v>
      </c>
      <c r="E1" s="1293">
        <f>'数据-取费表'!B22</f>
        <v>1</v>
      </c>
      <c r="F1" s="1298" t="s">
        <v>604</v>
      </c>
      <c r="G1" s="1294">
        <f ca="1">INDIRECT("d"&amp;$K$1)/100</f>
        <v>3.4500000000000003E-2</v>
      </c>
      <c r="H1" s="1298" t="s">
        <v>634</v>
      </c>
      <c r="I1" s="1294">
        <f ca="1">F4/100</f>
        <v>1.4999999999999999E-2</v>
      </c>
      <c r="J1" s="1299">
        <f>IF(C1&gt;C13,0,MATCH(C1,C$13:C$111,-1))+IF(SUMIF(C13:C111,C1,D13:D111)=0,13,12)</f>
        <v>13</v>
      </c>
      <c r="K1" s="1299">
        <f ca="1">MATCH(E1,C3:C7,1)+IF(SUMIF(C3:C7,E1,D3:D7)=0,2,1)</f>
        <v>4</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45159</v>
      </c>
      <c r="D13" s="2818">
        <v>3.45</v>
      </c>
      <c r="E13" s="2818">
        <f>D13</f>
        <v>3.45</v>
      </c>
      <c r="F13" s="2818">
        <f>D13</f>
        <v>3.45</v>
      </c>
      <c r="G13" s="2818">
        <f>D13</f>
        <v>3.45</v>
      </c>
      <c r="H13" s="2818">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2" t="s">
        <v>2313</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workbookViewId="0"/>
  </sheetViews>
  <sheetFormatPr defaultRowHeight="13.5"/>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501"/>
      <c r="B3" s="3501"/>
      <c r="C3" s="3501"/>
      <c r="D3" s="850" t="s">
        <v>925</v>
      </c>
      <c r="E3" s="850" t="s">
        <v>931</v>
      </c>
      <c r="F3" s="850" t="s">
        <v>925</v>
      </c>
      <c r="G3" s="850" t="s">
        <v>926</v>
      </c>
      <c r="H3" s="850" t="s">
        <v>925</v>
      </c>
      <c r="I3" s="850" t="s">
        <v>926</v>
      </c>
    </row>
    <row r="4" spans="1:9" ht="45">
      <c r="A4" s="1501" t="str">
        <f>项目基本情况!S2</f>
        <v>北京市 怀柔区开放东路21号3幢1层、4幢1层、5幢1层、6幢1层、7-2幢1层全部房地产</v>
      </c>
      <c r="B4" s="850">
        <f>项目基本情况!C17</f>
        <v>2447.34</v>
      </c>
      <c r="C4" s="850">
        <f>项目基本情况!C18</f>
        <v>5389.47</v>
      </c>
      <c r="D4" s="850">
        <f ca="1">结果表!D118</f>
        <v>776</v>
      </c>
      <c r="E4" s="850">
        <f ca="1">结果表!E118</f>
        <v>3171</v>
      </c>
      <c r="F4" s="850">
        <f ca="1">结果表!F118</f>
        <v>628</v>
      </c>
      <c r="G4" s="850">
        <f ca="1">结果表!G118</f>
        <v>2566</v>
      </c>
      <c r="H4" s="850">
        <f ca="1">结果表!H118</f>
        <v>1404</v>
      </c>
      <c r="I4" s="850">
        <f ca="1">结果表!I118</f>
        <v>5737</v>
      </c>
    </row>
    <row r="5" spans="1:9" ht="30" customHeight="1">
      <c r="A5" s="3501" t="s">
        <v>927</v>
      </c>
      <c r="B5" s="3501"/>
      <c r="C5" s="3501"/>
      <c r="D5" s="3501" t="str">
        <f ca="1">结果表!D119</f>
        <v>柒佰柒拾陆万元整</v>
      </c>
      <c r="E5" s="3501"/>
      <c r="F5" s="3501" t="str">
        <f ca="1">结果表!F119</f>
        <v>陆佰贰拾捌万元整</v>
      </c>
      <c r="G5" s="3501"/>
      <c r="H5" s="3501" t="str">
        <f ca="1">结果表!H119</f>
        <v>壹仟肆佰零肆万元整</v>
      </c>
      <c r="I5" s="3501"/>
    </row>
    <row r="6" spans="1:9" ht="15.75">
      <c r="A6" s="3502" t="str">
        <f>结果表!A120</f>
        <v>估价师知悉的法定优先受偿款</v>
      </c>
      <c r="B6" s="3502"/>
      <c r="C6" s="3502"/>
      <c r="D6" s="3502">
        <f>结果表!D120</f>
        <v>0</v>
      </c>
      <c r="E6" s="3502"/>
      <c r="F6" s="3502"/>
      <c r="G6" s="3502"/>
      <c r="H6" s="3502"/>
      <c r="I6" s="3502"/>
    </row>
    <row r="7" spans="1:9" ht="15">
      <c r="A7" s="3501" t="s">
        <v>927</v>
      </c>
      <c r="B7" s="3501"/>
      <c r="C7" s="3501"/>
      <c r="D7" s="3503" t="str">
        <f>结果表!D121</f>
        <v>零元整</v>
      </c>
      <c r="E7" s="3504"/>
      <c r="F7" s="3504"/>
      <c r="G7" s="3504"/>
      <c r="H7" s="3504"/>
      <c r="I7" s="3505"/>
    </row>
    <row r="8" spans="1:9" ht="15.75">
      <c r="A8" s="3502" t="str">
        <f>结果表!A122</f>
        <v>房地产抵押价值</v>
      </c>
      <c r="B8" s="3502"/>
      <c r="C8" s="3502"/>
      <c r="D8" s="3502">
        <f ca="1">结果表!D122</f>
        <v>1404</v>
      </c>
      <c r="E8" s="3502"/>
      <c r="F8" s="3502"/>
      <c r="G8" s="3502"/>
      <c r="H8" s="3502"/>
      <c r="I8" s="3502"/>
    </row>
    <row r="9" spans="1:9" ht="15">
      <c r="A9" s="3501" t="s">
        <v>927</v>
      </c>
      <c r="B9" s="3501"/>
      <c r="C9" s="3501"/>
      <c r="D9" s="3501" t="str">
        <f ca="1">结果表!D123</f>
        <v>壹仟肆佰零肆万元整</v>
      </c>
      <c r="E9" s="3501"/>
      <c r="F9" s="3501"/>
      <c r="G9" s="3501"/>
      <c r="H9" s="3501"/>
      <c r="I9" s="3501"/>
    </row>
    <row r="10" spans="1:9" ht="15.75">
      <c r="A10" s="3502" t="str">
        <f>结果表!A124</f>
        <v/>
      </c>
      <c r="B10" s="3502"/>
      <c r="C10" s="3502"/>
      <c r="D10" s="3502" t="str">
        <f>结果表!D124</f>
        <v>——</v>
      </c>
      <c r="E10" s="3502"/>
      <c r="F10" s="3502"/>
      <c r="G10" s="3502"/>
      <c r="H10" s="3502"/>
      <c r="I10" s="3502"/>
    </row>
    <row r="11" spans="1:9" ht="15">
      <c r="A11" s="3501" t="s">
        <v>927</v>
      </c>
      <c r="B11" s="3501"/>
      <c r="C11" s="3501"/>
      <c r="D11" s="3501" t="e">
        <f>结果表!D125</f>
        <v>#VALUE!</v>
      </c>
      <c r="E11" s="3501"/>
      <c r="F11" s="3501"/>
      <c r="G11" s="3501"/>
      <c r="H11" s="3501"/>
      <c r="I11" s="3501"/>
    </row>
    <row r="12" spans="1:9" ht="15.75">
      <c r="A12" s="3502" t="str">
        <f>结果表!A126</f>
        <v/>
      </c>
      <c r="B12" s="3502"/>
      <c r="C12" s="3502"/>
      <c r="D12" s="3502" t="str">
        <f>结果表!D126</f>
        <v>——</v>
      </c>
      <c r="E12" s="3502"/>
      <c r="F12" s="3502"/>
      <c r="G12" s="3502"/>
      <c r="H12" s="3502"/>
      <c r="I12" s="3502"/>
    </row>
    <row r="13" spans="1:9" ht="15.75" thickBot="1">
      <c r="A13" s="3506" t="s">
        <v>927</v>
      </c>
      <c r="B13" s="3506"/>
      <c r="C13" s="3506"/>
      <c r="D13" s="3506" t="e">
        <f>结果表!D127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08" t="s">
        <v>949</v>
      </c>
      <c r="B1" s="3508"/>
      <c r="C1" s="3508"/>
      <c r="D1" s="3508"/>
    </row>
    <row r="2" spans="1:4" ht="18">
      <c r="A2" s="3509" t="s">
        <v>933</v>
      </c>
      <c r="B2" s="3509"/>
      <c r="C2" s="3509"/>
      <c r="D2" s="3509"/>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09" t="s">
        <v>939</v>
      </c>
      <c r="B6" s="3509"/>
      <c r="C6" s="3509"/>
      <c r="D6" s="3509"/>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10" t="s">
        <v>942</v>
      </c>
      <c r="B11" s="3511"/>
      <c r="C11" s="3511"/>
      <c r="D11" s="3511"/>
    </row>
    <row r="12" spans="1:4" ht="15.75">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11" t="str">
        <f>IF(项目基本情况!B8="抵押","4.本次评估估价师所知悉的法定优先受偿款情况说明如下：","——")</f>
        <v>4.本次评估估价师所知悉的法定优先受偿款情况说明如下：</v>
      </c>
      <c r="B14" s="3512"/>
      <c r="C14" s="3512"/>
      <c r="D14" s="3512"/>
    </row>
    <row r="15" spans="1:4" ht="42" customHeight="1">
      <c r="A15" s="35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1"/>
      <c r="C15" s="3511"/>
      <c r="D15" s="3511"/>
    </row>
    <row r="16" spans="1:4" ht="30" customHeight="1">
      <c r="A16" s="3514" t="s">
        <v>943</v>
      </c>
      <c r="B16" s="3514"/>
      <c r="C16" s="3514"/>
      <c r="D16" s="3514"/>
    </row>
    <row r="17" spans="1:4" ht="144" customHeight="1">
      <c r="A17" s="3514" t="s">
        <v>944</v>
      </c>
      <c r="B17" s="3514"/>
      <c r="C17" s="3514"/>
      <c r="D17" s="3514"/>
    </row>
    <row r="18" spans="1:4" ht="15.75" customHeight="1">
      <c r="A18" s="3511" t="str">
        <f>IF(项目基本情况!B8="抵押",结果表!K120,"——")</f>
        <v>故，本次评估不存在估价师知悉的法定优先受偿款</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1"/>
      <c r="C20" s="3511"/>
      <c r="D20" s="3511"/>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5"/>
      <c r="C21" s="3515"/>
      <c r="D21" s="3515"/>
    </row>
    <row r="22" spans="1:4" ht="18.75" customHeight="1">
      <c r="A22" s="3516" t="s">
        <v>945</v>
      </c>
      <c r="B22" s="3516"/>
      <c r="C22" s="3516"/>
      <c r="D22" s="3516"/>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13">
        <v>42551</v>
      </c>
      <c r="D31" s="35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22" t="s">
        <v>956</v>
      </c>
      <c r="B15" s="3517" t="s">
        <v>109</v>
      </c>
      <c r="C15" s="3518"/>
    </row>
    <row r="16" spans="1:7" ht="13.5">
      <c r="A16" s="3523"/>
      <c r="B16" s="3517" t="s">
        <v>42</v>
      </c>
      <c r="C16" s="3518"/>
    </row>
    <row r="17" spans="1:3" ht="13.5">
      <c r="A17" s="3523"/>
      <c r="B17" s="3520" t="s">
        <v>957</v>
      </c>
      <c r="C17" s="1528" t="s">
        <v>956</v>
      </c>
    </row>
    <row r="18" spans="1:3" ht="13.5">
      <c r="A18" s="3523"/>
      <c r="B18" s="3520"/>
      <c r="C18" s="1528" t="s">
        <v>958</v>
      </c>
    </row>
    <row r="19" spans="1:3" ht="13.5">
      <c r="A19" s="3523"/>
      <c r="B19" s="3520"/>
      <c r="C19" s="1528" t="s">
        <v>959</v>
      </c>
    </row>
    <row r="20" spans="1:3" ht="13.5">
      <c r="A20" s="3524"/>
      <c r="B20" s="3519" t="s">
        <v>960</v>
      </c>
      <c r="C20" s="3518"/>
    </row>
    <row r="21" spans="1:3" ht="13.5">
      <c r="A21" s="1529" t="s">
        <v>961</v>
      </c>
      <c r="B21" s="1530"/>
      <c r="C21" s="1531"/>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28" t="s">
        <v>967</v>
      </c>
    </row>
    <row r="26" spans="1:3" ht="13.5">
      <c r="A26" s="3521"/>
      <c r="B26" s="3520"/>
      <c r="C26" s="1528" t="s">
        <v>968</v>
      </c>
    </row>
    <row r="27" spans="1:3" ht="13.5">
      <c r="A27" s="3521"/>
      <c r="B27" s="3520"/>
      <c r="C27" s="1528" t="s">
        <v>969</v>
      </c>
    </row>
    <row r="28" spans="1:3" ht="13.5">
      <c r="A28" s="3521"/>
      <c r="B28" s="3520"/>
      <c r="C28" s="1528" t="s">
        <v>970</v>
      </c>
    </row>
    <row r="29" spans="1:3" ht="13.5">
      <c r="A29" s="3521"/>
      <c r="B29" s="3520"/>
      <c r="C29" s="1528" t="s">
        <v>971</v>
      </c>
    </row>
    <row r="30" spans="1:3" ht="13.5">
      <c r="A30" s="3521"/>
      <c r="B30" s="3520"/>
      <c r="C30" s="1528" t="s">
        <v>972</v>
      </c>
    </row>
    <row r="31" spans="1:3" ht="13.5">
      <c r="A31" s="3521"/>
      <c r="B31" s="3520"/>
      <c r="C31" s="1528" t="s">
        <v>973</v>
      </c>
    </row>
    <row r="32" spans="1:3" ht="13.5">
      <c r="A32" s="3521"/>
      <c r="B32" s="3520"/>
      <c r="C32" s="1528" t="s">
        <v>974</v>
      </c>
    </row>
    <row r="33" spans="1:3" ht="13.5">
      <c r="A33" s="3521"/>
      <c r="B33" s="3520"/>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45422</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t="str">
        <f ca="1">IF(C6&lt;B2,"已过期",1120050019)</f>
        <v>已过期</v>
      </c>
      <c r="C6" s="2341">
        <v>45410</v>
      </c>
      <c r="D6" s="2342" t="str">
        <f t="shared" ca="1" si="0"/>
        <v>王鹏（注册号：已过期）</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f ca="1">IF(C9&lt;B2,"已过期",1120060040)</f>
        <v>1120060040</v>
      </c>
      <c r="C9" s="2346">
        <v>45592</v>
      </c>
      <c r="D9" s="2342" t="str">
        <f t="shared" ca="1" si="0"/>
        <v>陈颖（注册号：1120060040）</v>
      </c>
      <c r="E9" s="2343" t="s">
        <v>2153</v>
      </c>
      <c r="F9" s="1300">
        <f ca="1">IF(G9&lt;B2,"已过期",2004110096)</f>
        <v>2004110096</v>
      </c>
      <c r="G9" s="2344">
        <v>47118</v>
      </c>
      <c r="H9" s="2345" t="str">
        <f t="shared" ca="1" si="1"/>
        <v>陈颖（注册号：2004110096）</v>
      </c>
    </row>
    <row r="10" spans="1:8" ht="24" customHeight="1">
      <c r="A10" s="1300" t="s">
        <v>2154</v>
      </c>
      <c r="B10" s="1300">
        <f ca="1">IF(C10&lt;B2,"已过期",1120100036)</f>
        <v>1120100036</v>
      </c>
      <c r="C10" s="2346">
        <v>45752</v>
      </c>
      <c r="D10" s="2342" t="str">
        <f t="shared" ca="1" si="0"/>
        <v>崔锴（注册号：1120100036）</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t="str">
        <f ca="1">IF(C13&lt;B2,"已过期",1120020033)</f>
        <v>已过期</v>
      </c>
      <c r="C13" s="2341">
        <v>45375</v>
      </c>
      <c r="D13" s="2342" t="str">
        <f t="shared" ca="1" si="0"/>
        <v>刘敬东（注册号：已过期）</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2441</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25" t="s">
        <v>2160</v>
      </c>
      <c r="B17" s="3525"/>
      <c r="C17" s="3525"/>
      <c r="D17" s="3525"/>
      <c r="E17" s="3525"/>
      <c r="F17" s="3525"/>
      <c r="G17" s="3525"/>
      <c r="H17" s="3525"/>
    </row>
    <row r="18" spans="1:8" ht="24" customHeight="1">
      <c r="A18" s="3526" t="s">
        <v>2161</v>
      </c>
      <c r="B18" s="3526"/>
      <c r="C18" s="3526"/>
      <c r="D18" s="2339"/>
      <c r="E18" s="3527" t="s">
        <v>2162</v>
      </c>
      <c r="F18" s="3526"/>
      <c r="G18" s="3526"/>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2442</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基准地价修正</vt:lpstr>
      <vt:lpstr>收益法-酒店模型</vt:lpstr>
      <vt:lpstr>收益法（汇总）</vt:lpstr>
      <vt:lpstr>比较法-住宅</vt:lpstr>
      <vt:lpstr>比较法-商业</vt:lpstr>
      <vt:lpstr>比较法-办公</vt:lpstr>
      <vt:lpstr>合同租金</vt:lpstr>
      <vt:lpstr>租金案例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2024-05-10T07:09:39Z</dcterms:modified>
</cp:coreProperties>
</file>