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顺义成本+市场\"/>
    </mc:Choice>
  </mc:AlternateContent>
  <xr:revisionPtr revIDLastSave="0" documentId="13_ncr:1_{F93CE06A-9EDA-434D-A38F-B4E7CA0DD7D4}" xr6:coauthVersionLast="45" xr6:coauthVersionMax="45" xr10:uidLastSave="{00000000-0000-0000-0000-000000000000}"/>
  <bookViews>
    <workbookView xWindow="-120" yWindow="-120" windowWidth="21840" windowHeight="1314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分区" sheetId="78"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r:id="rId43"/>
    <sheet name="地价" sheetId="71"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39">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3" i="3" l="1"/>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B5" i="78"/>
  <c r="AC5" i="78"/>
  <c r="AB6" i="78"/>
  <c r="AC6" i="78"/>
  <c r="AB7" i="78"/>
  <c r="AC7" i="78"/>
  <c r="AB8" i="78"/>
  <c r="AC8" i="78"/>
  <c r="AB9" i="78"/>
  <c r="AC9" i="78"/>
  <c r="AB10" i="78"/>
  <c r="AC10" i="78"/>
  <c r="AB11" i="78"/>
  <c r="AC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V10" i="78" s="1"/>
  <c r="O11" i="78"/>
  <c r="V11" i="78" s="1"/>
  <c r="O12" i="78"/>
  <c r="V12" i="78" s="1"/>
  <c r="O13" i="78"/>
  <c r="I13" i="78"/>
  <c r="I12" i="78"/>
  <c r="I11" i="78"/>
  <c r="I10" i="78"/>
  <c r="I9" i="78"/>
  <c r="M5" i="78"/>
  <c r="P5" i="78" s="1"/>
  <c r="N5" i="78"/>
  <c r="M6" i="78"/>
  <c r="P6" i="78" s="1"/>
  <c r="N6" i="78"/>
  <c r="M7" i="78"/>
  <c r="N7" i="78"/>
  <c r="M8" i="78"/>
  <c r="N8" i="78"/>
  <c r="M9" i="78"/>
  <c r="P9" i="78" s="1"/>
  <c r="N9" i="78"/>
  <c r="U9" i="78" s="1"/>
  <c r="M10" i="78"/>
  <c r="T10" i="78" s="1"/>
  <c r="N10" i="78"/>
  <c r="U10" i="78" s="1"/>
  <c r="M11" i="78"/>
  <c r="P11" i="78" s="1"/>
  <c r="N11" i="78"/>
  <c r="U11" i="78" s="1"/>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S28" i="78" l="1"/>
  <c r="T11" i="78"/>
  <c r="R5" i="78"/>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C28" i="43" l="1"/>
  <c r="Y10" i="43"/>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s="1"/>
  <c r="R27" i="77"/>
  <c r="M24" i="77"/>
  <c r="R23" i="77"/>
  <c r="D23" i="77"/>
  <c r="D38" i="77" s="1"/>
  <c r="D39" i="77" s="1"/>
  <c r="C23" i="77"/>
  <c r="R22" i="77"/>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R24" i="77"/>
  <c r="D26" i="77"/>
  <c r="R35" i="77"/>
  <c r="U34" i="77" s="1"/>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V69" i="71"/>
  <c r="R29" i="71"/>
  <c r="G29" i="71" s="1"/>
  <c r="G28" i="71" s="1"/>
  <c r="G27" i="71" s="1"/>
  <c r="U69" i="71"/>
  <c r="R69" i="7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9" i="43"/>
  <c r="C22" i="20"/>
  <c r="B101" i="43" s="1"/>
  <c r="B78" i="43"/>
  <c r="B58" i="43"/>
  <c r="B69"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J21" i="34"/>
  <c r="J21" i="33"/>
  <c r="F83" i="21"/>
  <c r="G83" i="21" s="1"/>
  <c r="H21" i="21"/>
  <c r="F38" i="69"/>
  <c r="E37" i="69"/>
  <c r="F36" i="69"/>
  <c r="F35" i="69"/>
  <c r="F21" i="69"/>
  <c r="F20" i="69"/>
  <c r="F39" i="69" s="1"/>
  <c r="E10" i="69"/>
  <c r="E9" i="69"/>
  <c r="AC21" i="37"/>
  <c r="W21" i="37"/>
  <c r="AC21" i="34"/>
  <c r="W21" i="34"/>
  <c r="AC21" i="33"/>
  <c r="W21" i="33"/>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I15" i="4"/>
  <c r="H15" i="4"/>
  <c r="G15" i="4"/>
  <c r="E15" i="4"/>
  <c r="D15" i="4"/>
  <c r="I24" i="43" s="1"/>
  <c r="F7" i="1"/>
  <c r="L21" i="4"/>
  <c r="F19" i="4"/>
  <c r="F2" i="52"/>
  <c r="B50" i="72"/>
  <c r="D2" i="52"/>
  <c r="B46" i="72"/>
  <c r="B8" i="53"/>
  <c r="B23" i="72"/>
  <c r="L4" i="9"/>
  <c r="B17" i="72"/>
  <c r="B15" i="72"/>
  <c r="A3" i="51"/>
  <c r="C8" i="11"/>
  <c r="B40" i="48"/>
  <c r="B3" i="72" s="1"/>
  <c r="N1" i="43"/>
  <c r="F35" i="4"/>
  <c r="J55" i="39"/>
  <c r="H38" i="43"/>
  <c r="H39" i="43"/>
  <c r="H40" i="43"/>
  <c r="H41" i="43"/>
  <c r="H42"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5" i="3" s="1"/>
  <c r="BP14" i="3"/>
  <c r="BP15" i="3"/>
  <c r="BP16" i="3"/>
  <c r="BP17" i="3"/>
  <c r="E19" i="6"/>
  <c r="E20" i="6"/>
  <c r="E21" i="6"/>
  <c r="K8" i="1"/>
  <c r="M8" i="1" s="1"/>
  <c r="F23" i="15"/>
  <c r="D24" i="15" s="1"/>
  <c r="E22" i="6"/>
  <c r="E23" i="6"/>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22" i="31" s="1"/>
  <c r="R22" i="31" s="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F5" i="3" s="1"/>
  <c r="BG526" i="3"/>
  <c r="BH526" i="3"/>
  <c r="BI526" i="3"/>
  <c r="BJ526" i="3"/>
  <c r="BJ5" i="3" s="1"/>
  <c r="BK526" i="3"/>
  <c r="BM526" i="3"/>
  <c r="BM5" i="3" s="1"/>
  <c r="BN526" i="3"/>
  <c r="BO526" i="3"/>
  <c r="BP526" i="3"/>
  <c r="BQ526" i="3"/>
  <c r="BR526" i="3"/>
  <c r="BS526" i="3"/>
  <c r="BS5" i="3" s="1"/>
  <c r="BT526" i="3"/>
  <c r="H527" i="3"/>
  <c r="AC527" i="3"/>
  <c r="BB527" i="3"/>
  <c r="BC527" i="3"/>
  <c r="BD527" i="3"/>
  <c r="BE527" i="3"/>
  <c r="BF527" i="3"/>
  <c r="BG527" i="3"/>
  <c r="BH527" i="3"/>
  <c r="BI527" i="3"/>
  <c r="BJ527" i="3"/>
  <c r="BK527" i="3"/>
  <c r="BM527" i="3"/>
  <c r="BL527" i="3" s="1"/>
  <c r="BN527" i="3"/>
  <c r="BO527" i="3"/>
  <c r="BP527" i="3"/>
  <c r="BR527" i="3"/>
  <c r="BR5" i="3" s="1"/>
  <c r="BS527" i="3"/>
  <c r="BT527" i="3"/>
  <c r="BT5" i="3" s="1"/>
  <c r="H528" i="3"/>
  <c r="AC528" i="3"/>
  <c r="AC5" i="3" s="1"/>
  <c r="BB528" i="3"/>
  <c r="BC528" i="3"/>
  <c r="BD528" i="3"/>
  <c r="BE528" i="3"/>
  <c r="BF528" i="3"/>
  <c r="BG528" i="3"/>
  <c r="BH528" i="3"/>
  <c r="BI528" i="3"/>
  <c r="BI5" i="3" s="1"/>
  <c r="BJ528" i="3"/>
  <c r="BK528" i="3"/>
  <c r="BM528" i="3"/>
  <c r="BN528" i="3"/>
  <c r="BL528" i="3" s="1"/>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G530" i="3" s="1"/>
  <c r="AC530" i="3"/>
  <c r="BB530" i="3"/>
  <c r="BA530" i="3" s="1"/>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L531" i="3" s="1"/>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L535" i="3" s="1"/>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L543" i="3" s="1"/>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L547" i="3" s="1"/>
  <c r="BO547" i="3"/>
  <c r="BP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s="1"/>
  <c r="G125" i="21" s="1"/>
  <c r="D123" i="21"/>
  <c r="E123" i="21"/>
  <c r="F123" i="21" s="1"/>
  <c r="F42" i="21"/>
  <c r="D119" i="21"/>
  <c r="F40" i="21"/>
  <c r="AA40" i="21"/>
  <c r="D117" i="21"/>
  <c r="E117" i="21"/>
  <c r="F117" i="21" s="1"/>
  <c r="G117" i="21"/>
  <c r="D115" i="21"/>
  <c r="E115" i="21"/>
  <c r="F115" i="21" s="1"/>
  <c r="G115" i="21" s="1"/>
  <c r="H115" i="21" s="1"/>
  <c r="I115" i="21" s="1"/>
  <c r="J115" i="21" s="1"/>
  <c r="K115" i="21" s="1"/>
  <c r="L115" i="21" s="1"/>
  <c r="M115" i="21"/>
  <c r="D113" i="21"/>
  <c r="E113" i="21"/>
  <c r="F113" i="21" s="1"/>
  <c r="G113" i="21" s="1"/>
  <c r="H113" i="21" s="1"/>
  <c r="D110" i="21"/>
  <c r="E110" i="21" s="1"/>
  <c r="F110" i="21" s="1"/>
  <c r="G110" i="21" s="1"/>
  <c r="H110" i="2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36" i="35"/>
  <c r="W22" i="35"/>
  <c r="S31" i="35"/>
  <c r="U34" i="35"/>
  <c r="F36" i="34"/>
  <c r="J35" i="34"/>
  <c r="U34" i="34"/>
  <c r="H39" i="33"/>
  <c r="AB39" i="33" s="1"/>
  <c r="F26" i="33"/>
  <c r="S9" i="33"/>
  <c r="U35" i="33"/>
  <c r="S40" i="33"/>
  <c r="W33" i="33"/>
  <c r="H39" i="37"/>
  <c r="AB39" i="37" s="1"/>
  <c r="S27" i="35"/>
  <c r="F11" i="40"/>
  <c r="AA11" i="40"/>
  <c r="H11" i="40"/>
  <c r="AB11" i="40"/>
  <c r="W8" i="40"/>
  <c r="AC40" i="40"/>
  <c r="AA9" i="40"/>
  <c r="AC9" i="40"/>
  <c r="U9" i="40"/>
  <c r="S34" i="40"/>
  <c r="S40" i="40"/>
  <c r="W31" i="40"/>
  <c r="U34" i="40"/>
  <c r="U40" i="40"/>
  <c r="F42" i="39"/>
  <c r="F41" i="39"/>
  <c r="S41" i="39" s="1"/>
  <c r="H40" i="39"/>
  <c r="AB40" i="39" s="1"/>
  <c r="H39" i="39"/>
  <c r="U39" i="39" s="1"/>
  <c r="S38" i="39"/>
  <c r="S34" i="39"/>
  <c r="H34" i="39"/>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AC23" i="40" s="1"/>
  <c r="F21" i="40"/>
  <c r="J21" i="40"/>
  <c r="W21" i="40" s="1"/>
  <c r="H42" i="39"/>
  <c r="AB42" i="39" s="1"/>
  <c r="J34" i="39"/>
  <c r="AC34"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AC15" i="34" s="1"/>
  <c r="H15" i="34"/>
  <c r="AB15" i="34"/>
  <c r="S9" i="34"/>
  <c r="W8" i="34"/>
  <c r="J28" i="34"/>
  <c r="W28" i="34"/>
  <c r="F41" i="33"/>
  <c r="AA41" i="33"/>
  <c r="S38" i="33"/>
  <c r="E113" i="33"/>
  <c r="F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9" i="21"/>
  <c r="U29" i="21"/>
  <c r="J31" i="21"/>
  <c r="AC31" i="21"/>
  <c r="F31" i="21"/>
  <c r="S31" i="21"/>
  <c r="F45" i="21"/>
  <c r="AA45" i="21"/>
  <c r="F27" i="33"/>
  <c r="AA27" i="33"/>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1" i="36"/>
  <c r="AA14" i="34"/>
  <c r="U31" i="33"/>
  <c r="AC28" i="21"/>
  <c r="BA585" i="3"/>
  <c r="F17" i="21"/>
  <c r="AA17" i="21"/>
  <c r="H17" i="21"/>
  <c r="AB17" i="21"/>
  <c r="F15" i="21"/>
  <c r="S15" i="21"/>
  <c r="AB11" i="21"/>
  <c r="J41" i="39"/>
  <c r="W41" i="39" s="1"/>
  <c r="AC45" i="39"/>
  <c r="W44" i="39"/>
  <c r="W36" i="39"/>
  <c r="W35" i="39"/>
  <c r="U36" i="39"/>
  <c r="S35" i="39"/>
  <c r="G536"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26" i="3"/>
  <c r="BL522" i="3"/>
  <c r="BL516" i="3"/>
  <c r="AZ516" i="3" s="1"/>
  <c r="BL512" i="3"/>
  <c r="BL506" i="3"/>
  <c r="AZ506" i="3" s="1"/>
  <c r="BL502" i="3"/>
  <c r="BL498" i="3"/>
  <c r="BL494" i="3"/>
  <c r="BL582" i="3"/>
  <c r="AZ582" i="3" s="1"/>
  <c r="BL578" i="3"/>
  <c r="BL574" i="3"/>
  <c r="AZ574" i="3" s="1"/>
  <c r="BL570" i="3"/>
  <c r="BL566" i="3"/>
  <c r="AZ566" i="3" s="1"/>
  <c r="BL562" i="3"/>
  <c r="BL556" i="3"/>
  <c r="BL552" i="3"/>
  <c r="BL544" i="3"/>
  <c r="BL532" i="3"/>
  <c r="G525" i="3"/>
  <c r="BL524" i="3"/>
  <c r="BL518" i="3"/>
  <c r="BL514" i="3"/>
  <c r="AZ514" i="3" s="1"/>
  <c r="BL510" i="3"/>
  <c r="BL504" i="3"/>
  <c r="BL500" i="3"/>
  <c r="BL496" i="3"/>
  <c r="G493" i="3"/>
  <c r="BA584" i="3"/>
  <c r="BA582" i="3"/>
  <c r="BA580" i="3"/>
  <c r="AZ580" i="3"/>
  <c r="BA578" i="3"/>
  <c r="AZ578" i="3"/>
  <c r="BA576" i="3"/>
  <c r="AZ576" i="3"/>
  <c r="BA574" i="3"/>
  <c r="BA572" i="3"/>
  <c r="AZ572" i="3"/>
  <c r="BA570" i="3"/>
  <c r="AZ570" i="3"/>
  <c r="BA568" i="3"/>
  <c r="AZ568" i="3"/>
  <c r="BA566" i="3"/>
  <c r="BA564" i="3"/>
  <c r="AZ564" i="3"/>
  <c r="BA562" i="3"/>
  <c r="AZ562" i="3"/>
  <c r="BA560" i="3"/>
  <c r="BA558" i="3"/>
  <c r="BA556" i="3"/>
  <c r="AZ556" i="3" s="1"/>
  <c r="BA554" i="3"/>
  <c r="AZ554" i="3" s="1"/>
  <c r="BA552" i="3"/>
  <c r="AZ552" i="3" s="1"/>
  <c r="BA544" i="3"/>
  <c r="AZ544" i="3" s="1"/>
  <c r="BA540" i="3"/>
  <c r="BA536" i="3"/>
  <c r="BA532" i="3"/>
  <c r="AZ532" i="3" s="1"/>
  <c r="BA524" i="3"/>
  <c r="AZ524" i="3"/>
  <c r="BA522" i="3"/>
  <c r="BA520" i="3"/>
  <c r="BA518" i="3"/>
  <c r="AZ518" i="3"/>
  <c r="BA516" i="3"/>
  <c r="BA514" i="3"/>
  <c r="BA512" i="3"/>
  <c r="AZ512" i="3" s="1"/>
  <c r="BA510" i="3"/>
  <c r="AZ510" i="3" s="1"/>
  <c r="BA508" i="3"/>
  <c r="BA506" i="3"/>
  <c r="BA504" i="3"/>
  <c r="AZ504" i="3" s="1"/>
  <c r="BA502" i="3"/>
  <c r="BA500" i="3"/>
  <c r="BA498" i="3"/>
  <c r="AZ498" i="3" s="1"/>
  <c r="BA496" i="3"/>
  <c r="BA494" i="3"/>
  <c r="BA587" i="3"/>
  <c r="BA583" i="3"/>
  <c r="BA581" i="3"/>
  <c r="AZ581" i="3"/>
  <c r="BA579" i="3"/>
  <c r="BA577" i="3"/>
  <c r="AZ577" i="3" s="1"/>
  <c r="BA575" i="3"/>
  <c r="BA573" i="3"/>
  <c r="AZ573" i="3" s="1"/>
  <c r="BA571" i="3"/>
  <c r="BA569" i="3"/>
  <c r="AZ569" i="3" s="1"/>
  <c r="BA567" i="3"/>
  <c r="BA565" i="3"/>
  <c r="AZ565" i="3" s="1"/>
  <c r="BA563" i="3"/>
  <c r="BA561" i="3"/>
  <c r="BA559" i="3"/>
  <c r="BA555" i="3"/>
  <c r="AZ555" i="3" s="1"/>
  <c r="BA553" i="3"/>
  <c r="BA549" i="3"/>
  <c r="BA541" i="3"/>
  <c r="BA533" i="3"/>
  <c r="BA525" i="3"/>
  <c r="AZ525" i="3" s="1"/>
  <c r="BA523" i="3"/>
  <c r="BA519" i="3"/>
  <c r="BA517" i="3"/>
  <c r="BA515" i="3"/>
  <c r="BA513" i="3"/>
  <c r="BA511" i="3"/>
  <c r="BA507" i="3"/>
  <c r="BA505" i="3"/>
  <c r="AZ505" i="3" s="1"/>
  <c r="BA503" i="3"/>
  <c r="BA501" i="3"/>
  <c r="AZ501" i="3" s="1"/>
  <c r="BA499" i="3"/>
  <c r="BA497" i="3"/>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3" i="3"/>
  <c r="BQ555" i="3"/>
  <c r="BL555" i="3" s="1"/>
  <c r="BQ553" i="3"/>
  <c r="BL553" i="3"/>
  <c r="AZ553" i="3" s="1"/>
  <c r="BQ551" i="3"/>
  <c r="BL551" i="3" s="1"/>
  <c r="BQ549" i="3"/>
  <c r="BQ547" i="3"/>
  <c r="BQ545" i="3"/>
  <c r="BQ543" i="3"/>
  <c r="BQ541" i="3"/>
  <c r="BQ539" i="3"/>
  <c r="BQ537" i="3"/>
  <c r="BQ535" i="3"/>
  <c r="BQ533" i="3"/>
  <c r="BQ531" i="3"/>
  <c r="BQ529" i="3"/>
  <c r="BQ527" i="3"/>
  <c r="BQ525" i="3"/>
  <c r="BL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W37" i="34"/>
  <c r="AC36" i="34"/>
  <c r="AC31" i="33"/>
  <c r="W44" i="33"/>
  <c r="U11" i="33"/>
  <c r="U19" i="21"/>
  <c r="W44" i="21"/>
  <c r="U26" i="21"/>
  <c r="U12" i="21"/>
  <c r="AB38" i="21"/>
  <c r="F43" i="33"/>
  <c r="AA43" i="33" s="1"/>
  <c r="W15" i="34"/>
  <c r="W16" i="35"/>
  <c r="G107" i="37"/>
  <c r="H107" i="37" s="1"/>
  <c r="I107" i="37"/>
  <c r="J107" i="37" s="1"/>
  <c r="K107" i="37" s="1"/>
  <c r="L107" i="37" s="1"/>
  <c r="M107" i="37" s="1"/>
  <c r="H37" i="21"/>
  <c r="U37" i="21"/>
  <c r="H19" i="34"/>
  <c r="AB19" i="34" s="1"/>
  <c r="F36" i="35"/>
  <c r="S36" i="35" s="1"/>
  <c r="H9" i="37"/>
  <c r="AB9" i="37" s="1"/>
  <c r="J12" i="37"/>
  <c r="W12" i="37" s="1"/>
  <c r="H12" i="37"/>
  <c r="F12" i="37"/>
  <c r="S12" i="37" s="1"/>
  <c r="E71" i="37"/>
  <c r="F71" i="37" s="1"/>
  <c r="F15" i="37"/>
  <c r="AA15" i="37"/>
  <c r="E94" i="37"/>
  <c r="F31" i="37"/>
  <c r="S31" i="37" s="1"/>
  <c r="F12" i="39"/>
  <c r="S12" i="39" s="1"/>
  <c r="J42" i="39"/>
  <c r="AC42" i="39" s="1"/>
  <c r="H21" i="40"/>
  <c r="AB21" i="40" s="1"/>
  <c r="F94" i="37"/>
  <c r="G94" i="37"/>
  <c r="H94" i="37" s="1"/>
  <c r="I94" i="37"/>
  <c r="J94" i="37" s="1"/>
  <c r="K94" i="37" s="1"/>
  <c r="L94" i="37" s="1"/>
  <c r="M94" i="37" s="1"/>
  <c r="H31" i="37"/>
  <c r="U31" i="37"/>
  <c r="G71" i="37"/>
  <c r="J15" i="37"/>
  <c r="W15" i="37"/>
  <c r="AT6" i="3"/>
  <c r="AA25" i="2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U40"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AZ20" i="3"/>
  <c r="AZ24" i="3"/>
  <c r="AZ28" i="3"/>
  <c r="AZ32" i="3"/>
  <c r="BL549" i="3"/>
  <c r="AZ494" i="3"/>
  <c r="AZ502" i="3"/>
  <c r="AZ522"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AZ128" i="3" s="1"/>
  <c r="G129" i="3"/>
  <c r="BA131" i="3"/>
  <c r="AZ131" i="3" s="1"/>
  <c r="BL132" i="3"/>
  <c r="AZ132" i="3" s="1"/>
  <c r="G133" i="3"/>
  <c r="BA135" i="3"/>
  <c r="AZ135" i="3"/>
  <c r="BL136" i="3"/>
  <c r="G137" i="3"/>
  <c r="BA139" i="3"/>
  <c r="AZ139" i="3"/>
  <c r="BL140" i="3"/>
  <c r="AZ140" i="3"/>
  <c r="G141" i="3"/>
  <c r="BA143" i="3"/>
  <c r="AZ143" i="3" s="1"/>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G534"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H5" i="3"/>
  <c r="BD5" i="3"/>
  <c r="AZ309" i="3"/>
  <c r="AZ317" i="3"/>
  <c r="AZ325" i="3"/>
  <c r="AZ333" i="3"/>
  <c r="AZ341" i="3"/>
  <c r="BQ5" i="3"/>
  <c r="AZ549" i="3"/>
  <c r="AZ496" i="3"/>
  <c r="G538" i="3"/>
  <c r="G520" i="3"/>
  <c r="G502" i="3"/>
  <c r="AZ343" i="3"/>
  <c r="G17" i="3"/>
  <c r="BA17" i="3"/>
  <c r="AZ350" i="3"/>
  <c r="AZ356" i="3"/>
  <c r="AZ364" i="3"/>
  <c r="AZ368" i="3"/>
  <c r="BA15" i="3"/>
  <c r="AZ15" i="3" s="1"/>
  <c r="BB5" i="3"/>
  <c r="E5" i="6" s="1"/>
  <c r="D9" i="11" s="1"/>
  <c r="C9" i="11" s="1"/>
  <c r="AZ380" i="3"/>
  <c r="AZ388" i="3"/>
  <c r="AZ396" i="3"/>
  <c r="AZ394" i="3"/>
  <c r="AZ499" i="3"/>
  <c r="AZ509" i="3"/>
  <c r="G509" i="3"/>
  <c r="BL493" i="3"/>
  <c r="AZ491" i="3"/>
  <c r="AZ376" i="3"/>
  <c r="AZ382" i="3"/>
  <c r="U36" i="40"/>
  <c r="H117" i="43"/>
  <c r="D21" i="43"/>
  <c r="F42" i="43"/>
  <c r="I21" i="43"/>
  <c r="F39" i="43"/>
  <c r="J21" i="43"/>
  <c r="F6" i="1"/>
  <c r="U17" i="39"/>
  <c r="U43" i="21"/>
  <c r="U35" i="21"/>
  <c r="AC35" i="21"/>
  <c r="U10" i="21"/>
  <c r="G9" i="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U29" i="36"/>
  <c r="H32" i="37"/>
  <c r="AB32"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F20" i="36"/>
  <c r="AA20" i="36" s="1"/>
  <c r="J33" i="34"/>
  <c r="AC33" i="34" s="1"/>
  <c r="H23" i="39"/>
  <c r="U23" i="39" s="1"/>
  <c r="D48" i="9"/>
  <c r="M52" i="9" s="1"/>
  <c r="K9" i="1"/>
  <c r="M9" i="1" s="1"/>
  <c r="AE9" i="1"/>
  <c r="D93" i="9"/>
  <c r="K6" i="1"/>
  <c r="AC26" i="33"/>
  <c r="W26" i="33"/>
  <c r="AB34" i="36"/>
  <c r="U34" i="36"/>
  <c r="AB33" i="36"/>
  <c r="U33" i="36"/>
  <c r="AC12" i="39"/>
  <c r="W12" i="39"/>
  <c r="AZ401" i="3"/>
  <c r="AZ412" i="3"/>
  <c r="AZ417" i="3"/>
  <c r="AZ428" i="3"/>
  <c r="AZ433" i="3"/>
  <c r="AZ465" i="3"/>
  <c r="E26" i="43"/>
  <c r="W12" i="33"/>
  <c r="AC12" i="33"/>
  <c r="AA32" i="36"/>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0" i="69" s="1"/>
  <c r="AA34" i="33"/>
  <c r="B41" i="1"/>
  <c r="F48" i="9" s="1"/>
  <c r="O52" i="9" s="1"/>
  <c r="F53" i="9"/>
  <c r="AB37" i="40"/>
  <c r="S35" i="40"/>
  <c r="U35" i="40"/>
  <c r="AC36" i="40"/>
  <c r="AA32" i="40"/>
  <c r="S17" i="40"/>
  <c r="S23" i="40"/>
  <c r="AC17" i="40"/>
  <c r="AC15" i="40"/>
  <c r="AB27" i="40"/>
  <c r="AA19" i="40"/>
  <c r="S28" i="40"/>
  <c r="AA27"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S17" i="39"/>
  <c r="AC15" i="39"/>
  <c r="S15" i="39"/>
  <c r="AB15" i="39"/>
  <c r="AA12" i="39"/>
  <c r="S9" i="39"/>
  <c r="U14" i="39"/>
  <c r="U12" i="39"/>
  <c r="S23" i="36"/>
  <c r="U13" i="36"/>
  <c r="AC27" i="36"/>
  <c r="AB27" i="36"/>
  <c r="U26" i="36"/>
  <c r="S33" i="36"/>
  <c r="S27" i="36"/>
  <c r="AA26" i="36"/>
  <c r="AA34" i="36"/>
  <c r="S29"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S28" i="35"/>
  <c r="U22" i="35"/>
  <c r="AC20" i="35"/>
  <c r="U14" i="35"/>
  <c r="AC10" i="35"/>
  <c r="AA10" i="35"/>
  <c r="AB10" i="35"/>
  <c r="AA11" i="35"/>
  <c r="S8" i="35"/>
  <c r="AC9" i="35"/>
  <c r="W9" i="35"/>
  <c r="AC12" i="35"/>
  <c r="W13" i="35"/>
  <c r="F9" i="35"/>
  <c r="H9" i="35"/>
  <c r="F26" i="35"/>
  <c r="AA26" i="35" s="1"/>
  <c r="J26" i="35"/>
  <c r="H26" i="35"/>
  <c r="AB40" i="37"/>
  <c r="S25" i="37"/>
  <c r="W27" i="37"/>
  <c r="S26" i="37"/>
  <c r="U29" i="37"/>
  <c r="S32" i="37"/>
  <c r="AB31" i="37"/>
  <c r="W30" i="37"/>
  <c r="S36" i="37"/>
  <c r="AA38" i="37"/>
  <c r="U32" i="37"/>
  <c r="W38" i="37"/>
  <c r="AC35" i="37"/>
  <c r="S30" i="37"/>
  <c r="S37" i="37"/>
  <c r="AC15" i="37"/>
  <c r="J17" i="37"/>
  <c r="W17" i="37"/>
  <c r="F17" i="37"/>
  <c r="AA17" i="37" s="1"/>
  <c r="AB17" i="37"/>
  <c r="F75" i="37"/>
  <c r="F19" i="37"/>
  <c r="F23" i="37"/>
  <c r="S23" i="37" s="1"/>
  <c r="U23" i="37"/>
  <c r="U15" i="37"/>
  <c r="AC13" i="37"/>
  <c r="AA13" i="37"/>
  <c r="H10" i="37"/>
  <c r="H60" i="37"/>
  <c r="F63" i="37"/>
  <c r="F11" i="37"/>
  <c r="S11" i="37" s="1"/>
  <c r="AB8" i="34"/>
  <c r="U44" i="34"/>
  <c r="U43" i="34"/>
  <c r="AC39" i="34"/>
  <c r="W41" i="34"/>
  <c r="AC42" i="34"/>
  <c r="AB35" i="34"/>
  <c r="U39" i="34"/>
  <c r="AB41" i="34"/>
  <c r="AA45" i="34"/>
  <c r="W34" i="34"/>
  <c r="AA25" i="34"/>
  <c r="U28" i="34"/>
  <c r="S17" i="34"/>
  <c r="AA29" i="34"/>
  <c r="S23" i="34"/>
  <c r="U15" i="34"/>
  <c r="S10" i="34"/>
  <c r="H67" i="34"/>
  <c r="H10" i="34"/>
  <c r="F11" i="34"/>
  <c r="S11" i="34" s="1"/>
  <c r="F70" i="34"/>
  <c r="W42" i="33"/>
  <c r="AA35" i="33"/>
  <c r="S27" i="33"/>
  <c r="S32" i="33"/>
  <c r="AB29" i="33"/>
  <c r="W38" i="33"/>
  <c r="H41" i="33"/>
  <c r="F121" i="33"/>
  <c r="G121" i="33"/>
  <c r="H121" i="33" s="1"/>
  <c r="I121" i="33" s="1"/>
  <c r="J121" i="33" s="1"/>
  <c r="K121" i="33" s="1"/>
  <c r="L121" i="33" s="1"/>
  <c r="M121" i="33" s="1"/>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F91" i="33"/>
  <c r="H27" i="33"/>
  <c r="F87" i="33"/>
  <c r="H25" i="33"/>
  <c r="F25" i="33"/>
  <c r="J23" i="33"/>
  <c r="F85" i="33"/>
  <c r="H23" i="33"/>
  <c r="F81" i="33"/>
  <c r="F19" i="33"/>
  <c r="S19" i="33"/>
  <c r="W19" i="33"/>
  <c r="J17" i="33"/>
  <c r="F79" i="33"/>
  <c r="S15" i="33"/>
  <c r="W15" i="33"/>
  <c r="U9" i="33"/>
  <c r="I66" i="33"/>
  <c r="J10" i="33"/>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G13" i="3"/>
  <c r="BL17" i="3"/>
  <c r="AZ17" i="3"/>
  <c r="J56" i="9"/>
  <c r="J57" i="9"/>
  <c r="J59" i="9" s="1"/>
  <c r="J61" i="9" s="1"/>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U40" i="21"/>
  <c r="AB31" i="21"/>
  <c r="U31" i="21"/>
  <c r="AC15" i="21"/>
  <c r="U13" i="21"/>
  <c r="AB13" i="21"/>
  <c r="W8" i="21"/>
  <c r="S35" i="21"/>
  <c r="AB37" i="21"/>
  <c r="J37" i="21"/>
  <c r="W37" i="21"/>
  <c r="H15" i="21"/>
  <c r="U15" i="21"/>
  <c r="J17" i="21"/>
  <c r="AC17" i="21"/>
  <c r="AC19" i="21"/>
  <c r="W39" i="21"/>
  <c r="AC14" i="21"/>
  <c r="W30" i="21"/>
  <c r="H45" i="21"/>
  <c r="U45" i="21" s="1"/>
  <c r="F29" i="21"/>
  <c r="S29" i="21" s="1"/>
  <c r="F13" i="21"/>
  <c r="AA13" i="21" s="1"/>
  <c r="AC38" i="21"/>
  <c r="H32" i="21"/>
  <c r="H9" i="21"/>
  <c r="U9" i="21" s="1"/>
  <c r="J9" i="21"/>
  <c r="J32" i="21"/>
  <c r="AC32" i="21" s="1"/>
  <c r="F32" i="21"/>
  <c r="AA31" i="21"/>
  <c r="U17" i="21"/>
  <c r="W29" i="21"/>
  <c r="S19" i="21"/>
  <c r="S9" i="21"/>
  <c r="AA9" i="21"/>
  <c r="K141" i="21"/>
  <c r="K144" i="21"/>
  <c r="K143" i="21"/>
  <c r="AB25" i="21"/>
  <c r="AB44" i="21"/>
  <c r="AA30" i="21"/>
  <c r="W13" i="21"/>
  <c r="W42" i="21"/>
  <c r="AC45" i="21"/>
  <c r="F10" i="21"/>
  <c r="S10" i="21" s="1"/>
  <c r="K145" i="21"/>
  <c r="W17" i="21"/>
  <c r="W25" i="21"/>
  <c r="AA29" i="21"/>
  <c r="W31" i="21"/>
  <c r="S17" i="21"/>
  <c r="AA15"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M6" i="1"/>
  <c r="O6" i="1" s="1"/>
  <c r="P6" i="1" s="1"/>
  <c r="F30" i="68"/>
  <c r="F48" i="68" s="1"/>
  <c r="F30" i="11"/>
  <c r="C48" i="11" s="1"/>
  <c r="F28" i="67"/>
  <c r="F31" i="12"/>
  <c r="F52" i="9"/>
  <c r="M18" i="67"/>
  <c r="F32" i="67"/>
  <c r="F60" i="67" s="1"/>
  <c r="F30" i="69"/>
  <c r="F48" i="69" s="1"/>
  <c r="F32" i="15"/>
  <c r="F60" i="15" s="1"/>
  <c r="M18" i="15"/>
  <c r="F28" i="15"/>
  <c r="T11" i="1"/>
  <c r="T13" i="1"/>
  <c r="S7" i="1"/>
  <c r="AR7" i="1" s="1"/>
  <c r="E7" i="70"/>
  <c r="AA39" i="40"/>
  <c r="S39" i="40"/>
  <c r="S12" i="33"/>
  <c r="AA12" i="33"/>
  <c r="D68" i="9"/>
  <c r="F54" i="9"/>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D6" i="52"/>
  <c r="AP7" i="1"/>
  <c r="AC33" i="21"/>
  <c r="S33" i="21"/>
  <c r="AA33" i="21"/>
  <c r="W32" i="21"/>
  <c r="AB9" i="21"/>
  <c r="AA32" i="21"/>
  <c r="S32" i="21"/>
  <c r="W9" i="21"/>
  <c r="AC9" i="21"/>
  <c r="AB32" i="21"/>
  <c r="U32" i="21"/>
  <c r="AA10" i="21"/>
  <c r="C30" i="11"/>
  <c r="E6" i="70"/>
  <c r="A18" i="62"/>
  <c r="B64" i="72" s="1"/>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E6" i="1"/>
  <c r="AG6" i="1"/>
  <c r="H109" i="9"/>
  <c r="M49" i="9" s="1"/>
  <c r="H110" i="9"/>
  <c r="D18" i="53" s="1"/>
  <c r="B35" i="72" s="1"/>
  <c r="D16" i="53"/>
  <c r="B34" i="72" s="1"/>
  <c r="H112" i="9"/>
  <c r="D21" i="53"/>
  <c r="B39" i="72" s="1"/>
  <c r="H111" i="9"/>
  <c r="D126" i="9" s="1"/>
  <c r="D19" i="53"/>
  <c r="B38" i="72" s="1"/>
  <c r="D20" i="53"/>
  <c r="B40" i="72" s="1"/>
  <c r="J1" i="73"/>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81" i="71"/>
  <c r="D73" i="71"/>
  <c r="B68" i="71"/>
  <c r="M11" i="43"/>
  <c r="E62" i="43"/>
  <c r="B60" i="43" s="1"/>
  <c r="B117" i="43"/>
  <c r="I122" i="43" s="1"/>
  <c r="J122" i="43" s="1"/>
  <c r="K122" i="43" s="1"/>
  <c r="L122" i="43" s="1"/>
  <c r="M122" i="43" s="1"/>
  <c r="N94" i="46"/>
  <c r="G26" i="43"/>
  <c r="D23" i="67"/>
  <c r="G25" i="12"/>
  <c r="G41" i="11"/>
  <c r="G27" i="12"/>
  <c r="G41" i="68"/>
  <c r="K4" i="4"/>
  <c r="B46" i="48" s="1"/>
  <c r="B4" i="72" s="1"/>
  <c r="B4" i="62"/>
  <c r="B71" i="72"/>
  <c r="D9" i="53"/>
  <c r="B25" i="72"/>
  <c r="B24" i="72"/>
  <c r="K120" i="9"/>
  <c r="B67" i="71"/>
  <c r="O67" i="71" s="1"/>
  <c r="O68" i="71"/>
  <c r="M32" i="43"/>
  <c r="N32" i="43"/>
  <c r="O32" i="43"/>
  <c r="P32" i="43"/>
  <c r="O66" i="71"/>
  <c r="J26" i="43"/>
  <c r="C76" i="15"/>
  <c r="AO11" i="1"/>
  <c r="M22" i="15"/>
  <c r="F6" i="67"/>
  <c r="F16" i="15"/>
  <c r="D7" i="73"/>
  <c r="M23" i="15"/>
  <c r="J15" i="15"/>
  <c r="AO10" i="1"/>
  <c r="F40" i="15"/>
  <c r="F3" i="73"/>
  <c r="M9" i="15"/>
  <c r="E7" i="76"/>
  <c r="M9" i="67"/>
  <c r="B7" i="76"/>
  <c r="E10" i="76"/>
  <c r="D3" i="73"/>
  <c r="F42" i="67"/>
  <c r="F41" i="67"/>
  <c r="M26" i="67"/>
  <c r="AO8" i="1"/>
  <c r="D2" i="35"/>
  <c r="M28" i="67"/>
  <c r="D2" i="21"/>
  <c r="M22" i="67"/>
  <c r="D20" i="9"/>
  <c r="M26" i="15"/>
  <c r="C20" i="9"/>
  <c r="D2" i="33"/>
  <c r="F9" i="15"/>
  <c r="C19" i="9"/>
  <c r="B8" i="76"/>
  <c r="F13" i="67"/>
  <c r="F40" i="67"/>
  <c r="M23" i="67"/>
  <c r="E12" i="76"/>
  <c r="F38" i="15"/>
  <c r="M6" i="67"/>
  <c r="M8" i="67"/>
  <c r="D5" i="73"/>
  <c r="F43" i="67"/>
  <c r="F41" i="15"/>
  <c r="AO7" i="1"/>
  <c r="D2" i="34"/>
  <c r="F26" i="67"/>
  <c r="M24" i="15"/>
  <c r="AO6" i="1"/>
  <c r="D4" i="73"/>
  <c r="F43" i="15"/>
  <c r="AO9" i="1"/>
  <c r="J15" i="67"/>
  <c r="M8" i="15"/>
  <c r="E11" i="76"/>
  <c r="B9" i="76"/>
  <c r="F5" i="73"/>
  <c r="M27" i="15"/>
  <c r="F7" i="67"/>
  <c r="F20" i="31"/>
  <c r="F37" i="15"/>
  <c r="E8" i="76"/>
  <c r="M28" i="15"/>
  <c r="D2" i="37"/>
  <c r="F13" i="15"/>
  <c r="AO12" i="1"/>
  <c r="F7" i="15"/>
  <c r="F7" i="73"/>
  <c r="F26" i="15"/>
  <c r="M29" i="67"/>
  <c r="L48" i="67"/>
  <c r="B12" i="76"/>
  <c r="D35" i="9"/>
  <c r="F16" i="67"/>
  <c r="F36" i="15"/>
  <c r="F8" i="67"/>
  <c r="L47" i="15"/>
  <c r="C76" i="67"/>
  <c r="E2" i="69"/>
  <c r="M27" i="67"/>
  <c r="F9" i="67"/>
  <c r="E2" i="68"/>
  <c r="F37" i="67"/>
  <c r="E9" i="76"/>
  <c r="F6" i="15"/>
  <c r="B11" i="76"/>
  <c r="F42" i="15"/>
  <c r="F4" i="73"/>
  <c r="E13" i="76"/>
  <c r="B13" i="76"/>
  <c r="F8" i="15"/>
  <c r="F38" i="67"/>
  <c r="M6" i="15"/>
  <c r="M29" i="15"/>
  <c r="AO13" i="1"/>
  <c r="D2" i="36"/>
  <c r="D34" i="9"/>
  <c r="L48" i="15"/>
  <c r="M24" i="67"/>
  <c r="F36" i="67"/>
  <c r="D6" i="73"/>
  <c r="F6" i="73"/>
  <c r="D19" i="9"/>
  <c r="B10" i="76"/>
  <c r="L47" i="67"/>
  <c r="E8" i="6" l="1"/>
  <c r="F29" i="6"/>
  <c r="E2" i="70"/>
  <c r="C24" i="43"/>
  <c r="G11" i="1"/>
  <c r="C48" i="68"/>
  <c r="C28" i="67"/>
  <c r="I14" i="74"/>
  <c r="B8" i="74" s="1"/>
  <c r="D127" i="9"/>
  <c r="D13" i="52" s="1"/>
  <c r="D12" i="52"/>
  <c r="W9" i="37"/>
  <c r="AC9" i="37"/>
  <c r="L68" i="9"/>
  <c r="M68" i="9" s="1"/>
  <c r="L65" i="9"/>
  <c r="M65" i="9" s="1"/>
  <c r="L66" i="9"/>
  <c r="M66" i="9" s="1"/>
  <c r="L64" i="9"/>
  <c r="M64" i="9" s="1"/>
  <c r="L63" i="9"/>
  <c r="M63" i="9" s="1"/>
  <c r="M69" i="9" s="1"/>
  <c r="N69" i="9" s="1"/>
  <c r="L67" i="9"/>
  <c r="M67" i="9" s="1"/>
  <c r="AZ534" i="3"/>
  <c r="G28" i="6"/>
  <c r="D123" i="43"/>
  <c r="E123" i="43" s="1"/>
  <c r="F123" i="43" s="1"/>
  <c r="G123" i="43" s="1"/>
  <c r="H123" i="43" s="1"/>
  <c r="D17" i="53"/>
  <c r="B36" i="72" s="1"/>
  <c r="D124" i="9"/>
  <c r="AB45" i="21"/>
  <c r="S13" i="21"/>
  <c r="C48" i="69"/>
  <c r="AC11" i="33"/>
  <c r="S43" i="33"/>
  <c r="S46" i="33"/>
  <c r="U42" i="33"/>
  <c r="AA29" i="33"/>
  <c r="S13" i="34"/>
  <c r="S43" i="34"/>
  <c r="AA33" i="34"/>
  <c r="W25" i="34"/>
  <c r="AA12" i="37"/>
  <c r="U9" i="37"/>
  <c r="AC29" i="37"/>
  <c r="S22" i="35"/>
  <c r="S20" i="35"/>
  <c r="AB16" i="35"/>
  <c r="W32" i="35"/>
  <c r="AB20" i="36"/>
  <c r="AC26" i="36"/>
  <c r="AC13" i="39"/>
  <c r="U19" i="39"/>
  <c r="U21" i="40"/>
  <c r="S30" i="40"/>
  <c r="AC34" i="33"/>
  <c r="S14" i="35"/>
  <c r="BN5" i="3"/>
  <c r="G29" i="6" s="1"/>
  <c r="AC12" i="37"/>
  <c r="AB12" i="37"/>
  <c r="U12" i="37"/>
  <c r="F9" i="37"/>
  <c r="AZ587" i="3"/>
  <c r="AZ508" i="3"/>
  <c r="AZ520" i="3"/>
  <c r="AZ558" i="3"/>
  <c r="S44" i="34"/>
  <c r="U13" i="33"/>
  <c r="AB45" i="33"/>
  <c r="AB46" i="34"/>
  <c r="W13" i="36"/>
  <c r="AC40" i="37"/>
  <c r="W40" i="37"/>
  <c r="U11" i="36"/>
  <c r="AB11" i="36"/>
  <c r="W45" i="33"/>
  <c r="AC45" i="33"/>
  <c r="S13" i="33"/>
  <c r="AA13" i="33"/>
  <c r="U26" i="33"/>
  <c r="AB26" i="33"/>
  <c r="AB30" i="35"/>
  <c r="U30" i="35"/>
  <c r="AA21" i="40"/>
  <c r="S21" i="40"/>
  <c r="U34" i="39"/>
  <c r="AB34" i="39"/>
  <c r="AA42" i="39"/>
  <c r="S42" i="39"/>
  <c r="AA26" i="33"/>
  <c r="S26" i="33"/>
  <c r="AA42" i="21"/>
  <c r="S42" i="21"/>
  <c r="J27" i="34"/>
  <c r="F27" i="34"/>
  <c r="H27" i="34"/>
  <c r="J12" i="36"/>
  <c r="H12" i="36"/>
  <c r="F12" i="36"/>
  <c r="J24" i="36"/>
  <c r="H24" i="36"/>
  <c r="C31" i="12"/>
  <c r="F28" i="6"/>
  <c r="F30" i="6" s="1"/>
  <c r="AZ521" i="3"/>
  <c r="AZ497" i="3"/>
  <c r="AZ511" i="3"/>
  <c r="AZ515" i="3"/>
  <c r="AZ519" i="3"/>
  <c r="AZ583" i="3"/>
  <c r="AZ536" i="3"/>
  <c r="U13" i="34"/>
  <c r="AB13" i="34"/>
  <c r="S44" i="33"/>
  <c r="AA44" i="33"/>
  <c r="S14" i="33"/>
  <c r="AA14" i="33"/>
  <c r="AA11" i="36"/>
  <c r="S11" i="36"/>
  <c r="AC11" i="35"/>
  <c r="W11" i="35"/>
  <c r="W30" i="34"/>
  <c r="AC30" i="34"/>
  <c r="AA45" i="33"/>
  <c r="S45" i="33"/>
  <c r="AC29" i="33"/>
  <c r="W29" i="33"/>
  <c r="U37" i="34"/>
  <c r="AB37" i="34"/>
  <c r="BA586" i="3"/>
  <c r="AZ586" i="3" s="1"/>
  <c r="J27" i="21"/>
  <c r="H27" i="21"/>
  <c r="F27" i="21"/>
  <c r="H46" i="21"/>
  <c r="J46" i="21"/>
  <c r="F46" i="21"/>
  <c r="AC9" i="34"/>
  <c r="W9" i="34"/>
  <c r="AA34" i="34"/>
  <c r="S34" i="34"/>
  <c r="AB31" i="36"/>
  <c r="U31" i="36"/>
  <c r="BA547" i="3"/>
  <c r="AZ547" i="3" s="1"/>
  <c r="BL546" i="3"/>
  <c r="BA546" i="3"/>
  <c r="AZ546" i="3" s="1"/>
  <c r="BL545" i="3"/>
  <c r="AZ545" i="3" s="1"/>
  <c r="BA543" i="3"/>
  <c r="AZ543" i="3" s="1"/>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G527" i="3"/>
  <c r="H5" i="3"/>
  <c r="BA526" i="3"/>
  <c r="AZ526" i="3" s="1"/>
  <c r="BL585" i="3"/>
  <c r="AZ585" i="3" s="1"/>
  <c r="AB33" i="33"/>
  <c r="U33" i="33"/>
  <c r="AC39" i="33"/>
  <c r="W39" i="33"/>
  <c r="AA34" i="35"/>
  <c r="S34" i="35"/>
  <c r="AB14" i="37"/>
  <c r="U14" i="37"/>
  <c r="J39" i="37"/>
  <c r="F39" i="37"/>
  <c r="J39" i="40"/>
  <c r="H39" i="40"/>
  <c r="BA551" i="3"/>
  <c r="AZ551" i="3" s="1"/>
  <c r="H23" i="35"/>
  <c r="J23" i="35"/>
  <c r="F38" i="40"/>
  <c r="J38" i="40"/>
  <c r="H38" i="40"/>
  <c r="BL550" i="3"/>
  <c r="AZ550" i="3" s="1"/>
  <c r="AZ399" i="3"/>
  <c r="AZ404" i="3"/>
  <c r="AZ440" i="3"/>
  <c r="AZ449" i="3"/>
  <c r="AZ453" i="3"/>
  <c r="AZ455" i="3"/>
  <c r="AZ460" i="3"/>
  <c r="AZ409" i="3"/>
  <c r="AZ416" i="3"/>
  <c r="AZ425" i="3"/>
  <c r="AZ432" i="3"/>
  <c r="AZ464" i="3"/>
  <c r="AZ467" i="3"/>
  <c r="AZ474" i="3"/>
  <c r="AZ480" i="3"/>
  <c r="AZ482" i="3"/>
  <c r="AZ486" i="3"/>
  <c r="AZ488" i="3"/>
  <c r="BK5" i="3"/>
  <c r="BG5" i="3"/>
  <c r="E12" i="6" s="1"/>
  <c r="BC5" i="3"/>
  <c r="AZ395" i="3"/>
  <c r="AZ211" i="3"/>
  <c r="AZ216" i="3"/>
  <c r="AZ219" i="3"/>
  <c r="AZ221" i="3"/>
  <c r="AZ230" i="3"/>
  <c r="AZ236" i="3"/>
  <c r="AZ242" i="3"/>
  <c r="AZ252" i="3"/>
  <c r="AZ272" i="3"/>
  <c r="AZ276" i="3"/>
  <c r="AZ289" i="3"/>
  <c r="AZ294" i="3"/>
  <c r="AZ300" i="3"/>
  <c r="AZ118" i="3"/>
  <c r="AZ121" i="3"/>
  <c r="AZ134" i="3"/>
  <c r="AZ137" i="3"/>
  <c r="AZ145" i="3"/>
  <c r="AZ161" i="3"/>
  <c r="AZ177" i="3"/>
  <c r="AZ193" i="3"/>
  <c r="AZ18" i="3"/>
  <c r="AZ27" i="3"/>
  <c r="AZ34" i="3"/>
  <c r="AZ44" i="3"/>
  <c r="AZ48" i="3"/>
  <c r="AZ60" i="3"/>
  <c r="AZ64" i="3"/>
  <c r="AZ78" i="3"/>
  <c r="AZ91" i="3"/>
  <c r="AZ98" i="3"/>
  <c r="AZ104" i="3"/>
  <c r="AZ108" i="3"/>
  <c r="C21" i="69"/>
  <c r="C40" i="69"/>
  <c r="F40" i="69"/>
  <c r="AA21" i="33"/>
  <c r="G67" i="71"/>
  <c r="R68" i="71"/>
  <c r="P69" i="71"/>
  <c r="C68" i="71"/>
  <c r="V73" i="71"/>
  <c r="F72" i="71"/>
  <c r="F71" i="71" s="1"/>
  <c r="D85" i="71"/>
  <c r="C84" i="71"/>
  <c r="R25" i="77"/>
  <c r="R5" i="77" s="1"/>
  <c r="U5" i="77" s="1"/>
  <c r="F40" i="68"/>
  <c r="C21" i="68"/>
  <c r="AA18" i="36"/>
  <c r="S18" i="36"/>
  <c r="C76" i="71"/>
  <c r="D76" i="71" s="1"/>
  <c r="D69" i="71"/>
  <c r="Q69" i="71"/>
  <c r="F68" i="71"/>
  <c r="V77" i="71"/>
  <c r="F76" i="71"/>
  <c r="F75" i="71" s="1"/>
  <c r="D26" i="43"/>
  <c r="C5" i="68"/>
  <c r="B28" i="71"/>
  <c r="B27" i="71" s="1"/>
  <c r="B44" i="71"/>
  <c r="B45" i="71" s="1"/>
  <c r="T45" i="71" s="1"/>
  <c r="B48" i="71"/>
  <c r="B49" i="71" s="1"/>
  <c r="T49" i="71" s="1"/>
  <c r="C23" i="43"/>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E28" i="6"/>
  <c r="E11" i="6"/>
  <c r="E13" i="6"/>
  <c r="E14" i="6"/>
  <c r="E64" i="39" s="1"/>
  <c r="T8" i="1"/>
  <c r="E51" i="40"/>
  <c r="BA13" i="3"/>
  <c r="C36" i="11"/>
  <c r="E69" i="3"/>
  <c r="E563" i="3"/>
  <c r="E445" i="3"/>
  <c r="E539" i="3"/>
  <c r="E399" i="3"/>
  <c r="E280" i="3"/>
  <c r="E124" i="3"/>
  <c r="E293" i="3"/>
  <c r="E270" i="3"/>
  <c r="E390" i="3"/>
  <c r="E533" i="3"/>
  <c r="S6" i="3"/>
  <c r="AR6" i="3"/>
  <c r="E523" i="3"/>
  <c r="E561" i="3"/>
  <c r="E506" i="3"/>
  <c r="E538"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G1" i="73"/>
  <c r="C16" i="67"/>
  <c r="AB6" i="3" l="1"/>
  <c r="V6" i="3"/>
  <c r="M6" i="3"/>
  <c r="E551" i="3"/>
  <c r="E570" i="3"/>
  <c r="E559" i="3"/>
  <c r="E514" i="3"/>
  <c r="E358" i="3"/>
  <c r="E311" i="3"/>
  <c r="E128" i="3"/>
  <c r="E165" i="3"/>
  <c r="E246" i="3"/>
  <c r="E336" i="3"/>
  <c r="E567" i="3"/>
  <c r="E535" i="3"/>
  <c r="E172" i="3"/>
  <c r="E278" i="3"/>
  <c r="E205" i="3"/>
  <c r="E227" i="3"/>
  <c r="E352" i="3"/>
  <c r="E461" i="3"/>
  <c r="E510" i="3"/>
  <c r="E545" i="3"/>
  <c r="E329" i="3"/>
  <c r="E550" i="3"/>
  <c r="E260" i="3"/>
  <c r="E395" i="3"/>
  <c r="E415" i="3"/>
  <c r="E114" i="3"/>
  <c r="X6" i="3"/>
  <c r="AA6" i="3"/>
  <c r="E583" i="3"/>
  <c r="E347" i="3"/>
  <c r="E302" i="3"/>
  <c r="E503" i="3"/>
  <c r="E17" i="3"/>
  <c r="E361" i="3"/>
  <c r="E213" i="3"/>
  <c r="E183" i="3"/>
  <c r="E565" i="3"/>
  <c r="E528" i="3"/>
  <c r="E304" i="3"/>
  <c r="E261" i="3"/>
  <c r="E237" i="3"/>
  <c r="F27" i="6"/>
  <c r="F31" i="6" s="1"/>
  <c r="E56" i="39"/>
  <c r="E29" i="6"/>
  <c r="K15" i="1" s="1"/>
  <c r="G30" i="6"/>
  <c r="G31" i="6" s="1"/>
  <c r="E10" i="6"/>
  <c r="E15" i="6"/>
  <c r="H7" i="36"/>
  <c r="J7" i="36"/>
  <c r="J7" i="33"/>
  <c r="J7" i="34"/>
  <c r="F7" i="34"/>
  <c r="F7" i="21"/>
  <c r="E38" i="77"/>
  <c r="E39" i="77" s="1"/>
  <c r="C40" i="77" s="1"/>
  <c r="E26" i="77"/>
  <c r="E32" i="77" s="1"/>
  <c r="E29" i="77"/>
  <c r="AC38" i="40"/>
  <c r="W38" i="40"/>
  <c r="AC23" i="35"/>
  <c r="W23" i="35"/>
  <c r="AC39" i="40"/>
  <c r="W39" i="40"/>
  <c r="AC39" i="37"/>
  <c r="W39" i="37"/>
  <c r="AA46" i="21"/>
  <c r="S46" i="21"/>
  <c r="U46" i="21"/>
  <c r="AB46" i="21"/>
  <c r="AB27" i="21"/>
  <c r="U27" i="21"/>
  <c r="AB24" i="36"/>
  <c r="U24" i="36"/>
  <c r="S12" i="36"/>
  <c r="AA12" i="36"/>
  <c r="W12" i="36"/>
  <c r="AC12" i="36"/>
  <c r="S27" i="34"/>
  <c r="AA27" i="34"/>
  <c r="Q68" i="71"/>
  <c r="F67" i="71"/>
  <c r="C83" i="71"/>
  <c r="D83" i="71" s="1"/>
  <c r="D84" i="71"/>
  <c r="C67" i="71"/>
  <c r="P68" i="71"/>
  <c r="D68" i="71"/>
  <c r="AB38" i="40"/>
  <c r="U38" i="40"/>
  <c r="AA38" i="40"/>
  <c r="S38" i="40"/>
  <c r="U23" i="35"/>
  <c r="AB23" i="35"/>
  <c r="U39" i="40"/>
  <c r="AB39" i="40"/>
  <c r="S39" i="37"/>
  <c r="AA39" i="37"/>
  <c r="AC46" i="21"/>
  <c r="W46" i="21"/>
  <c r="AA27" i="21"/>
  <c r="S27" i="21"/>
  <c r="W27" i="21"/>
  <c r="AC27" i="21"/>
  <c r="AC24" i="36"/>
  <c r="W24" i="36"/>
  <c r="U12" i="36"/>
  <c r="AB12" i="36"/>
  <c r="AB27" i="34"/>
  <c r="U27" i="34"/>
  <c r="W27" i="34"/>
  <c r="AC27" i="34"/>
  <c r="S9" i="37"/>
  <c r="AA9" i="37"/>
  <c r="D10" i="52"/>
  <c r="D125" i="9"/>
  <c r="D11" i="52" s="1"/>
  <c r="H14" i="74"/>
  <c r="B7" i="74"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H6" i="3" l="1"/>
  <c r="E6" i="3" s="1"/>
  <c r="S7" i="33"/>
  <c r="Q66" i="71"/>
  <c r="Q67" i="71"/>
  <c r="P67" i="71"/>
  <c r="P66" i="71"/>
  <c r="D67" i="71"/>
  <c r="B2" i="77"/>
  <c r="B3" i="77" s="1"/>
  <c r="C41" i="77"/>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15"/>
  <c r="M21" i="15"/>
  <c r="M21" i="67"/>
  <c r="F35" i="67"/>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3" i="15"/>
  <c r="L51" i="15"/>
  <c r="Q56" i="15" l="1"/>
  <c r="Q47" i="15"/>
  <c r="Q53" i="15" s="1"/>
  <c r="C80" i="15"/>
  <c r="C79" i="15" s="1"/>
  <c r="C83" i="15"/>
  <c r="C82" i="15" s="1"/>
  <c r="Q65" i="15"/>
  <c r="B2" i="15"/>
  <c r="B3" i="15" s="1"/>
  <c r="Q69" i="15"/>
  <c r="Q68" i="15" s="1"/>
  <c r="Q67" i="15"/>
  <c r="L57" i="15"/>
  <c r="L60" i="15" s="1"/>
  <c r="Q66" i="15" s="1"/>
  <c r="Q75"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62" i="15" s="1"/>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E5" i="71" l="1"/>
  <c r="M24" i="43" s="1"/>
  <c r="H5" i="52"/>
  <c r="H119" i="9"/>
  <c r="D9" i="52"/>
  <c r="D123" i="9"/>
  <c r="B52" i="72"/>
  <c r="G4" i="52"/>
  <c r="D54" i="9"/>
  <c r="C68" i="9"/>
  <c r="D5" i="74"/>
  <c r="B5" i="74"/>
  <c r="C5" i="74"/>
  <c r="E81" i="9"/>
  <c r="E80" i="9"/>
  <c r="C80" i="9"/>
  <c r="B31" i="72"/>
  <c r="D15" i="53"/>
  <c r="H108" i="9"/>
  <c r="D119" i="9"/>
  <c r="D5" i="52"/>
  <c r="B49" i="72"/>
  <c r="B47" i="72"/>
  <c r="D118" i="9"/>
  <c r="D4" i="52"/>
  <c r="N58" i="9"/>
  <c r="P57" i="9"/>
  <c r="E97" i="9"/>
  <c r="C96" i="9"/>
  <c r="E96" i="9"/>
  <c r="B22" i="72"/>
  <c r="D6" i="53"/>
  <c r="C64" i="9"/>
  <c r="C63" i="9"/>
  <c r="C67" i="9"/>
  <c r="D59" i="9"/>
  <c r="M55" i="9"/>
  <c r="C73" i="9"/>
  <c r="C78" i="9"/>
  <c r="H102" i="9"/>
  <c r="D7" i="53"/>
  <c r="B21" i="72"/>
  <c r="C72" i="9"/>
  <c r="C79" i="9"/>
  <c r="C81" i="9"/>
  <c r="D53" i="9"/>
  <c r="D52" i="9"/>
  <c r="B30" i="72"/>
  <c r="D6" i="74"/>
  <c r="G14" i="74"/>
  <c r="B6" i="74"/>
  <c r="C6" i="74"/>
  <c r="M48" i="9"/>
  <c r="C104" i="9"/>
  <c r="H4" i="52"/>
  <c r="D122" i="9"/>
  <c r="D8" i="52"/>
  <c r="C85" i="9"/>
  <c r="C95" i="9"/>
  <c r="C97" i="9"/>
  <c r="D58" i="9"/>
  <c r="D56" i="9"/>
  <c r="M54" i="9"/>
  <c r="H107" i="9"/>
  <c r="D13" i="53"/>
  <c r="D14" i="53"/>
  <c r="B32" i="72"/>
  <c r="C93" i="9"/>
  <c r="C86" i="9"/>
  <c r="E14" i="74"/>
  <c r="D14" i="74"/>
  <c r="F14" i="74"/>
  <c r="C105" i="9"/>
  <c r="I4" i="52"/>
  <c r="N60" i="9"/>
  <c r="D45" i="9"/>
  <c r="D55" i="9"/>
  <c r="M53" i="9"/>
  <c r="N57" i="9"/>
  <c r="N59" i="9"/>
  <c r="N61" i="9"/>
  <c r="E118" i="9"/>
  <c r="E4" i="52"/>
  <c r="B48" i="72"/>
  <c r="I118" i="9"/>
  <c r="H118" i="9"/>
  <c r="H101" i="9"/>
  <c r="D5" i="53"/>
  <c r="B20" i="72"/>
  <c r="F119" i="9"/>
  <c r="F5" i="52"/>
  <c r="B53" i="72"/>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D1C7B37C-88FA-43F3-A7C5-D56F057F3799}">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<sst xmlns="http://schemas.openxmlformats.org/spreadsheetml/2006/main" count="7713" uniqueCount="3107">
  <si>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</si>
  <si>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</si>
  <si>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</si>
  <si>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</si>
  <si>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</si>
  <si>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</si>
  <si>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</si>
  <si>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</si>
  <si>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</si>
  <si>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</si>
  <si>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</si>
  <si>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</si>
  <si>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</si>
  <si>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</si>
  <si>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</si>
  <si>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</si>
  <si>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</si>
  <si>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</si>
  <si>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</si>
  <si>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</si>
  <si>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</si>
  <si>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</si>
  <si>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</si>
  <si>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</si>
  <si>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</si>
  <si>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</si>
  <si>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</si>
  <si>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</si>
  <si>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</si>
  <si>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</si>
  <si>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</si>
  <si>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</si>
  <si>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</si>
  <si>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</si>
  <si>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</si>
  <si>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</si>
  <si>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</si>
  <si>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</si>
  <si>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</si>
  <si>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</si>
  <si>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</si>
  <si>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</si>
  <si>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</si>
  <si>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</si>
  <si>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</si>
  <si>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</si>
  <si>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</si>
  <si>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</si>
  <si>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</si>
  <si>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</si>
  <si>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</si>
  <si>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</si>
  <si>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</si>
  <si>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</si>
  <si>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</si>
  <si>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</si>
  <si>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</si>
  <si>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</si>
  <si>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</si>
  <si>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</si>
  <si>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</si>
  <si>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</si>
  <si>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</si>
  <si>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</si>
  <si>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</si>
  <si>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</si>
  <si>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</si>
  <si>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</si>
  <si>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</si>
  <si>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</si>
  <si>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</si>
  <si>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</si>
  <si>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</si>
  <si>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</si>
  <si>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</si>
  <si>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</si>
  <si>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</si>
  <si>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</si>
  <si>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</si>
  <si>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</si>
  <si>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</si>
  <si>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</si>
  <si>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</si>
  <si>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</si>
  <si>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</si>
  <si>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</si>
  <si>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</si>
  <si>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</si>
  <si>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</si>
  <si>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</si>
  <si>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</si>
  <si>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</si>
  <si>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</si>
  <si>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</si>
  <si>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</si>
  <si>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</si>
  <si>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</si>
  <si>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</si>
  <si>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</si>
  <si>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</si>
  <si>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</si>
  <si>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</si>
  <si>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</si>
  <si>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</si>
  <si>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</si>
  <si>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</si>
  <si>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</si>
  <si>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</si>
  <si>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</si>
  <si>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</si>
  <si>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</si>
  <si>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</si>
  <si>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</si>
  <si>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</si>
  <si>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</si>
  <si>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</si>
  <si>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</si>
  <si>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</si>
  <si>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</si>
  <si>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</si>
  <si>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</si>
  <si>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</si>
  <si>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</si>
  <si>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</si>
  <si>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</si>
  <si>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</si>
  <si>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</si>
  <si>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</si>
  <si>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</si>
  <si>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</si>
  <si>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</si>
  <si>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</si>
  <si>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</si>
  <si>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</si>
  <si>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</si>
  <si>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</si>
  <si>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</si>
  <si>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</si>
  <si>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</si>
  <si>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</si>
  <si>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</si>
  <si>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</si>
  <si>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</si>
  <si>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</si>
  <si>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</si>
  <si>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</si>
  <si>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</si>
  <si>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</si>
  <si>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</si>
  <si>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</si>
  <si>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</si>
  <si>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</si>
  <si>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</si>
  <si>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</si>
  <si>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</si>
  <si>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</si>
  <si>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</si>
  <si>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</si>
  <si>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</si>
  <si>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</si>
  <si>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</si>
  <si>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</si>
  <si>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</si>
  <si>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</si>
  <si>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</si>
  <si>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</si>
  <si>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</si>
  <si>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</si>
  <si>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</si>
  <si>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</si>
  <si>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</si>
  <si>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</si>
  <si>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</si>
  <si>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</si>
  <si>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</si>
  <si>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</si>
  <si>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</si>
  <si>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</si>
  <si>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</si>
  <si>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</si>
  <si>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</si>
  <si>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</si>
  <si>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</si>
  <si>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</si>
  <si>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</si>
  <si>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</si>
  <si>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</si>
  <si>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</si>
  <si>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</si>
  <si>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</si>
  <si>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</si>
  <si>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</si>
  <si>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</si>
  <si>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</si>
  <si>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</si>
  <si>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</si>
  <si>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</si>
  <si>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</si>
  <si>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</si>
  <si>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</si>
  <si>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</si>
  <si>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</si>
  <si>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</si>
  <si>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</si>
  <si>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</si>
  <si>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</si>
  <si>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</si>
  <si>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</si>
  <si>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</si>
  <si>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</si>
  <si>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</si>
  <si>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</si>
  <si>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</si>
  <si>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</si>
  <si>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</si>
  <si>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</si>
  <si>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</si>
  <si>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</si>
  <si>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</si>
  <si>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</si>
  <si>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</si>
  <si>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</si>
  <si>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</si>
  <si>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</si>
  <si>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</si>
  <si>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</si>
  <si>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</si>
  <si>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</si>
  <si>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</si>
  <si>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</si>
  <si>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</si>
  <si>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</si>
  <si>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</si>
  <si>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</si>
  <si>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</si>
  <si>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</si>
  <si>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</si>
  <si>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</si>
  <si>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</si>
  <si>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</si>
  <si>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</si>
  <si>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</si>
  <si>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</si>
  <si>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</si>
  <si>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</si>
  <si>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</si>
  <si>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</si>
  <si>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</si>
  <si>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</si>
  <si>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</si>
  <si>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</si>
  <si>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</si>
  <si>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</si>
  <si>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</si>
  <si>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</si>
  <si>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</si>
  <si>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</si>
  <si>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</si>
  <si>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</si>
  <si>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</si>
  <si>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</si>
  <si>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</si>
  <si>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</si>
  <si>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</si>
  <si>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</si>
  <si>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</si>
  <si>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</si>
  <si>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</si>
  <si>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</si>
  <si>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</si>
  <si>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</si>
  <si>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</si>
  <si>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</si>
  <si>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</si>
  <si>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</si>
  <si>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</si>
  <si>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</si>
  <si>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</si>
  <si>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</si>
  <si>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</si>
  <si>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</si>
  <si>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</si>
  <si>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</si>
  <si>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</si>
  <si>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</si>
  <si>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</si>
  <si>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</si>
  <si>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</si>
  <si>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</si>
  <si>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</si>
  <si>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</si>
  <si>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</si>
  <si>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</si>
  <si>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</si>
  <si>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</si>
  <si>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</si>
  <si>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</si>
  <si>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</si>
  <si>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</si>
  <si>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</si>
  <si>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</si>
  <si>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</si>
  <si>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</si>
  <si>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</si>
  <si>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</si>
  <si>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</si>
  <si>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</si>
  <si>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</si>
  <si>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</si>
  <si>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</si>
  <si>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</si>
  <si>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</si>
  <si>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</si>
  <si>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</si>
  <si>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</si>
  <si>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</si>
  <si>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</si>
  <si>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</si>
  <si>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</si>
  <si>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</si>
  <si>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</si>
  <si>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</si>
  <si>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</si>
  <si>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</si>
  <si>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</si>
  <si>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</si>
  <si>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</si>
  <si>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</si>
  <si>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</si>
  <si>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</si>
  <si>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</si>
  <si>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</si>
  <si>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</si>
  <si>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</si>
  <si>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</si>
  <si>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</si>
  <si>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</si>
  <si>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</si>
  <si>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</si>
  <si>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</si>
  <si>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</si>
  <si>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</si>
  <si>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</si>
  <si>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</si>
  <si>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</si>
  <si>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</si>
  <si>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</si>
  <si>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</si>
  <si>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</si>
  <si>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</si>
  <si>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</si>
  <si>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</si>
  <si>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</si>
  <si>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</si>
  <si>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</si>
  <si>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</si>
  <si>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</si>
  <si>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</si>
  <si>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</si>
  <si>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</si>
  <si>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</si>
  <si>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</si>
  <si>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</si>
  <si>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</si>
  <si>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</si>
  <si>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</si>
  <si>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</si>
  <si>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</si>
  <si>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</si>
  <si>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</si>
  <si>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</si>
  <si>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</si>
  <si>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</si>
  <si>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</si>
  <si>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</si>
  <si>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</si>
  <si>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</si>
  <si>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</si>
  <si>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</si>
  <si>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</si>
  <si>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</si>
  <si>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</si>
  <si>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</si>
  <si>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</si>
  <si>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</si>
  <si>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</si>
  <si>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</si>
  <si>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</si>
  <si>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</si>
  <si>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</si>
  <si>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</si>
  <si>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</si>
  <si>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</si>
  <si>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</si>
  <si>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</si>
  <si>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</si>
  <si>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</si>
  <si>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</si>
  <si>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</si>
  <si>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</si>
  <si>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</si>
  <si>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</si>
  <si>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</si>
  <si>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</si>
  <si>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</si>
  <si>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</si>
  <si>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</si>
  <si>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</si>
  <si>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</si>
  <si>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</si>
  <si>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</si>
  <si>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</si>
  <si>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</si>
  <si>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</si>
  <si>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</si>
  <si>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</si>
  <si>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</si>
  <si>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</si>
  <si>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</si>
  <si>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</si>
  <si>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</si>
  <si>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</si>
  <si>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</si>
  <si>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</si>
  <si>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</si>
  <si>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</si>
  <si>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</si>
  <si>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</si>
  <si>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</si>
  <si>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</si>
  <si>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</si>
  <si>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</si>
  <si>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</si>
  <si>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</si>
  <si>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</si>
  <si>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</si>
  <si>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</si>
  <si>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</si>
  <si>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</si>
  <si>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</si>
  <si>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</si>
  <si>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</si>
  <si>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</si>
  <si>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</si>
  <si>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</si>
  <si>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</si>
  <si>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</si>
  <si>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</si>
  <si>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</si>
  <si>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</si>
  <si>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</si>
  <si>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</si>
  <si>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</si>
  <si>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</si>
  <si>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</si>
  <si>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</si>
  <si>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</si>
  <si>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</si>
  <si>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</si>
  <si>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</si>
  <si>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</si>
  <si>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</si>
  <si>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</si>
  <si>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</si>
  <si>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</si>
  <si>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</si>
  <si>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</si>
  <si>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</si>
  <si>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</si>
  <si>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</si>
  <si>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</si>
  <si>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</si>
  <si>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</si>
  <si>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</si>
  <si>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</si>
  <si>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</si>
  <si>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</si>
  <si>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</si>
  <si>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</si>
  <si>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</si>
  <si>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</si>
  <si>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</si>
  <si>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</si>
  <si>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</si>
  <si>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</si>
  <si>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</si>
  <si>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</si>
  <si>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</si>
  <si>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</si>
  <si>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</si>
  <si>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</si>
  <si>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</si>
  <si>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</si>
  <si>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</si>
  <si>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</si>
  <si>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</si>
  <si>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</si>
  <si>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</si>
  <si>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</si>
  <si>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</si>
  <si>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</si>
  <si>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</si>
  <si>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</si>
  <si>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</si>
  <si>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</si>
  <si>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</si>
  <si>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</si>
  <si>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</si>
  <si>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</si>
  <si>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</si>
  <si>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</si>
  <si>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</si>
  <si>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</si>
  <si>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</si>
  <si>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</si>
  <si>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</si>
  <si>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</si>
  <si>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</si>
  <si>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</si>
  <si>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</si>
  <si>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</si>
  <si>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</si>
  <si>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</si>
  <si>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</si>
  <si>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</si>
  <si>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</si>
  <si>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</si>
  <si>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</si>
  <si>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</si>
  <si>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</si>
  <si>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</si>
  <si>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</si>
  <si>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</si>
  <si>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</si>
  <si>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</si>
  <si>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</si>
  <si>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</si>
  <si>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</si>
  <si>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</si>
  <si>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</si>
  <si>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</si>
  <si>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</si>
  <si>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</si>
  <si>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</si>
  <si>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</si>
  <si>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</si>
  <si>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</si>
  <si>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</si>
  <si>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</si>
  <si>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</si>
  <si>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</si>
  <si>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</si>
  <si>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</si>
  <si>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</si>
  <si>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</si>
  <si>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</si>
  <si>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</si>
  <si>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</si>
  <si>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</si>
  <si>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</si>
  <si>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</si>
  <si>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</si>
  <si>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</si>
  <si>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</si>
  <si>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</si>
  <si>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</si>
  <si>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</si>
  <si>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</si>
  <si>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</si>
  <si>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</si>
  <si>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</si>
  <si>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</si>
  <si>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</si>
  <si>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</si>
  <si>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</si>
  <si>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</si>
  <si>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</si>
  <si>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</si>
  <si>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</si>
  <si>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</si>
  <si>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</si>
  <si>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</si>
  <si>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</si>
  <si>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</si>
  <si>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</si>
  <si>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</si>
  <si>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</si>
  <si>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</si>
  <si>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</si>
  <si>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</si>
  <si>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</si>
  <si>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</si>
  <si>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</si>
  <si>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</si>
  <si>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</si>
  <si>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</si>
  <si>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</si>
  <si>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</si>
  <si>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</si>
  <si>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</si>
  <si>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</si>
  <si>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</si>
  <si>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</si>
  <si>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</si>
  <si>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</si>
  <si>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</si>
  <si>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</si>
  <si>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</si>
  <si>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</si>
  <si>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</si>
  <si>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</si>
  <si>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</si>
  <si>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</si>
  <si>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</si>
  <si>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</si>
  <si>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</si>
  <si>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</si>
  <si>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</si>
  <si>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</si>
  <si>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</si>
  <si>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</si>
  <si>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</si>
  <si>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</si>
  <si>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</si>
  <si>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</si>
  <si>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</si>
  <si>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</si>
  <si>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</si>
  <si>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</si>
  <si>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</si>
  <si>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</si>
  <si>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</si>
  <si>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</si>
  <si>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</si>
  <si>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</si>
  <si>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</si>
  <si>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</si>
  <si>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</si>
  <si>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</si>
  <si>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</si>
  <si>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</si>
  <si>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</si>
  <si>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</si>
  <si>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</si>
  <si>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</si>
  <si>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</si>
  <si>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</si>
  <si>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</si>
  <si>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</si>
  <si>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</si>
  <si>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</si>
  <si>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</si>
  <si>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</si>
  <si>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</si>
  <si>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</si>
  <si>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</si>
  <si>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</si>
  <si>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</si>
  <si>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</si>
  <si>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</si>
  <si>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</si>
  <si>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</si>
  <si>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</si>
  <si>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</si>
  <si>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</si>
  <si>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</si>
  <si>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</si>
  <si>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</si>
  <si>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</si>
  <si>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</si>
  <si>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</si>
  <si>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</si>
  <si>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</si>
  <si>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</si>
  <si>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</si>
  <si>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</si>
  <si>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</si>
  <si>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</si>
  <si>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</si>
  <si>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</si>
  <si>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</si>
  <si>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</si>
  <si>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</si>
  <si>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</si>
  <si>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</si>
  <si>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</si>
  <si>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</si>
  <si>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</si>
  <si>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</si>
  <si>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</si>
  <si>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</si>
  <si>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</si>
  <si>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</si>
  <si>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</si>
  <si>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</si>
  <si>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</si>
  <si>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</si>
  <si>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</si>
  <si>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</si>
  <si>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</si>
  <si>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</si>
  <si>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</si>
  <si>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</si>
  <si>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</si>
  <si>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</si>
  <si>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</si>
  <si>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</si>
  <si>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</si>
  <si>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</si>
  <si>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</si>
  <si>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</si>
  <si>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</si>
  <si>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</si>
  <si>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</si>
  <si>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</si>
  <si>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</si>
  <si>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</si>
  <si>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</si>
  <si>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</si>
  <si>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</si>
  <si>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</si>
  <si>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</si>
  <si>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</si>
  <si>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</si>
  <si>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</si>
  <si>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</si>
  <si>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</si>
  <si>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</si>
  <si>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</si>
  <si>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</si>
  <si>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</si>
  <si>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</si>
  <si>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</si>
  <si>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</si>
  <si>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</si>
  <si>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</si>
  <si>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</si>
  <si>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</si>
  <si>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</si>
  <si>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</si>
  <si>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</si>
  <si>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</si>
  <si>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</si>
  <si>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</si>
  <si>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</si>
  <si>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</si>
  <si>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</si>
  <si>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</si>
  <si>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</si>
  <si>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</si>
  <si>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</si>
  <si>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</si>
  <si>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</si>
  <si>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</si>
  <si>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</si>
  <si>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</si>
  <si>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</si>
  <si>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</si>
  <si>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</si>
  <si>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</si>
  <si>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</si>
  <si>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</si>
  <si>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</si>
  <si>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</si>
  <si>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</si>
  <si>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</si>
  <si>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</si>
  <si>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</si>
  <si>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</si>
  <si>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</si>
  <si>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</si>
  <si>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</si>
  <si>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</si>
  <si>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</si>
  <si>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</si>
  <si>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</si>
  <si>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</si>
  <si>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</si>
  <si>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</si>
  <si>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</si>
  <si>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</si>
  <si>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</si>
  <si>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</si>
  <si>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</si>
  <si>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</si>
  <si>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</si>
  <si>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</si>
  <si>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</si>
  <si>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</si>
  <si>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</si>
  <si>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</si>
  <si>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</si>
  <si>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</si>
  <si>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</si>
  <si>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</si>
  <si>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</si>
  <si>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</si>
  <si>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</si>
  <si>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</si>
  <si>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</si>
  <si>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</si>
  <si>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</si>
  <si>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</si>
  <si>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</si>
  <si>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</si>
  <si>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</si>
  <si>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</si>
  <si>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</si>
  <si>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</si>
  <si>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</si>
  <si>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</si>
  <si>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</si>
  <si>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</si>
  <si>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</si>
  <si>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</si>
  <si>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</si>
  <si>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</si>
  <si>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</si>
  <si>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</si>
  <si>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</si>
  <si>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</si>
  <si>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</si>
  <si>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</si>
  <si>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</si>
  <si>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</si>
  <si>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</si>
  <si>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</si>
  <si>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</si>
  <si>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</si>
  <si>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</si>
  <si>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</si>
  <si>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</si>
  <si>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</si>
  <si>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</si>
  <si>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</si>
  <si>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</si>
  <si>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</si>
  <si>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</si>
  <si>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</si>
  <si>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</si>
  <si>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</si>
  <si>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</si>
  <si>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</si>
  <si>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</si>
  <si>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</si>
  <si>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</si>
  <si>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</si>
  <si>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</si>
  <si>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</si>
  <si>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</si>
  <si>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</si>
  <si>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</si>
  <si>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</si>
  <si>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</si>
  <si>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</si>
  <si>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</si>
  <si>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</si>
  <si>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</si>
  <si>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</si>
  <si>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</si>
  <si>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</si>
  <si>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</si>
  <si>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</si>
  <si>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</si>
  <si>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</si>
  <si>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</si>
  <si>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</si>
  <si>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</si>
  <si>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</si>
  <si>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</si>
  <si>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</si>
  <si>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</si>
  <si>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</si>
  <si>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</si>
  <si>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</si>
  <si>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</si>
  <si>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</si>
  <si>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</si>
  <si>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</si>
  <si>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</si>
  <si>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</si>
  <si>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</si>
  <si>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</si>
  <si>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</si>
  <si>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</si>
  <si>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</si>
  <si>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</si>
  <si>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</si>
  <si>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</si>
  <si>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</si>
  <si>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</si>
  <si>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</si>
  <si>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</si>
  <si>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</si>
  <si>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</si>
  <si>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</si>
  <si>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</si>
  <si>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</si>
  <si>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</si>
  <si>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</si>
  <si>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</si>
  <si>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</si>
  <si>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</si>
  <si>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</si>
  <si>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</si>
  <si>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</si>
  <si>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</si>
  <si>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</si>
  <si>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</si>
  <si>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</si>
  <si>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</si>
  <si>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</si>
  <si>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</si>
  <si>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</si>
  <si>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</si>
  <si>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</si>
  <si>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</si>
  <si>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</si>
  <si>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</si>
  <si>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</si>
  <si>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</si>
  <si>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</si>
  <si>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</si>
  <si>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</si>
  <si>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</si>
  <si>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</si>
  <si>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</si>
  <si>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</si>
  <si>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</si>
  <si>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</si>
  <si>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</si>
  <si>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</si>
  <si>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</si>
  <si>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</si>
  <si>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</si>
  <si>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</si>
  <si>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</si>
  <si>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</si>
  <si>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</si>
  <si>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</si>
  <si>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</si>
  <si>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</si>
  <si>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</si>
  <si>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</si>
  <si>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</si>
  <si>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</si>
  <si>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</si>
  <si>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</si>
  <si>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</si>
  <si>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</si>
  <si>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</si>
  <si>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</si>
  <si>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</si>
  <si>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</si>
  <si>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</si>
  <si>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</si>
  <si>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</si>
  <si>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</si>
  <si>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</si>
  <si>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</si>
  <si>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</si>
  <si>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</si>
  <si>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</si>
  <si>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</si>
  <si>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</si>
  <si>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</si>
  <si>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</si>
  <si>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</si>
  <si>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</si>
  <si>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</si>
  <si>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</si>
  <si>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</si>
  <si>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</si>
  <si>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</si>
  <si>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</si>
  <si>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</si>
  <si>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</si>
  <si>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</si>
  <si>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</si>
  <si>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</si>
  <si>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</si>
  <si>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</si>
  <si>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</si>
  <si>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</si>
  <si>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</si>
  <si>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</si>
  <si>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</si>
  <si>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</si>
  <si>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</si>
  <si>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</si>
  <si>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</si>
  <si>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</si>
  <si>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</si>
  <si>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</si>
  <si>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</si>
  <si>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</si>
  <si>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</si>
  <si>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</si>
  <si>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</si>
  <si>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</si>
  <si>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</si>
  <si>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</si>
  <si>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</si>
  <si>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</si>
  <si>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</si>
  <si>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</si>
  <si>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</si>
  <si>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</si>
  <si>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</si>
  <si>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</si>
  <si>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</si>
  <si>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</si>
  <si>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</si>
  <si>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</si>
  <si>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</si>
  <si>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</si>
  <si>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</si>
  <si>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</si>
  <si>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</si>
  <si>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</si>
  <si>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</si>
  <si>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</si>
  <si>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</si>
  <si>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</si>
  <si>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</si>
  <si>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</si>
  <si>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</si>
  <si>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</si>
  <si>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</si>
  <si>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</si>
  <si>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</si>
  <si>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</si>
  <si>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</si>
  <si>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</si>
  <si>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</si>
  <si>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</si>
  <si>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</si>
  <si>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</si>
  <si>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</si>
  <si>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</si>
  <si>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</si>
  <si>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</si>
  <si>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</si>
  <si>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</si>
  <si>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</si>
  <si>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</si>
  <si>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</si>
  <si>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</si>
  <si>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</si>
  <si>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</si>
  <si>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</si>
  <si>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</si>
  <si>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</si>
  <si>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</si>
  <si>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</si>
  <si>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</si>
  <si>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</si>
  <si>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</si>
  <si>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</si>
  <si>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</si>
  <si>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</si>
  <si>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</si>
  <si>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</si>
  <si>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</si>
  <si>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</si>
  <si>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</si>
  <si>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</si>
  <si>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</si>
  <si>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</si>
  <si>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</si>
  <si>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</si>
  <si>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</si>
  <si>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</si>
  <si>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</si>
  <si>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</si>
  <si>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</si>
  <si>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</si>
  <si>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</si>
  <si>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</si>
  <si>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</si>
  <si>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</si>
  <si>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</si>
  <si>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</si>
  <si>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</si>
  <si>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</si>
  <si>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</si>
  <si>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</si>
  <si>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</si>
  <si>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</si>
  <si>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</si>
  <si>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</si>
  <si>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</si>
  <si>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</si>
  <si>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</si>
  <si>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</si>
  <si>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</si>
  <si>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</si>
  <si>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</si>
  <si>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</si>
  <si>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</si>
  <si>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</si>
  <si>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</si>
  <si>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</si>
  <si>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</si>
  <si>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</si>
  <si>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</si>
  <si>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</si>
  <si>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</si>
  <si>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</si>
  <si>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</si>
  <si>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</si>
  <si>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</si>
  <si>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</si>
  <si>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</si>
  <si>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</si>
  <si>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</si>
  <si>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</si>
  <si>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</si>
  <si>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</si>
  <si>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</si>
  <si>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</si>
  <si>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</si>
  <si>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</si>
  <si>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</si>
  <si>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</si>
  <si>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</si>
  <si>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</si>
  <si>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</si>
  <si>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</si>
  <si>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</si>
  <si>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</si>
  <si>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</si>
  <si>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</si>
  <si>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</si>
  <si>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</si>
  <si>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</si>
  <si>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</si>
  <si>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</si>
  <si>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</si>
  <si>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</si>
  <si>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</si>
  <si>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</si>
  <si>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</si>
  <si>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</si>
  <si>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</si>
  <si>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</si>
  <si>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</si>
  <si>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</si>
  <si>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</si>
  <si>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</si>
  <si>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</si>
  <si>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</si>
  <si>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</si>
  <si>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</si>
  <si>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</si>
  <si>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</si>
  <si>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</si>
  <si>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</si>
  <si>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</si>
  <si>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</si>
  <si>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</si>
  <si>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</si>
  <si>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</si>
  <si>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</si>
  <si>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</si>
  <si>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</si>
  <si>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</si>
  <si>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</si>
  <si>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</si>
  <si>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</si>
  <si>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</si>
  <si>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</si>
  <si>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</si>
  <si>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</si>
  <si>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</si>
  <si>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</si>
  <si>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</si>
  <si>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</si>
  <si>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</si>
  <si>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</si>
  <si>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</si>
  <si>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</si>
  <si>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</si>
  <si>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</si>
  <si>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</si>
  <si>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</si>
  <si>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</si>
  <si>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</si>
  <si>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</si>
  <si>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</si>
  <si>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</si>
  <si>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</si>
  <si>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</si>
  <si>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</si>
  <si>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</si>
  <si>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</si>
  <si>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</si>
  <si>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</si>
  <si>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</si>
  <si>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</si>
  <si>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</si>
  <si>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</si>
  <si>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</si>
  <si>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</si>
  <si>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</si>
  <si>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</si>
  <si>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</si>
  <si>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</si>
  <si>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</si>
  <si>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</si>
  <si>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</si>
  <si>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</si>
  <si>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</si>
  <si>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</si>
  <si>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</si>
  <si>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</si>
  <si>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</si>
  <si>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</si>
  <si>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</si>
  <si>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</si>
  <si>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</si>
  <si>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</si>
  <si>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</si>
  <si>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</si>
  <si>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</si>
  <si>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</si>
  <si>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</si>
  <si>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</si>
  <si>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</si>
  <si>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</si>
  <si>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</si>
  <si>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</si>
  <si>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</si>
  <si>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</si>
  <si>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</si>
  <si>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</si>
  <si>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</si>
  <si>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</si>
  <si>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</si>
  <si>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</si>
  <si>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</si>
  <si>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</si>
  <si>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</si>
  <si>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</si>
  <si>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</si>
  <si>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</si>
  <si>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</si>
  <si>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</si>
  <si>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</si>
  <si>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</si>
  <si>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</si>
  <si>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</si>
  <si>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</si>
  <si>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</si>
  <si>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</si>
  <si>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</si>
  <si>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</si>
  <si>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</si>
  <si>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</si>
  <si>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</si>
  <si>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</si>
  <si>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</si>
  <si>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</si>
  <si>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</si>
  <si>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</si>
  <si>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</si>
  <si>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</si>
  <si>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</si>
  <si>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</si>
  <si>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</si>
  <si>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</si>
  <si>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</si>
  <si>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</si>
  <si>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</si>
  <si>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</si>
  <si>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</si>
  <si>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</si>
  <si>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</si>
  <si>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</si>
  <si>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</si>
  <si>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</si>
  <si>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</si>
  <si>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</si>
  <si>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</si>
  <si>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</si>
  <si>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</si>
  <si>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</si>
  <si>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</si>
  <si>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</si>
  <si>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</si>
  <si>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</si>
  <si>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</si>
  <si>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</si>
  <si>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</si>
  <si>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</si>
  <si>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</si>
  <si>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</si>
  <si>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</si>
  <si>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</si>
  <si>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</si>
  <si>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</si>
  <si>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</si>
  <si>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</si>
  <si>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</si>
  <si>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</si>
  <si>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</si>
  <si>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</si>
  <si>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</si>
  <si>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</si>
  <si>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</si>
  <si>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</si>
  <si>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</si>
  <si>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</si>
  <si>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</si>
  <si>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</si>
  <si>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</si>
  <si>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</si>
  <si>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</si>
  <si>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</si>
  <si>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</si>
  <si>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</si>
  <si>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</si>
  <si>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</si>
  <si>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</si>
  <si>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</si>
  <si>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</si>
  <si>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</si>
  <si>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</si>
  <si>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</si>
  <si>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</si>
  <si>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</si>
  <si>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</si>
  <si>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</si>
  <si>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</si>
  <si>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</si>
  <si>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</si>
  <si>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</si>
  <si>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</si>
  <si>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</si>
  <si>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</si>
  <si>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</si>
  <si>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</si>
  <si>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</si>
  <si>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</si>
  <si>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</si>
  <si>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</si>
  <si>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</si>
  <si>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</si>
  <si>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</si>
  <si>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</si>
  <si>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</si>
  <si>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</si>
  <si>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</si>
  <si>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</si>
  <si>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</si>
  <si>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</si>
  <si>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</si>
  <si>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</si>
  <si>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</si>
  <si>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</si>
  <si>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</si>
  <si>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</si>
  <si>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</si>
  <si>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</si>
  <si>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</si>
  <si>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</si>
  <si>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</si>
  <si>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</si>
  <si>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</si>
  <si>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</si>
  <si>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</si>
  <si>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</si>
  <si>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</si>
  <si>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</si>
  <si>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</si>
  <si>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</si>
  <si>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</si>
  <si>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</si>
  <si>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</si>
  <si>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</si>
  <si>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</si>
  <si>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</si>
  <si>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</si>
  <si>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</si>
  <si>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</si>
  <si>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</si>
  <si>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</si>
  <si>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</si>
  <si>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</si>
  <si>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</si>
  <si>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</si>
  <si>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</si>
  <si>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</si>
  <si>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</si>
  <si>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</si>
  <si>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</si>
  <si>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</si>
  <si>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</si>
  <si>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</si>
  <si>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</si>
  <si>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</si>
  <si>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</si>
  <si>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</si>
  <si>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</si>
  <si>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</si>
  <si>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</si>
  <si>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</si>
  <si>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</si>
  <si>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</si>
  <si>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</si>
  <si>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</si>
  <si>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</si>
  <si>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</si>
  <si>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</si>
  <si>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</si>
  <si>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</si>
  <si>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</si>
  <si>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</si>
  <si>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</si>
  <si>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</si>
  <si>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</si>
  <si>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</si>
  <si>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</si>
  <si>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</si>
  <si>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</si>
  <si>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</si>
  <si>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</si>
  <si>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</si>
  <si>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</si>
  <si>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</si>
  <si>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</si>
  <si>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</si>
  <si>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</si>
  <si>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</si>
  <si>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</si>
  <si>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</si>
  <si>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</si>
  <si>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</si>
  <si>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</si>
  <si>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</si>
  <si>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</si>
  <si>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</si>
  <si>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</si>
  <si>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</si>
  <si>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</si>
  <si>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</si>
  <si>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</si>
  <si>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</si>
  <si>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</si>
  <si>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</si>
  <si>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</si>
  <si>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</si>
  <si>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</si>
  <si>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</si>
  <si>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</si>
  <si>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</si>
  <si>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</si>
  <si>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</si>
  <si>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</si>
  <si>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</si>
  <si>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</si>
  <si>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</si>
  <si>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</si>
  <si>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</si>
  <si>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</si>
  <si>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</si>
  <si>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</si>
  <si>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</si>
  <si>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</si>
  <si>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</si>
  <si>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</si>
  <si>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</si>
  <si>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</si>
  <si>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</si>
  <si>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</si>
  <si>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</si>
  <si>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</si>
  <si>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</si>
  <si>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</si>
  <si>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</si>
  <si>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</si>
  <si>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</si>
  <si>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</si>
  <si>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</si>
  <si>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</si>
  <si>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</si>
  <si>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</si>
  <si>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</si>
  <si>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</si>
  <si>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</si>
  <si>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</si>
  <si>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</si>
  <si>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</si>
  <si>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</si>
  <si>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</si>
  <si>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</si>
  <si>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</si>
  <si>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</si>
  <si>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</si>
  <si>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</si>
  <si>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</si>
  <si>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</si>
  <si>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</si>
  <si>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</si>
  <si>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</si>
  <si>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</si>
  <si>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</si>
  <si>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</si>
  <si>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</si>
  <si>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</si>
  <si>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</si>
  <si>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</si>
  <si>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</si>
  <si>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</si>
  <si>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</si>
  <si>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</si>
  <si>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</si>
  <si>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</si>
  <si>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</si>
  <si>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</si>
  <si>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</si>
  <si>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</si>
  <si>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</si>
  <si>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</si>
  <si>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</si>
  <si>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</si>
  <si>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</si>
  <si>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</si>
  <si>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</si>
  <si>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</si>
  <si>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</si>
  <si>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</si>
  <si>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</si>
  <si>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</si>
  <si>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</si>
  <si>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</si>
  <si>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</si>
  <si>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</si>
  <si>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</si>
  <si>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</si>
  <si>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</si>
  <si>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</si>
  <si>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</si>
  <si>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</si>
  <si>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</si>
  <si>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</si>
  <si>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</si>
  <si>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</si>
  <si>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</si>
  <si>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</si>
  <si>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</si>
  <si>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</si>
  <si>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</si>
  <si>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</si>
  <si>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</si>
  <si>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</si>
  <si>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</si>
  <si>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</si>
  <si>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</si>
  <si>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</si>
  <si>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</si>
  <si>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</si>
  <si>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</si>
  <si>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</si>
  <si>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</si>
  <si>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</si>
  <si>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</si>
  <si>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</si>
  <si>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</si>
  <si>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</si>
  <si>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</si>
  <si>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</si>
  <si>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</si>
  <si>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</si>
  <si>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</si>
  <si>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</si>
  <si>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</si>
  <si>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</si>
  <si>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</si>
  <si>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</si>
  <si>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</si>
  <si>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</si>
  <si>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</si>
  <si>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</si>
  <si>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</si>
  <si>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</si>
  <si>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</si>
  <si>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</si>
  <si>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</si>
  <si>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</si>
  <si>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</si>
  <si>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</si>
  <si>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</si>
  <si>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</si>
  <si>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</si>
  <si>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</si>
  <si>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</si>
  <si>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</si>
  <si>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</si>
  <si>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</si>
  <si>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</si>
  <si>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</si>
  <si>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</si>
  <si>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</si>
  <si>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</si>
  <si>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</si>
  <si>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</si>
  <si>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</si>
  <si>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</si>
  <si>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</si>
  <si>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</si>
  <si>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</si>
  <si>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</si>
  <si>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</si>
  <si>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</si>
  <si>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</si>
  <si>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</si>
  <si>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</si>
  <si>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</si>
  <si>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</si>
  <si>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</si>
  <si>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</si>
  <si>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</si>
  <si>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</si>
  <si>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</si>
  <si>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</si>
  <si>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</si>
  <si>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</si>
  <si>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</si>
  <si>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</si>
  <si>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</si>
  <si>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</si>
  <si>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</si>
  <si>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</si>
  <si>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</si>
  <si>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</si>
  <si>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</si>
  <si>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</si>
  <si>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</si>
  <si>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</si>
  <si>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</si>
  <si>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</si>
  <si>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</si>
  <si>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</si>
  <si>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</si>
  <si>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</si>
  <si>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</si>
  <si>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</si>
  <si>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</si>
  <si>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</si>
  <si>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</si>
  <si>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</si>
  <si>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</si>
  <si>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</si>
  <si>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</si>
  <si>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</si>
  <si>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</si>
  <si>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</si>
  <si>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</si>
  <si>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</si>
  <si>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</si>
  <si>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</si>
  <si>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</si>
  <si>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</si>
  <si>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</si>
  <si>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</si>
  <si>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</si>
  <si>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</si>
  <si>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</si>
  <si>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</si>
  <si>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</si>
  <si>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</si>
  <si>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</si>
  <si>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</si>
  <si>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</si>
  <si>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</si>
  <si>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</si>
  <si>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</si>
  <si>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</si>
  <si>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</si>
  <si>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</si>
  <si>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</si>
  <si>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</si>
  <si>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</si>
  <si>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</si>
  <si>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</si>
  <si>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</si>
  <si>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</si>
  <si>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</si>
  <si>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</si>
  <si>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</si>
  <si>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</si>
  <si>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</si>
  <si>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</si>
  <si>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</si>
  <si>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</si>
  <si>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</si>
  <si>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</si>
  <si>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</si>
  <si>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</si>
  <si>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</si>
  <si>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</si>
  <si>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</si>
  <si>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</si>
  <si>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</si>
  <si>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</si>
  <si>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</si>
  <si>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</si>
  <si>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</si>
  <si>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</si>
  <si>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</si>
  <si>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</si>
  <si>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</si>
  <si>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</si>
  <si>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</si>
  <si>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</si>
  <si>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</si>
  <si>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</si>
  <si>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</si>
  <si>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</si>
  <si>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</si>
  <si>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</si>
  <si>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</si>
  <si>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</si>
  <si>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</si>
  <si>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</si>
  <si>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</si>
  <si>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</si>
  <si>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</si>
  <si>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</si>
  <si>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</si>
  <si>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</si>
  <si>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</si>
  <si>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</si>
  <si>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</si>
  <si>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</si>
  <si>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</si>
  <si>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</si>
  <si>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</si>
  <si>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</si>
  <si>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</si>
  <si>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</si>
  <si>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</si>
  <si>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</si>
  <si>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</si>
  <si>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</si>
  <si>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</si>
  <si>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</si>
  <si>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</si>
  <si>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</si>
  <si>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</si>
  <si>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</si>
  <si>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</si>
  <si>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</si>
  <si>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</si>
  <si>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</si>
  <si>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</si>
  <si>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</si>
  <si>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</si>
  <si>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</si>
  <si>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</si>
  <si>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</si>
  <si>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</si>
  <si>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</si>
  <si>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</si>
  <si>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</si>
  <si>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</si>
  <si>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</si>
  <si>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</si>
  <si>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</si>
  <si>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</si>
  <si>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</si>
  <si>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</si>
  <si>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</si>
  <si>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</si>
  <si>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</si>
  <si>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</si>
  <si>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</si>
  <si>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</si>
  <si>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</si>
  <si>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</si>
  <si>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</si>
  <si>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</si>
  <si>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</si>
  <si>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</si>
  <si>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</si>
  <si>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</si>
  <si>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</si>
  <si>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</si>
  <si>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</si>
  <si>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</si>
  <si>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</si>
  <si>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</si>
  <si>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</si>
  <si>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</si>
  <si>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</si>
  <si>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</si>
  <si>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</si>
  <si>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</si>
  <si>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</si>
  <si>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</si>
  <si>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</si>
  <si>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</si>
  <si>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</si>
  <si>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</si>
  <si>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</si>
  <si>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</si>
  <si>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</si>
  <si>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</si>
  <si>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</si>
  <si>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</si>
  <si>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</si>
  <si>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</si>
  <si>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</si>
  <si>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</si>
  <si>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</si>
  <si>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</si>
  <si>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</si>
  <si>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</si>
  <si>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</si>
  <si>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</si>
  <si>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</si>
  <si>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</si>
  <si>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</si>
  <si>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</si>
  <si>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</si>
  <si>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</si>
  <si>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</si>
  <si>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</si>
  <si>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</si>
  <si>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</si>
  <si>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</si>
  <si>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</si>
  <si>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</si>
  <si>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</si>
  <si>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</si>
  <si>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</si>
  <si>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</si>
  <si>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</si>
  <si>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</si>
  <si>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</si>
  <si>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</si>
  <si>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</si>
  <si>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</si>
  <si>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</si>
  <si>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</si>
  <si>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</si>
  <si>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</si>
  <si>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</si>
  <si>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</si>
  <si>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</si>
  <si>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</si>
  <si>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</si>
  <si>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</si>
  <si>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</si>
  <si>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</si>
  <si>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</si>
  <si>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</si>
  <si>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</si>
  <si>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</si>
  <si>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</si>
  <si>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</si>
  <si>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</si>
  <si>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</si>
  <si>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</si>
  <si>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</si>
  <si>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</si>
  <si>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</si>
  <si>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</si>
  <si>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</si>
  <si>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</si>
  <si>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</si>
  <si>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</si>
  <si>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</si>
  <si>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</si>
  <si>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</si>
  <si>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</si>
  <si>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</si>
  <si>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</si>
  <si>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</si>
  <si>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</si>
  <si>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</si>
  <si>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</si>
  <si>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</si>
  <si>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</si>
  <si>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</si>
  <si>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</si>
  <si>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</si>
  <si>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</si>
  <si>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</si>
  <si>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</si>
  <si>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</si>
  <si>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</si>
  <si>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</si>
  <si>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</si>
  <si>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</si>
  <si>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</si>
  <si>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</si>
  <si>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</si>
  <si>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</si>
  <si>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</si>
  <si>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</si>
  <si>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</si>
  <si>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</si>
  <si>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</si>
  <si>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</si>
  <si>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</si>
  <si>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</si>
  <si>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</si>
  <si>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</si>
  <si>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</si>
  <si>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</si>
  <si>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</si>
  <si>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</si>
  <si>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</si>
  <si>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</si>
  <si>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</si>
  <si>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</si>
  <si>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</si>
  <si>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</si>
  <si>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</si>
  <si>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</si>
  <si>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</si>
  <si>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</si>
  <si>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</si>
  <si>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</si>
  <si>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</si>
  <si>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</si>
  <si>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</si>
  <si>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</si>
  <si>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</si>
  <si>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</si>
  <si>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</si>
  <si>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</si>
  <si>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</si>
  <si>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</si>
  <si>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</si>
  <si>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</si>
  <si>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</si>
  <si>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</si>
  <si>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</si>
  <si>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</si>
  <si>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</si>
  <si>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</si>
  <si>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</si>
  <si>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</si>
  <si>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</si>
  <si>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</si>
  <si>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</si>
  <si>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</si>
  <si>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</si>
  <si>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</si>
  <si>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</si>
  <si>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</si>
  <si>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</si>
  <si>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</si>
  <si>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</si>
  <si>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</si>
  <si>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</si>
  <si>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</si>
  <si>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</si>
  <si>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</si>
  <si>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</si>
  <si>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</si>
  <si>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</si>
  <si>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</si>
  <si>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</si>
  <si>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</si>
  <si>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</si>
  <si>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</si>
  <si>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</si>
  <si>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</si>
  <si>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</si>
  <si>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</si>
  <si>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</si>
  <si>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</si>
  <si>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</si>
  <si>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</si>
  <si>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</si>
  <si>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</si>
  <si>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</si>
  <si>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</si>
  <si>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</si>
  <si>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</si>
  <si>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</si>
  <si>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</si>
  <si>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</si>
  <si>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</si>
  <si>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</si>
  <si>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</si>
  <si>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</si>
  <si>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</si>
  <si>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</si>
  <si>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</si>
  <si>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</si>
  <si>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</si>
  <si>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</si>
  <si>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</si>
  <si>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</si>
  <si>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</si>
  <si>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</si>
  <si>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</si>
  <si>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</si>
  <si>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</si>
  <si>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</si>
  <si>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</si>
  <si>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</si>
  <si>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</si>
  <si>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</si>
  <si>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</si>
  <si>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</si>
  <si>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</si>
  <si>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</si>
  <si>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</si>
  <si>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</si>
  <si>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</si>
  <si>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</si>
  <si>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</si>
  <si>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</si>
  <si>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</si>
  <si>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</si>
  <si>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</si>
  <si>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</si>
  <si>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</si>
  <si>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</si>
  <si>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</si>
  <si>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</si>
  <si>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</si>
  <si>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</si>
  <si>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</si>
  <si>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</si>
  <si>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</si>
  <si>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</si>
  <si>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</si>
  <si>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</si>
  <si>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</si>
  <si>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</si>
  <si>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</si>
  <si>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</si>
  <si>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</si>
  <si>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</si>
  <si>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</si>
  <si>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</si>
  <si>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</si>
  <si>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</si>
  <si>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</si>
  <si>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</si>
  <si>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</si>
  <si>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</si>
  <si>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</si>
  <si>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</si>
  <si>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</si>
  <si>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</si>
  <si>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</si>
  <si>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</si>
  <si>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</si>
  <si>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</si>
  <si>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</si>
  <si>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</si>
  <si>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</si>
  <si>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</si>
  <si>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</si>
  <si>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</si>
  <si>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</si>
  <si>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</si>
  <si>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</si>
  <si>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</si>
  <si>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</si>
  <si>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</si>
  <si>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</si>
  <si>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</si>
  <si>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</si>
  <si>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</si>
  <si>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</si>
  <si>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</si>
  <si>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</si>
  <si>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</si>
  <si>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</si>
  <si>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</si>
  <si>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</si>
  <si>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</si>
  <si>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</si>
  <si>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</si>
  <si>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</si>
  <si>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</si>
  <si>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</si>
  <si>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</si>
  <si>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</si>
  <si>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</si>
  <si>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</si>
  <si>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</si>
  <si>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</si>
  <si>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</si>
  <si>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</si>
  <si>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</si>
  <si>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</si>
  <si>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</si>
  <si>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</si>
  <si>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</si>
  <si>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</si>
  <si>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</si>
  <si>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</si>
  <si>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</si>
  <si>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</si>
  <si>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</si>
  <si>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</si>
  <si>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</si>
  <si>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</si>
  <si>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</si>
  <si>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</si>
  <si>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</si>
  <si>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</si>
  <si>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</si>
  <si>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</si>
  <si>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</si>
  <si>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</si>
  <si>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</si>
  <si>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</si>
  <si>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</si>
  <si>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</si>
  <si>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</si>
  <si>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</si>
  <si>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</si>
  <si>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</si>
  <si>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</si>
  <si>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</si>
  <si>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</si>
  <si>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</si>
  <si>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</si>
  <si>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</si>
  <si>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</si>
  <si>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</si>
  <si>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</si>
  <si>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</si>
  <si>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</si>
  <si>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</si>
  <si>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</si>
  <si>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</si>
  <si>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</si>
  <si>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</si>
  <si>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</si>
  <si>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</si>
  <si>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</si>
  <si>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</si>
  <si>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</si>
  <si>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</si>
  <si>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</si>
  <si>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</si>
  <si>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</si>
  <si>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</si>
  <si>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</si>
  <si>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</si>
  <si>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</si>
  <si>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</si>
  <si>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</si>
  <si>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</si>
  <si>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</si>
  <si>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</si>
  <si>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</si>
  <si>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</si>
  <si>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</si>
  <si>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</si>
  <si>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</si>
  <si>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</si>
  <si>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</si>
  <si>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</si>
  <si>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</si>
  <si>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</si>
  <si>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</si>
  <si>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</si>
  <si>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</si>
  <si>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</si>
  <si>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</si>
  <si>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</si>
  <si>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</si>
  <si>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</si>
  <si>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</si>
  <si>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</si>
  <si>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</si>
  <si>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</si>
  <si>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</si>
  <si>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</si>
  <si>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</si>
  <si>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</si>
  <si>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</si>
  <si>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</si>
  <si>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</si>
  <si>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</si>
  <si>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</si>
  <si>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</si>
  <si>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</si>
  <si>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</si>
  <si>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</si>
  <si>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</si>
  <si>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</si>
  <si>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</si>
  <si>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</si>
  <si>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</si>
  <si>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</si>
  <si>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</si>
  <si>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</si>
  <si>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</si>
  <si>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</si>
  <si>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</si>
  <si>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</si>
  <si>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</si>
  <si>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</si>
  <si>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</si>
  <si>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</si>
  <si>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</si>
  <si>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</si>
  <si>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</si>
  <si>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</si>
  <si>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</si>
  <si>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</si>
  <si>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</si>
  <si>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</si>
  <si>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</si>
  <si>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</si>
  <si>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</si>
  <si>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</si>
  <si>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</si>
  <si>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</si>
  <si>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</si>
  <si>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</si>
  <si>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</si>
  <si>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</si>
  <si>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</si>
  <si>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</si>
  <si>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</si>
  <si>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</si>
  <si>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</si>
  <si>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</si>
  <si>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</si>
  <si>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</si>
  <si>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</si>
  <si>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</si>
  <si>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</si>
  <si>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</si>
  <si>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</si>
  <si>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</si>
  <si>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</si>
  <si>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</si>
  <si>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</si>
  <si>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</si>
  <si>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</si>
  <si>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</si>
  <si>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</si>
  <si>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</si>
  <si>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</si>
  <si>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</si>
  <si>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</si>
  <si>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</si>
  <si>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</si>
  <si>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</si>
  <si>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</si>
  <si>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</si>
  <si>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</si>
  <si>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</si>
  <si>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</si>
  <si>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</si>
  <si>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</si>
  <si>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</si>
  <si>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</si>
  <si>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</si>
  <si>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</si>
  <si>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</si>
  <si>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</si>
  <si>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</si>
  <si>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</si>
  <si>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</si>
  <si>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</si>
  <si>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</si>
  <si>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</si>
  <si>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</si>
  <si>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</si>
  <si>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</si>
  <si>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</si>
  <si>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</si>
  <si>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</si>
  <si>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</si>
  <si>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</si>
  <si>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</si>
  <si>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</si>
  <si>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</si>
  <si>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</si>
  <si>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</si>
  <si>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</si>
  <si>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</si>
  <si>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</si>
  <si>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</si>
  <si>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</si>
  <si>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</si>
  <si>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</si>
  <si>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</si>
  <si>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</si>
  <si>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</si>
  <si>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</si>
  <si>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</si>
  <si>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</si>
  <si>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</si>
  <si>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</si>
  <si>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</si>
  <si>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</si>
  <si>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</si>
  <si>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</si>
  <si>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</si>
  <si>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</si>
  <si>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</si>
  <si>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</si>
  <si>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</si>
  <si>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</si>
  <si>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</si>
  <si>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</si>
  <si>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</si>
  <si>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</si>
  <si>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</si>
  <si>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</si>
  <si>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</si>
  <si>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</si>
  <si>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</si>
  <si>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</si>
  <si>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</si>
  <si>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</si>
  <si>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</si>
  <si>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</si>
  <si>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</si>
  <si>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</si>
  <si>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</si>
  <si>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</si>
  <si>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</si>
  <si>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</si>
  <si>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</si>
  <si>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</si>
  <si>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</si>
  <si>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</si>
  <si>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</si>
  <si>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</si>
  <si>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</si>
  <si>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</si>
  <si>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</si>
  <si>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</si>
  <si>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</si>
  <si>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</si>
  <si>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</si>
  <si>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</si>
  <si>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</si>
  <si>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</si>
  <si>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</si>
  <si>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</si>
  <si>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</si>
  <si>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</si>
  <si>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</si>
  <si>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</si>
  <si>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</si>
  <si>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</si>
  <si>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</si>
  <si>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</si>
  <si>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</si>
  <si>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</si>
  <si>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</si>
  <si>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</si>
  <si>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</si>
  <si>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</si>
  <si>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</si>
  <si>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</si>
  <si>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</si>
  <si>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</si>
  <si>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</si>
  <si>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</si>
  <si>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</si>
  <si>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</si>
  <si>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</si>
  <si>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</si>
  <si>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</si>
  <si>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</si>
  <si>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</si>
  <si>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</si>
  <si>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</si>
  <si>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</si>
  <si>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</si>
  <si>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</si>
  <si>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</si>
  <si>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</si>
  <si>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</si>
  <si>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</si>
  <si>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</si>
  <si>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</si>
  <si>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</si>
  <si>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</si>
  <si>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</si>
  <si>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</si>
  <si>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</si>
  <si>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</si>
  <si>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</si>
  <si>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</si>
  <si>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</si>
  <si>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</si>
  <si>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</si>
  <si>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</si>
  <si>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</si>
  <si>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</si>
  <si>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</si>
  <si>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</si>
  <si>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</si>
  <si>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</si>
  <si>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</si>
  <si>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</si>
  <si>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</si>
  <si>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</si>
  <si>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</si>
  <si>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</si>
  <si>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</si>
  <si>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</si>
  <si>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</si>
  <si>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</si>
  <si>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</si>
  <si>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</si>
  <si>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</si>
  <si>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</si>
  <si>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</si>
  <si>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</si>
  <si>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</si>
  <si>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</si>
  <si>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</si>
  <si>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</si>
  <si>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</si>
  <si>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</si>
  <si>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</si>
  <si>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</si>
  <si>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</si>
  <si>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</si>
  <si>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</si>
  <si>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</si>
  <si>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</si>
  <si>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</si>
  <si>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</si>
  <si>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</si>
  <si>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</si>
  <si>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</si>
  <si>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</si>
  <si>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</si>
  <si>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</si>
  <si>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</si>
  <si>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</si>
  <si>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</si>
  <si>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</si>
  <si>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</si>
  <si>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</si>
  <si>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</si>
  <si>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</si>
  <si>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</si>
  <si>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</si>
  <si>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</si>
  <si>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</si>
  <si>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</si>
  <si>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</si>
  <si>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</si>
  <si>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</si>
  <si>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</si>
  <si>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</si>
  <si>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</si>
  <si>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</si>
  <si>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</si>
  <si>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</si>
  <si>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</si>
  <si>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</si>
  <si>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</si>
  <si>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</si>
  <si>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</si>
  <si>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</si>
  <si>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</si>
  <si>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</si>
  <si>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</si>
  <si>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</si>
  <si>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</si>
  <si>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</si>
  <si>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</si>
  <si>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</si>
  <si>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</si>
  <si>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</si>
  <si>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</si>
  <si>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</si>
  <si>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</si>
  <si>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</si>
  <si>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</si>
  <si>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</si>
  <si>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</si>
  <si>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</si>
  <si>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</si>
  <si>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</si>
  <si>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</si>
  <si>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</si>
  <si>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</si>
  <si>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</si>
  <si>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</si>
  <si>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</si>
  <si>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</si>
  <si>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</si>
  <si>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</si>
  <si>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</si>
  <si>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</si>
  <si>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</si>
  <si>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</si>
  <si>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</si>
  <si>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</si>
  <si>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</si>
  <si>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</si>
  <si>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</si>
  <si>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</si>
  <si>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</si>
  <si>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</si>
  <si>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</si>
  <si>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</si>
  <si>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</si>
  <si>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</si>
  <si>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</si>
  <si>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</si>
  <si>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</si>
  <si>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</si>
  <si>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</si>
  <si>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</si>
  <si>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</si>
  <si>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</si>
  <si>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</si>
  <si>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</si>
  <si>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</si>
  <si>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</si>
  <si>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</si>
  <si>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</si>
  <si>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</si>
  <si>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</si>
  <si>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</si>
  <si>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</si>
  <si>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</si>
  <si>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</si>
  <si>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</si>
  <si>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</si>
  <si>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</si>
  <si>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</si>
  <si>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</si>
  <si>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</si>
  <si>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</si>
  <si>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</si>
  <si>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</si>
  <si>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</si>
  <si>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</si>
  <si>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</si>
  <si>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</si>
  <si>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</si>
  <si>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</si>
  <si>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</si>
  <si>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</si>
  <si>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</si>
  <si>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</si>
  <si>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</si>
  <si>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</si>
  <si>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</si>
  <si>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</si>
  <si>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</si>
  <si>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</si>
  <si>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</si>
  <si>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</si>
  <si>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</si>
  <si>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</si>
  <si>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</si>
  <si>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</si>
  <si>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</si>
  <si>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</si>
  <si>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</si>
  <si>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</si>
  <si>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</si>
  <si>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</si>
  <si>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</si>
  <si>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</si>
  <si>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</si>
  <si>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</si>
  <si>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</si>
  <si>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</si>
  <si>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</si>
  <si>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</si>
  <si>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</si>
  <si>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</si>
  <si>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</si>
  <si>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</si>
  <si>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</si>
  <si>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</si>
  <si>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</si>
  <si>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</si>
  <si>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</si>
  <si>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</si>
  <si>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</si>
  <si>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</si>
  <si>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</si>
  <si>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</si>
  <si>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</si>
  <si>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</si>
  <si>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</si>
  <si>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</si>
  <si>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</si>
  <si>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</si>
  <si>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</si>
  <si>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</si>
  <si>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</si>
  <si>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</si>
  <si>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</si>
  <si>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</si>
  <si>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</si>
  <si>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</si>
  <si>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</si>
  <si>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</si>
  <si>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</si>
  <si>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</si>
  <si>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</si>
  <si>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</si>
  <si>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</si>
  <si>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</si>
  <si>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</si>
  <si>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</si>
  <si>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</si>
  <si>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</si>
  <si>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</si>
  <si>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</si>
  <si>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</si>
  <si>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</si>
  <si>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</si>
  <si>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</si>
  <si>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</si>
  <si>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</si>
  <si>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</si>
  <si>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</si>
  <si>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</si>
  <si>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</si>
  <si>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</si>
  <si>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</si>
  <si>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</si>
  <si>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</si>
  <si>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</si>
  <si>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</si>
  <si>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</si>
  <si>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</si>
  <si>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</si>
  <si>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</si>
  <si>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</si>
  <si>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</si>
  <si>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</si>
  <si>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</si>
  <si>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</si>
  <si>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</si>
  <si>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</si>
  <si>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</si>
  <si>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</si>
  <si>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</si>
  <si>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</si>
  <si>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</si>
  <si>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</si>
  <si>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</si>
  <si>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</si>
  <si>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</si>
  <si>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</si>
  <si>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</si>
  <si>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</si>
  <si>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</si>
  <si>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</si>
  <si>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</si>
  <si>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</si>
  <si>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</si>
  <si>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</si>
  <si>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</si>
  <si>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</si>
  <si>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</si>
  <si>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</si>
  <si>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</si>
  <si>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</si>
  <si>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</si>
  <si>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</si>
  <si>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</si>
  <si>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</si>
  <si>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</si>
  <si>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</si>
  <si>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</si>
  <si>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</si>
  <si>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</si>
  <si>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</si>
  <si>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</si>
  <si>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</si>
  <si>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</si>
  <si>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</si>
  <si>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</si>
  <si>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</si>
  <si>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</si>
  <si>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</si>
  <si>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</si>
  <si>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</si>
  <si>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</si>
  <si>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</si>
  <si>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</si>
  <si>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</si>
  <si>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</si>
  <si>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</si>
  <si>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</si>
  <si>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</si>
  <si>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</si>
  <si>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</si>
  <si>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</si>
  <si>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</si>
  <si>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</si>
  <si>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</si>
  <si>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</si>
  <si>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</si>
  <si>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</si>
  <si>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</si>
  <si>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</si>
  <si>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</si>
  <si>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</si>
  <si>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</si>
  <si>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</si>
  <si>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</si>
  <si>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</si>
  <si>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</si>
  <si>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</si>
  <si>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</si>
  <si>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</si>
  <si>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</si>
  <si>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</si>
  <si>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</si>
  <si>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</si>
  <si>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</si>
  <si>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</si>
  <si>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</si>
  <si>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</si>
  <si>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</si>
  <si>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</si>
  <si>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</si>
  <si>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</si>
  <si>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</si>
  <si>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</si>
  <si>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</si>
  <si>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</si>
  <si>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</si>
  <si>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</si>
  <si>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</si>
  <si>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</si>
  <si>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</si>
  <si>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</si>
  <si>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</si>
  <si>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</si>
  <si>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</si>
  <si>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</si>
  <si>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</si>
  <si>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</si>
  <si>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</si>
  <si>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</si>
  <si>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</si>
  <si>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</si>
  <si>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</si>
  <si>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</si>
  <si>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</si>
  <si>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</si>
  <si>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</si>
  <si>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</si>
  <si>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</si>
  <si>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</si>
  <si>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</si>
  <si>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</si>
  <si>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</si>
  <si>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</si>
  <si>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</si>
  <si>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</si>
  <si>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</si>
  <si>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</si>
  <si>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</si>
  <si>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</si>
  <si>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</si>
  <si>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</si>
  <si>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</si>
  <si>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</si>
  <si>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</si>
  <si>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</si>
  <si>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</si>
  <si>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</si>
  <si>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</si>
  <si>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</si>
  <si>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</si>
  <si>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</si>
  <si>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</si>
  <si>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</si>
  <si>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</si>
  <si>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</si>
  <si>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</si>
  <si>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</si>
  <si>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</si>
  <si>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</si>
  <si>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</si>
  <si>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</si>
  <si>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</si>
  <si>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</si>
  <si>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</si>
  <si>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</si>
  <si>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</si>
  <si>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</si>
  <si>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</si>
  <si>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</si>
  <si>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</si>
  <si>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</si>
  <si>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</si>
  <si>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</si>
  <si>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</si>
  <si>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</si>
  <si>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</si>
  <si>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</si>
  <si>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</si>
  <si>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</si>
  <si>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</si>
  <si>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</si>
  <si>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</si>
  <si>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</si>
  <si>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</si>
  <si>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</si>
  <si>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</si>
  <si>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</si>
  <si>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</si>
  <si>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</si>
  <si>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</si>
  <si>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</si>
  <si>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</si>
  <si>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</si>
  <si>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</si>
  <si>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</si>
  <si>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</si>
  <si>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</si>
  <si>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</si>
  <si>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</si>
  <si>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</si>
  <si>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</si>
  <si>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</si>
  <si>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</si>
  <si>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</si>
  <si>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</si>
  <si>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</si>
  <si>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</si>
  <si>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</si>
  <si>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</si>
  <si>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</si>
  <si>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</si>
  <si>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</si>
  <si>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</si>
  <si>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</si>
  <si>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</si>
  <si>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</si>
  <si>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</si>
  <si>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</si>
  <si>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</si>
  <si>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</si>
  <si>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</si>
  <si>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</si>
  <si>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</si>
  <si>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</si>
  <si>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</si>
  <si>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</si>
  <si>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</si>
  <si>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</si>
  <si>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</si>
  <si>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</si>
  <si>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</si>
  <si>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</si>
  <si>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</si>
  <si>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</si>
  <si>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</si>
  <si>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</si>
  <si>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</si>
  <si>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</si>
  <si>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</si>
  <si>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</si>
  <si>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</si>
  <si>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</si>
  <si>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</si>
  <si>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</si>
  <si>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</si>
  <si>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</si>
  <si>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</si>
  <si>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</si>
  <si>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</si>
  <si>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</si>
  <si>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</si>
  <si>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</si>
  <si>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</si>
  <si>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</si>
  <si>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</si>
  <si>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</si>
  <si>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</si>
  <si>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</si>
  <si>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</si>
  <si>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</si>
  <si>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</si>
  <si>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</si>
  <si>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</si>
  <si>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</si>
  <si>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</si>
  <si>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</si>
  <si>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</si>
  <si>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</si>
  <si>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</si>
  <si>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</si>
  <si>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</si>
  <si>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</si>
  <si>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</si>
  <si>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</si>
  <si>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</si>
  <si>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</si>
  <si>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</si>
  <si>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</si>
  <si>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</si>
  <si>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</si>
  <si>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</si>
  <si>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</si>
  <si>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</si>
  <si>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</si>
  <si>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</si>
  <si>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</si>
  <si>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</si>
  <si>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</si>
  <si>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</si>
  <si>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</si>
  <si>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</si>
  <si>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</si>
  <si>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</si>
  <si>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</si>
  <si>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</si>
  <si>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</si>
  <si>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</si>
  <si>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</si>
  <si>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</si>
  <si>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</si>
  <si>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</si>
  <si>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</si>
  <si>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</si>
  <si>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</si>
  <si>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</si>
  <si>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</si>
  <si>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</si>
  <si>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</si>
  <si>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</si>
  <si>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</si>
  <si>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</si>
  <si>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</si>
  <si>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</si>
  <si>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</si>
  <si>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</si>
  <si>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</si>
  <si>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</si>
  <si>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</si>
  <si>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</si>
  <si>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</si>
  <si>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</si>
  <si>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</si>
  <si>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</si>
  <si>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</si>
  <si>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</si>
  <si>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</si>
  <si>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</si>
  <si>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</si>
  <si>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</si>
  <si>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</si>
  <si>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</si>
  <si>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</si>
  <si>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</si>
  <si>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</si>
  <si>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</si>
  <si>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</si>
  <si>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</si>
  <si>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</si>
  <si>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</si>
  <si>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</si>
  <si>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</si>
  <si>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</si>
  <si>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</si>
  <si>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</si>
  <si>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</si>
  <si>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</si>
  <si>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</si>
  <si>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</si>
  <si>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</si>
  <si>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</si>
  <si>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</si>
  <si>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</si>
  <si>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</si>
  <si>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</si>
  <si>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</si>
  <si>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</si>
  <si>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</si>
  <si>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</si>
  <si>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</si>
  <si>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</si>
  <si>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</si>
  <si>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</si>
  <si>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</si>
  <si>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</si>
  <si>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</si>
  <si>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</si>
  <si>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</si>
  <si>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</si>
  <si>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</si>
  <si>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</si>
  <si>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</si>
  <si>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</si>
  <si>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</si>
  <si>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</si>
  <si>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</si>
  <si>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</si>
  <si>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</si>
  <si>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</si>
  <si>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</si>
  <si>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</si>
  <si>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</si>
  <si>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</si>
  <si>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</si>
  <si>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</si>
  <si>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</si>
  <si>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</si>
  <si>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</si>
  <si>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</si>
  <si>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</si>
  <si>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</si>
  <si>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</si>
  <si>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</si>
  <si>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</si>
  <si>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</si>
  <si>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</si>
  <si>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</si>
  <si>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</si>
  <si>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</si>
  <si>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</si>
  <si>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</si>
  <si>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</si>
  <si>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</si>
  <si>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</si>
  <si>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</si>
  <si>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</si>
  <si>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</si>
  <si>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</si>
  <si>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</si>
  <si>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</si>
  <si>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</si>
  <si>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</si>
  <si>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</si>
  <si>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</si>
  <si>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</si>
  <si>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</si>
  <si>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</si>
  <si>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</si>
  <si>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</si>
  <si>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</si>
  <si>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</si>
  <si>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</si>
  <si>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</si>
  <si>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</si>
  <si>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</si>
  <si>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</si>
  <si>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</si>
  <si>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</si>
  <si>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</si>
  <si>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</si>
  <si>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</si>
  <si>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</si>
  <si>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</si>
  <si>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</si>
  <si>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</si>
  <si>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</si>
  <si>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</si>
  <si>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</si>
  <si>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</si>
  <si>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</si>
  <si>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</si>
  <si>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</si>
  <si>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</si>
  <si>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</si>
  <si>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</si>
  <si>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</si>
  <si>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</si>
  <si>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</si>
  <si>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</si>
  <si>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</si>
  <si>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</si>
  <si>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</si>
  <si>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</si>
  <si>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</si>
  <si>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</si>
  <si>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</si>
  <si>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</si>
  <si>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</si>
  <si>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</si>
  <si>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2022-1</t>
    <phoneticPr fontId="4" type="noConversion"/>
  </si>
  <si>
    <t>2022-3</t>
    <phoneticPr fontId="4" type="noConversion"/>
  </si>
  <si>
    <t>2022-2</t>
    <phoneticPr fontId="4" type="noConversion"/>
  </si>
  <si>
    <t>2022-3</t>
    <phoneticPr fontId="4" type="noConversion"/>
  </si>
  <si>
    <t>2022-2</t>
    <phoneticPr fontId="4" type="noConversion"/>
  </si>
  <si>
    <t>2022-3</t>
    <phoneticPr fontId="4" type="noConversion"/>
  </si>
  <si>
    <t>住宅</t>
  </si>
  <si>
    <t>城镇住宅用地</t>
  </si>
  <si>
    <t>地上</t>
  </si>
  <si>
    <t>是</t>
  </si>
  <si>
    <t>估价对象容积率</t>
  </si>
  <si>
    <t>有</t>
  </si>
  <si>
    <t>不临65条商业街</t>
  </si>
  <si>
    <t>与级别开发程度一致</t>
  </si>
  <si>
    <t>按公示增长率计算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</si>
</sst>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0" fontId="143" fillId="11" borderId="125" xfId="9"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14" fontId="48" fillId="0" borderId="1" xfId="0" applyNumberFormat="1" applyFont="1" applyFill="1" applyBorder="1" applyAlignment="1" applyProtection="1">
      <alignment horizontal="center" vertical="center" shrinkToFit="1"/>
      <protection locked="0"/>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str">
        <f>'预评函-1'!A7</f>
        <v>估价对象为房地产，为所有。根据《国有土地使用证》[]，估价对象（分摊）出让国有建设用地使用权面积为98422.09平方米，建筑面积为246055.225平方米。</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str">
        <f>'预评函-1'!A10</f>
        <v>估价对象为房地产,属开发建设的，该项目尚在开发建设中。根据《国有土地使用证》[]，估价对象（分摊）出让国有建设用地使用权面积为98422.09平方米，规划建筑面积为246055.225平方米。</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2022年12月5日</v>
      </c>
    </row>
    <row r="13" spans="1:2" s="2762" customFormat="1">
      <c r="A13" s="2760" t="s">
        <v>742</v>
      </c>
      <c r="B13" s="2761" t="str">
        <f>'预评函-1'!A18</f>
        <v>本次估价的“房地产价值”是指在正常市场情况下，在价值时点2022年12月5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246055.22499999998</v>
      </c>
    </row>
    <row r="44" spans="1:2" s="2762" customFormat="1">
      <c r="A44" s="2760" t="s">
        <v>788</v>
      </c>
      <c r="B44" s="2761" t="str">
        <f>'预评函-3'!C2</f>
        <v>(分摊)土地面积</v>
      </c>
    </row>
    <row r="45" spans="1:2" s="2762" customFormat="1">
      <c r="A45" s="2760" t="s">
        <v>760</v>
      </c>
      <c r="B45" s="2761">
        <f>'预评函-3'!C4</f>
        <v>98422.09</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H22" sqref="H22"/>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9" t="str">
        <f>IF(B10="北京市","北京市",C10)&amp;F10&amp;IF(结果表!G1="在建","出让国有建设用地使用权及在建建筑物",IF(结果表!G1="土地","出让国有建设用地使用权",))&amp;B9&amp;"预评估"</f>
        <v>预评估</v>
      </c>
      <c r="C1" s="3040"/>
      <c r="D1" s="3040"/>
      <c r="E1" s="3040"/>
      <c r="F1" s="3040"/>
      <c r="G1" s="3040"/>
      <c r="H1" s="3040"/>
      <c r="I1" s="3041"/>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44900</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2" t="s">
        <v>2439</v>
      </c>
      <c r="E8" s="2898"/>
      <c r="F8" s="2899"/>
      <c r="G8" s="2880"/>
      <c r="H8" s="2880"/>
      <c r="I8" s="2880"/>
      <c r="J8" s="862"/>
      <c r="K8" s="2900"/>
      <c r="L8" s="2893"/>
      <c r="M8" s="2893"/>
      <c r="N8" s="862"/>
      <c r="O8" s="2893"/>
      <c r="P8" s="862"/>
      <c r="Q8" s="862"/>
      <c r="R8" s="862"/>
    </row>
    <row r="9" spans="1:28" ht="13.5" thickBot="1">
      <c r="A9" s="2901" t="s">
        <v>2440</v>
      </c>
      <c r="B9" s="2902"/>
      <c r="C9" s="2903"/>
      <c r="D9" s="3043"/>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3085</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3317">
        <v>70468</v>
      </c>
      <c r="E13" s="2920"/>
      <c r="F13" s="2920"/>
      <c r="G13" s="2920"/>
      <c r="H13" s="2920"/>
      <c r="I13" s="2920"/>
      <c r="J13" s="862"/>
      <c r="K13" s="2892"/>
      <c r="L13" s="2893"/>
      <c r="M13" s="2893"/>
      <c r="N13" s="862"/>
      <c r="O13" s="2893"/>
      <c r="P13" s="862"/>
      <c r="Q13" s="862"/>
      <c r="R13" s="862"/>
    </row>
    <row r="14" spans="1:28">
      <c r="A14" s="1360"/>
      <c r="B14" s="2918"/>
      <c r="C14" s="2919" t="s">
        <v>2453</v>
      </c>
      <c r="D14" s="2921">
        <v>70</v>
      </c>
      <c r="E14" s="2921"/>
      <c r="F14" s="2921"/>
      <c r="G14" s="2921"/>
      <c r="H14" s="2921"/>
      <c r="I14" s="2921"/>
      <c r="J14" s="862"/>
      <c r="K14" s="2892"/>
      <c r="L14" s="2893"/>
      <c r="M14" s="2893"/>
      <c r="N14" s="862"/>
      <c r="O14" s="2893"/>
      <c r="P14" s="862"/>
      <c r="Q14" s="862"/>
      <c r="R14" s="862"/>
    </row>
    <row r="15" spans="1:28">
      <c r="A15" s="978"/>
      <c r="B15" s="2922"/>
      <c r="C15" s="2923" t="s">
        <v>2454</v>
      </c>
      <c r="D15" s="459">
        <f>IF(B12="出让",IF(D13="","",ROUNDDOWN(MIN((D13-$D$3)/365,D14),2)),D14)</f>
        <v>70</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9"/>
      <c r="C16" s="3050"/>
      <c r="D16" s="3051"/>
      <c r="E16" s="989" t="s">
        <v>2456</v>
      </c>
      <c r="F16" s="3052"/>
      <c r="G16" s="3053"/>
      <c r="H16" s="3053"/>
      <c r="I16" s="3054"/>
      <c r="J16" s="862"/>
      <c r="K16" s="2892"/>
      <c r="L16" s="2893"/>
      <c r="M16" s="2893"/>
      <c r="N16" s="862"/>
      <c r="O16" s="2893"/>
      <c r="P16" s="862"/>
      <c r="Q16" s="862"/>
      <c r="R16" s="862"/>
    </row>
    <row r="17" spans="1:28">
      <c r="A17" s="1337" t="s">
        <v>2457</v>
      </c>
      <c r="B17" s="879" t="s">
        <v>2458</v>
      </c>
      <c r="C17" s="459">
        <f>'数据-汇总表'!E3</f>
        <v>246055.22499999998</v>
      </c>
      <c r="D17" s="2846" t="s">
        <v>2459</v>
      </c>
      <c r="E17" s="3055" t="s">
        <v>2460</v>
      </c>
      <c r="F17" s="3056"/>
      <c r="G17" s="3056"/>
      <c r="H17" s="3056"/>
      <c r="I17" s="3057"/>
      <c r="J17" s="862"/>
      <c r="K17" s="2900"/>
      <c r="L17" s="2893"/>
      <c r="M17" s="2893"/>
      <c r="N17" s="862"/>
      <c r="O17" s="2893"/>
      <c r="P17" s="862"/>
      <c r="Q17" s="862"/>
      <c r="R17" s="862"/>
      <c r="S17" s="862"/>
      <c r="T17" s="862"/>
      <c r="U17" s="862"/>
      <c r="V17" s="862"/>
    </row>
    <row r="18" spans="1:28" ht="24.75" thickBot="1">
      <c r="A18" s="2924" t="s">
        <v>2461</v>
      </c>
      <c r="B18" s="1353" t="s">
        <v>2462</v>
      </c>
      <c r="C18" s="2925">
        <f>'数据-汇总表'!D3</f>
        <v>98422.09</v>
      </c>
      <c r="D18" s="1386" t="s">
        <v>2463</v>
      </c>
      <c r="E18" s="3058" t="s">
        <v>2464</v>
      </c>
      <c r="F18" s="3059"/>
      <c r="G18" s="3059"/>
      <c r="H18" s="3059"/>
      <c r="I18" s="3060"/>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5" t="s">
        <v>2468</v>
      </c>
      <c r="C20" s="3046"/>
      <c r="D20" s="3047" t="s">
        <v>2469</v>
      </c>
      <c r="E20" s="3048"/>
      <c r="F20" s="2932" t="s">
        <v>1280</v>
      </c>
      <c r="G20" s="2887"/>
      <c r="H20" s="2887"/>
      <c r="I20" s="2887"/>
      <c r="J20" s="862"/>
      <c r="K20" s="3044"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4"/>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4"/>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3"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3"/>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3"/>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4"/>
      <c r="B30" s="879" t="s">
        <v>2480</v>
      </c>
      <c r="C30" s="3035"/>
      <c r="D30" s="3036"/>
      <c r="E30" s="2887"/>
      <c r="F30" s="2887"/>
      <c r="G30" s="2887"/>
      <c r="H30" s="2887"/>
      <c r="I30" s="2887"/>
      <c r="J30" s="862"/>
      <c r="K30" s="2892"/>
      <c r="L30" s="2893"/>
      <c r="M30" s="2893"/>
      <c r="N30" s="862"/>
      <c r="O30" s="2893"/>
      <c r="P30" s="862"/>
      <c r="Q30" s="862"/>
      <c r="R30" s="862"/>
      <c r="S30" s="862"/>
      <c r="T30" s="862"/>
      <c r="U30" s="862"/>
      <c r="V30" s="862"/>
    </row>
    <row r="31" spans="1:28">
      <c r="A31" s="3037"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8"/>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8"/>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2" t="s">
        <v>2490</v>
      </c>
      <c r="T34" s="460" t="str">
        <f>NUMBERSTRING(7-K34,1)&amp;"通"</f>
        <v>七通</v>
      </c>
      <c r="U34" s="862"/>
      <c r="V34" s="862"/>
    </row>
    <row r="35" spans="1:30">
      <c r="A35" s="2958"/>
      <c r="B35" s="3032" t="s">
        <v>2491</v>
      </c>
      <c r="C35" s="3032"/>
      <c r="D35" s="3032"/>
      <c r="E35" s="3032"/>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2"/>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t="s">
        <v>420</v>
      </c>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t="s">
        <v>2978</v>
      </c>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v>98422.09</v>
      </c>
      <c r="B3" s="5">
        <f>IF(C3="否",G5-AT5,G5)</f>
        <v>246055.22499999998</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246055.22499999998</v>
      </c>
      <c r="H5" s="7">
        <f t="shared" ref="H5:AT5" si="0">SUM(H13:H656)</f>
        <v>246055.22499999998</v>
      </c>
      <c r="I5" s="7">
        <f t="shared" si="0"/>
        <v>246055.22499999998</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246055.22499999998</v>
      </c>
      <c r="BA5" s="9">
        <f t="shared" si="1"/>
        <v>246055.22499999998</v>
      </c>
      <c r="BB5" s="9">
        <f t="shared" si="1"/>
        <v>246055.22499999998</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f>H6+AC6+AT6</f>
        <v>98422.09</v>
      </c>
      <c r="F6" s="7" t="s">
        <v>0</v>
      </c>
      <c r="G6" s="7" t="s">
        <v>1</v>
      </c>
      <c r="H6" s="11">
        <f>SUMIF(I$12:AB$12,"总值",I6:AB6)</f>
        <v>98422.09</v>
      </c>
      <c r="I6" s="7">
        <f t="shared" ref="I6:AB6" si="2">ROUND($A$3*I5/$B$3,2)</f>
        <v>98422.09</v>
      </c>
      <c r="J6" s="7">
        <f t="shared" si="2"/>
        <v>0</v>
      </c>
      <c r="K6" s="7">
        <f t="shared" si="2"/>
        <v>0</v>
      </c>
      <c r="L6" s="7">
        <f t="shared" si="2"/>
        <v>0</v>
      </c>
      <c r="M6" s="7">
        <f t="shared" si="2"/>
        <v>0</v>
      </c>
      <c r="N6" s="7">
        <f t="shared" si="2"/>
        <v>0</v>
      </c>
      <c r="O6" s="7">
        <f t="shared" si="2"/>
        <v>0</v>
      </c>
      <c r="P6" s="7">
        <f t="shared" si="2"/>
        <v>0</v>
      </c>
      <c r="Q6" s="7">
        <f t="shared" si="2"/>
        <v>0</v>
      </c>
      <c r="R6" s="7">
        <f t="shared" si="2"/>
        <v>0</v>
      </c>
      <c r="S6" s="7">
        <f t="shared" si="2"/>
        <v>0</v>
      </c>
      <c r="T6" s="7">
        <f t="shared" si="2"/>
        <v>0</v>
      </c>
      <c r="U6" s="7">
        <f t="shared" si="2"/>
        <v>0</v>
      </c>
      <c r="V6" s="7">
        <f t="shared" si="2"/>
        <v>0</v>
      </c>
      <c r="W6" s="7">
        <f t="shared" si="2"/>
        <v>0</v>
      </c>
      <c r="X6" s="7">
        <f t="shared" si="2"/>
        <v>0</v>
      </c>
      <c r="Y6" s="7">
        <f t="shared" si="2"/>
        <v>0</v>
      </c>
      <c r="Z6" s="7">
        <f t="shared" si="2"/>
        <v>0</v>
      </c>
      <c r="AA6" s="7">
        <f t="shared" si="2"/>
        <v>0</v>
      </c>
      <c r="AB6" s="7">
        <f t="shared" si="2"/>
        <v>0</v>
      </c>
      <c r="AC6" s="11">
        <f>SUMIF(AD$12:AS$12,"总值",AD6:AS6)</f>
        <v>0</v>
      </c>
      <c r="AD6" s="7">
        <f t="shared" ref="AD6:AS6" si="3">ROUND($A$3*AD5/$B$3,2)</f>
        <v>0</v>
      </c>
      <c r="AE6" s="7">
        <f t="shared" si="3"/>
        <v>0</v>
      </c>
      <c r="AF6" s="7">
        <f t="shared" si="3"/>
        <v>0</v>
      </c>
      <c r="AG6" s="7">
        <f t="shared" si="3"/>
        <v>0</v>
      </c>
      <c r="AH6" s="7">
        <f t="shared" si="3"/>
        <v>0</v>
      </c>
      <c r="AI6" s="7">
        <f t="shared" si="3"/>
        <v>0</v>
      </c>
      <c r="AJ6" s="7">
        <f t="shared" si="3"/>
        <v>0</v>
      </c>
      <c r="AK6" s="7">
        <f t="shared" si="3"/>
        <v>0</v>
      </c>
      <c r="AL6" s="7">
        <f t="shared" si="3"/>
        <v>0</v>
      </c>
      <c r="AM6" s="7">
        <f t="shared" si="3"/>
        <v>0</v>
      </c>
      <c r="AN6" s="7">
        <f t="shared" si="3"/>
        <v>0</v>
      </c>
      <c r="AO6" s="7">
        <f t="shared" si="3"/>
        <v>0</v>
      </c>
      <c r="AP6" s="7">
        <f t="shared" si="3"/>
        <v>0</v>
      </c>
      <c r="AQ6" s="7">
        <f t="shared" si="3"/>
        <v>0</v>
      </c>
      <c r="AR6" s="7">
        <f t="shared" si="3"/>
        <v>0</v>
      </c>
      <c r="AS6" s="7">
        <f t="shared" si="3"/>
        <v>0</v>
      </c>
      <c r="AT6" s="11">
        <f>IF(C3="是",ROUND($A$3*AT5/$B$3,2),0)</f>
        <v>0</v>
      </c>
      <c r="AU6" s="234"/>
      <c r="AV6" s="6" t="s">
        <v>1296</v>
      </c>
      <c r="AW6" s="232"/>
      <c r="AX6" s="232"/>
      <c r="AY6" s="12">
        <f>IF(AY3&gt;0,AY3,ROUND($A$3*AZ5/$B$3,2))</f>
        <v>98422.09</v>
      </c>
      <c r="AZ6" s="7" t="s">
        <v>2</v>
      </c>
      <c r="BA6" s="7">
        <f>ROUND($AY$6*BA5/$AZ$5,2)</f>
        <v>98422.09</v>
      </c>
      <c r="BB6" s="7">
        <f>ROUND($AY$6*BB5/$AZ$5,2)</f>
        <v>98422.09</v>
      </c>
      <c r="BC6" s="7">
        <f t="shared" ref="BC6:BH6" si="4">ROUND($AY$6*BC5/$AZ$5,2)</f>
        <v>0</v>
      </c>
      <c r="BD6" s="7">
        <f t="shared" si="4"/>
        <v>0</v>
      </c>
      <c r="BE6" s="7">
        <f t="shared" si="4"/>
        <v>0</v>
      </c>
      <c r="BF6" s="7">
        <f t="shared" si="4"/>
        <v>0</v>
      </c>
      <c r="BG6" s="7">
        <f t="shared" si="4"/>
        <v>0</v>
      </c>
      <c r="BH6" s="7">
        <f t="shared" si="4"/>
        <v>0</v>
      </c>
      <c r="BI6" s="7">
        <f t="shared" ref="BI6:BT6" si="5">ROUND($AY$6*BI5/$AZ$5,2)</f>
        <v>0</v>
      </c>
      <c r="BJ6" s="7">
        <f t="shared" si="5"/>
        <v>0</v>
      </c>
      <c r="BK6" s="7">
        <f t="shared" si="5"/>
        <v>0</v>
      </c>
      <c r="BL6" s="7">
        <f t="shared" si="5"/>
        <v>0</v>
      </c>
      <c r="BM6" s="7">
        <f t="shared" si="5"/>
        <v>0</v>
      </c>
      <c r="BN6" s="7">
        <f t="shared" si="5"/>
        <v>0</v>
      </c>
      <c r="BO6" s="7">
        <f t="shared" si="5"/>
        <v>0</v>
      </c>
      <c r="BP6" s="7">
        <f t="shared" si="5"/>
        <v>0</v>
      </c>
      <c r="BQ6" s="7">
        <f t="shared" si="5"/>
        <v>0</v>
      </c>
      <c r="BR6" s="7">
        <f t="shared" si="5"/>
        <v>0</v>
      </c>
      <c r="BS6" s="7">
        <f t="shared" si="5"/>
        <v>0</v>
      </c>
      <c r="BT6" s="13">
        <f t="shared" si="5"/>
        <v>0</v>
      </c>
    </row>
    <row r="7" spans="1:72" s="225" customFormat="1" ht="24.75">
      <c r="A7" s="215" t="s">
        <v>1297</v>
      </c>
      <c r="B7" s="215" t="s">
        <v>1298</v>
      </c>
      <c r="C7" s="215" t="s">
        <v>1299</v>
      </c>
      <c r="D7" s="2979" t="s">
        <v>3089</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t="s">
        <v>3100</v>
      </c>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t="s">
        <v>3098</v>
      </c>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t="str">
        <f>I9</f>
        <v>地上</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t="str">
        <f>I10</f>
        <v>住宅</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t="s">
        <v>3101</v>
      </c>
      <c r="E13" s="7">
        <f>IF($C$3="是",ROUND($A$3*G13/$B$3,2),ROUND($A$3*(G13-AT13)/$B$3,2))</f>
        <v>98422.09</v>
      </c>
      <c r="F13" s="23"/>
      <c r="G13" s="24">
        <f>H13+AC13+AT13</f>
        <v>246055.22499999998</v>
      </c>
      <c r="H13" s="11">
        <f>SUMIF(I$12:AB$12,"总值",I13:AB13)</f>
        <v>246055.22499999998</v>
      </c>
      <c r="I13" s="272">
        <f>A3*2.5</f>
        <v>246055.22499999998</v>
      </c>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f>ROUND($AY$6*AZ13/$AZ$5,2)</f>
        <v>98422.09</v>
      </c>
      <c r="AZ13" s="7">
        <f>BA13+BL13</f>
        <v>246055.22499999998</v>
      </c>
      <c r="BA13" s="7">
        <f>SUM(BB13:BK13)</f>
        <v>246055.22499999998</v>
      </c>
      <c r="BB13" s="7">
        <f>IF($D13="是",I13-J13,0)</f>
        <v>246055.22499999998</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f>IF($C$3="是",ROUND($A$3*G14/$B$3,2),ROUND($A$3*(G14-AT14)/$B$3,2))</f>
        <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f>ROUND($AY$6*AZ14/$AZ$5,2)</f>
        <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f>IF($C$3="是",ROUND($A$3*G15/$B$3,2),ROUND($A$3*(G15-AT15)/$B$3,2))</f>
        <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f>ROUND($AY$6*AZ15/$AZ$5,2)</f>
        <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f>IF($C$3="是",ROUND($A$3*G16/$B$3,2),ROUND($A$3*(G16-AT16)/$B$3,2))</f>
        <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f>ROUND($AY$6*AZ16/$AZ$5,2)</f>
        <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f>IF($C$3="是",ROUND($A$3*G17/$B$3,2),ROUND($A$3*(G17-AT17)/$B$3,2))</f>
        <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f>ROUND($AY$6*AZ17/$AZ$5,2)</f>
        <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f t="shared" ref="E18:E112" si="7">IF($C$3="是",ROUND($A$3*G18/$B$3,2),ROUND($A$3*(G18-AT18)/$B$3,2))</f>
        <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f t="shared" ref="AY18:AY109" si="14">ROUND($AY$6*AZ18/$AZ$5,2)</f>
        <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f t="shared" si="7"/>
        <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f t="shared" si="14"/>
        <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f t="shared" si="7"/>
        <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f t="shared" si="14"/>
        <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f t="shared" si="7"/>
        <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f t="shared" si="14"/>
        <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f t="shared" si="7"/>
        <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f t="shared" si="14"/>
        <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f t="shared" si="7"/>
        <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f t="shared" si="14"/>
        <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f t="shared" si="7"/>
        <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f t="shared" si="14"/>
        <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f t="shared" si="7"/>
        <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f t="shared" si="14"/>
        <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f t="shared" si="7"/>
        <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f t="shared" si="14"/>
        <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f t="shared" si="7"/>
        <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f t="shared" si="14"/>
        <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f t="shared" si="7"/>
        <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f t="shared" si="14"/>
        <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f t="shared" si="7"/>
        <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f t="shared" si="14"/>
        <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f t="shared" si="7"/>
        <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f t="shared" si="14"/>
        <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f t="shared" si="7"/>
        <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f t="shared" si="14"/>
        <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f t="shared" si="7"/>
        <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f t="shared" si="14"/>
        <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f t="shared" si="7"/>
        <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f t="shared" si="14"/>
        <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f t="shared" si="7"/>
        <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f t="shared" si="14"/>
        <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f t="shared" si="7"/>
        <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f t="shared" si="14"/>
        <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f t="shared" si="7"/>
        <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f t="shared" si="14"/>
        <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f t="shared" si="7"/>
        <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f t="shared" si="14"/>
        <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f t="shared" si="7"/>
        <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f t="shared" si="14"/>
        <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f t="shared" si="7"/>
        <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f t="shared" si="14"/>
        <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f t="shared" si="7"/>
        <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f t="shared" si="14"/>
        <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f t="shared" si="7"/>
        <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f t="shared" si="14"/>
        <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f t="shared" si="7"/>
        <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f t="shared" si="14"/>
        <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f t="shared" si="7"/>
        <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f t="shared" si="14"/>
        <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f t="shared" si="7"/>
        <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f t="shared" si="14"/>
        <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f t="shared" si="7"/>
        <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f t="shared" si="14"/>
        <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f t="shared" si="7"/>
        <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f t="shared" si="14"/>
        <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f t="shared" si="7"/>
        <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f t="shared" si="14"/>
        <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f t="shared" si="7"/>
        <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f t="shared" si="14"/>
        <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f t="shared" si="7"/>
        <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f t="shared" si="14"/>
        <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f t="shared" si="7"/>
        <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f t="shared" si="14"/>
        <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f t="shared" si="7"/>
        <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f t="shared" si="14"/>
        <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f t="shared" si="7"/>
        <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f t="shared" si="14"/>
        <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f t="shared" si="7"/>
        <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f t="shared" si="14"/>
        <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f t="shared" si="7"/>
        <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f t="shared" si="14"/>
        <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f t="shared" si="7"/>
        <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f t="shared" si="14"/>
        <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f t="shared" si="7"/>
        <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f t="shared" si="14"/>
        <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f t="shared" si="7"/>
        <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f t="shared" si="14"/>
        <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f t="shared" si="7"/>
        <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f t="shared" si="14"/>
        <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f t="shared" si="7"/>
        <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f t="shared" si="14"/>
        <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f t="shared" si="7"/>
        <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f t="shared" si="14"/>
        <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f t="shared" si="7"/>
        <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f t="shared" si="14"/>
        <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f t="shared" si="7"/>
        <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f t="shared" si="14"/>
        <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f t="shared" si="7"/>
        <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f t="shared" si="14"/>
        <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f t="shared" si="7"/>
        <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f t="shared" si="14"/>
        <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f t="shared" si="7"/>
        <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f t="shared" si="14"/>
        <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f t="shared" si="7"/>
        <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f t="shared" si="14"/>
        <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f t="shared" si="7"/>
        <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f t="shared" si="14"/>
        <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f t="shared" si="7"/>
        <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f t="shared" si="14"/>
        <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f t="shared" si="7"/>
        <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f t="shared" si="14"/>
        <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f t="shared" si="7"/>
        <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f t="shared" si="14"/>
        <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f t="shared" si="7"/>
        <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f t="shared" si="14"/>
        <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f t="shared" si="7"/>
        <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f t="shared" si="14"/>
        <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f t="shared" si="7"/>
        <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f t="shared" si="14"/>
        <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f t="shared" si="7"/>
        <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f t="shared" si="14"/>
        <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f t="shared" si="7"/>
        <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f t="shared" si="14"/>
        <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f t="shared" si="7"/>
        <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f t="shared" si="14"/>
        <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f t="shared" si="7"/>
        <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f t="shared" si="14"/>
        <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f t="shared" si="7"/>
        <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f t="shared" si="14"/>
        <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f t="shared" si="7"/>
        <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f t="shared" si="14"/>
        <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f t="shared" si="7"/>
        <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f t="shared" si="14"/>
        <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f t="shared" si="7"/>
        <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f t="shared" si="14"/>
        <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f t="shared" si="7"/>
        <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f t="shared" si="14"/>
        <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f t="shared" si="7"/>
        <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f t="shared" si="14"/>
        <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f t="shared" si="7"/>
        <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f t="shared" si="14"/>
        <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f t="shared" si="7"/>
        <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f t="shared" si="14"/>
        <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f t="shared" si="7"/>
        <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f t="shared" si="14"/>
        <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f t="shared" si="7"/>
        <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f t="shared" si="14"/>
        <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f t="shared" si="7"/>
        <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f t="shared" si="14"/>
        <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f t="shared" si="7"/>
        <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f t="shared" si="14"/>
        <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f t="shared" si="7"/>
        <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f t="shared" si="14"/>
        <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f t="shared" si="7"/>
        <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f t="shared" si="14"/>
        <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f t="shared" si="7"/>
        <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f t="shared" si="14"/>
        <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f t="shared" si="7"/>
        <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f t="shared" si="14"/>
        <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f t="shared" si="7"/>
        <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f t="shared" si="14"/>
        <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f t="shared" si="7"/>
        <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f t="shared" si="14"/>
        <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f t="shared" si="7"/>
        <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f t="shared" si="14"/>
        <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f t="shared" si="7"/>
        <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f t="shared" si="14"/>
        <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f t="shared" si="7"/>
        <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f t="shared" si="14"/>
        <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f t="shared" si="7"/>
        <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f t="shared" si="14"/>
        <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f t="shared" si="7"/>
        <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f t="shared" si="14"/>
        <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f t="shared" si="7"/>
        <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f t="shared" si="14"/>
        <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f t="shared" si="7"/>
        <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f t="shared" si="14"/>
        <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f t="shared" si="7"/>
        <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f t="shared" si="14"/>
        <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f t="shared" si="7"/>
        <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f t="shared" si="14"/>
        <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f t="shared" si="7"/>
        <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f t="shared" si="14"/>
        <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f t="shared" si="7"/>
        <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f t="shared" si="14"/>
        <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f t="shared" si="7"/>
        <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f t="shared" si="14"/>
        <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f t="shared" si="7"/>
        <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f t="shared" si="14"/>
        <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f t="shared" si="7"/>
        <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f t="shared" si="14"/>
        <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f t="shared" si="7"/>
        <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f t="shared" ref="AY110:AY141" si="39">ROUND($AY$6*AZ110/$AZ$5,2)</f>
        <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f t="shared" si="7"/>
        <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f t="shared" si="39"/>
        <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f t="shared" si="7"/>
        <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f t="shared" si="39"/>
        <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f t="shared" ref="E113:E144" si="61">IF($C$3="是",ROUND($A$3*G113/$B$3,2),ROUND($A$3*(G113-AT113)/$B$3,2))</f>
        <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f t="shared" si="39"/>
        <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f t="shared" si="61"/>
        <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f t="shared" si="39"/>
        <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f t="shared" si="61"/>
        <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f t="shared" si="39"/>
        <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f t="shared" si="61"/>
        <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f t="shared" si="39"/>
        <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f t="shared" si="61"/>
        <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f t="shared" si="39"/>
        <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f t="shared" si="61"/>
        <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f t="shared" si="39"/>
        <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f t="shared" si="61"/>
        <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f t="shared" si="39"/>
        <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f t="shared" si="61"/>
        <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f t="shared" si="39"/>
        <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f t="shared" si="61"/>
        <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f t="shared" si="39"/>
        <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f t="shared" si="61"/>
        <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f t="shared" si="39"/>
        <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f t="shared" si="61"/>
        <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f t="shared" si="39"/>
        <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f t="shared" si="61"/>
        <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f t="shared" si="39"/>
        <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f t="shared" si="61"/>
        <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f t="shared" si="39"/>
        <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f t="shared" si="61"/>
        <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f t="shared" si="39"/>
        <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f t="shared" si="61"/>
        <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f t="shared" si="39"/>
        <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f t="shared" si="61"/>
        <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f t="shared" si="39"/>
        <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f t="shared" si="61"/>
        <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f t="shared" si="39"/>
        <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f t="shared" si="61"/>
        <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f t="shared" si="39"/>
        <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f t="shared" si="61"/>
        <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f t="shared" si="39"/>
        <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f t="shared" si="61"/>
        <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f t="shared" si="39"/>
        <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f t="shared" si="61"/>
        <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f t="shared" si="39"/>
        <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f t="shared" si="61"/>
        <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f t="shared" si="39"/>
        <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f t="shared" si="61"/>
        <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f t="shared" si="39"/>
        <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f t="shared" si="61"/>
        <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f t="shared" si="39"/>
        <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f t="shared" si="61"/>
        <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f t="shared" si="39"/>
        <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f t="shared" si="61"/>
        <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f t="shared" si="39"/>
        <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f t="shared" si="61"/>
        <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f t="shared" si="39"/>
        <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f t="shared" si="61"/>
        <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f t="shared" si="39"/>
        <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f t="shared" si="61"/>
        <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f t="shared" si="39"/>
        <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f t="shared" si="61"/>
        <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f t="shared" ref="AY142:AY173" si="68">ROUND($AY$6*AZ142/$AZ$5,2)</f>
        <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f t="shared" si="61"/>
        <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f t="shared" si="68"/>
        <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f t="shared" si="61"/>
        <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f t="shared" si="68"/>
        <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f t="shared" ref="E145:E176" si="90">IF($C$3="是",ROUND($A$3*G145/$B$3,2),ROUND($A$3*(G145-AT145)/$B$3,2))</f>
        <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f t="shared" si="68"/>
        <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f t="shared" si="90"/>
        <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f t="shared" si="68"/>
        <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f t="shared" si="90"/>
        <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f t="shared" si="68"/>
        <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f t="shared" si="90"/>
        <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f t="shared" si="68"/>
        <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f t="shared" si="90"/>
        <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f t="shared" si="68"/>
        <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f t="shared" si="90"/>
        <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f t="shared" si="68"/>
        <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f t="shared" si="90"/>
        <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f t="shared" si="68"/>
        <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f t="shared" si="90"/>
        <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f t="shared" si="68"/>
        <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f t="shared" si="90"/>
        <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f t="shared" si="68"/>
        <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f t="shared" si="90"/>
        <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f t="shared" si="68"/>
        <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f t="shared" si="90"/>
        <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f t="shared" si="68"/>
        <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f t="shared" si="90"/>
        <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f t="shared" si="68"/>
        <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f t="shared" si="90"/>
        <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f t="shared" si="68"/>
        <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f t="shared" si="90"/>
        <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f t="shared" si="68"/>
        <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f t="shared" si="90"/>
        <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f t="shared" si="68"/>
        <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f t="shared" si="90"/>
        <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f t="shared" si="68"/>
        <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f t="shared" si="90"/>
        <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f t="shared" si="68"/>
        <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f t="shared" si="90"/>
        <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f t="shared" si="68"/>
        <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f t="shared" si="90"/>
        <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f t="shared" si="68"/>
        <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f t="shared" si="90"/>
        <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f t="shared" si="68"/>
        <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f t="shared" si="90"/>
        <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f t="shared" si="68"/>
        <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f t="shared" si="90"/>
        <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f t="shared" si="68"/>
        <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f t="shared" si="90"/>
        <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f t="shared" si="68"/>
        <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f t="shared" si="90"/>
        <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f t="shared" si="68"/>
        <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f t="shared" si="90"/>
        <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f t="shared" si="68"/>
        <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f t="shared" si="90"/>
        <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f t="shared" si="68"/>
        <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f t="shared" si="90"/>
        <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f t="shared" si="68"/>
        <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f t="shared" si="90"/>
        <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f t="shared" si="68"/>
        <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f t="shared" si="90"/>
        <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f t="shared" si="68"/>
        <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f t="shared" si="90"/>
        <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f t="shared" ref="AY174:AY205" si="97">ROUND($AY$6*AZ174/$AZ$5,2)</f>
        <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f t="shared" si="90"/>
        <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f t="shared" si="97"/>
        <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f t="shared" si="90"/>
        <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f t="shared" si="97"/>
        <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f t="shared" ref="E177:E207" si="119">IF($C$3="是",ROUND($A$3*G177/$B$3,2),ROUND($A$3*(G177-AT177)/$B$3,2))</f>
        <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f t="shared" si="97"/>
        <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f t="shared" si="119"/>
        <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f t="shared" si="97"/>
        <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f t="shared" si="119"/>
        <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f t="shared" si="97"/>
        <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f t="shared" si="119"/>
        <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f t="shared" si="97"/>
        <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f t="shared" si="119"/>
        <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f t="shared" si="97"/>
        <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f t="shared" si="119"/>
        <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f t="shared" si="97"/>
        <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f t="shared" si="119"/>
        <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f t="shared" si="97"/>
        <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f t="shared" si="119"/>
        <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f t="shared" si="97"/>
        <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f t="shared" si="119"/>
        <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f t="shared" si="97"/>
        <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f t="shared" si="119"/>
        <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f t="shared" si="97"/>
        <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f t="shared" si="119"/>
        <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f t="shared" si="97"/>
        <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f t="shared" si="119"/>
        <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f t="shared" si="97"/>
        <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f t="shared" si="119"/>
        <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f t="shared" si="97"/>
        <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f t="shared" si="119"/>
        <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f t="shared" si="97"/>
        <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f t="shared" si="119"/>
        <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f t="shared" si="97"/>
        <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f t="shared" si="119"/>
        <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f t="shared" si="97"/>
        <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f t="shared" si="119"/>
        <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f t="shared" si="97"/>
        <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f t="shared" si="119"/>
        <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f t="shared" si="97"/>
        <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f t="shared" si="119"/>
        <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f t="shared" si="97"/>
        <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f t="shared" si="119"/>
        <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f t="shared" si="97"/>
        <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f t="shared" si="119"/>
        <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f t="shared" si="97"/>
        <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f t="shared" si="119"/>
        <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f t="shared" si="97"/>
        <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f t="shared" si="119"/>
        <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f t="shared" si="97"/>
        <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f t="shared" si="119"/>
        <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f t="shared" si="97"/>
        <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f t="shared" si="119"/>
        <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f t="shared" si="97"/>
        <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f t="shared" si="119"/>
        <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f t="shared" si="97"/>
        <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f t="shared" si="119"/>
        <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f t="shared" si="97"/>
        <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f t="shared" si="119"/>
        <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f t="shared" si="97"/>
        <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f t="shared" si="119"/>
        <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f t="shared" si="97"/>
        <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f t="shared" si="119"/>
        <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f>ROUND($AY$6*AZ206/$AZ$5,2)</f>
        <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f t="shared" si="119"/>
        <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f>ROUND($AY$6*AZ207/$AZ$5,2)</f>
        <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f t="shared" ref="E208:E302" si="123">IF($C$3="是",ROUND($A$3*G208/$B$3,2),ROUND($A$3*(G208-AT208)/$B$3,2))</f>
        <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f t="shared" ref="AY208:AY299" si="130">ROUND($AY$6*AZ208/$AZ$5,2)</f>
        <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f t="shared" si="123"/>
        <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f t="shared" si="130"/>
        <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f t="shared" si="123"/>
        <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f t="shared" si="130"/>
        <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f t="shared" si="123"/>
        <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f t="shared" si="130"/>
        <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f t="shared" si="123"/>
        <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f t="shared" si="130"/>
        <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f t="shared" si="123"/>
        <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f t="shared" si="130"/>
        <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f t="shared" si="123"/>
        <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f t="shared" si="130"/>
        <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f t="shared" si="123"/>
        <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f t="shared" si="130"/>
        <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f t="shared" si="123"/>
        <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f t="shared" si="130"/>
        <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f t="shared" si="123"/>
        <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f t="shared" si="130"/>
        <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f t="shared" si="123"/>
        <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f t="shared" si="130"/>
        <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f t="shared" si="123"/>
        <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f t="shared" si="130"/>
        <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f t="shared" si="123"/>
        <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f t="shared" si="130"/>
        <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f t="shared" si="123"/>
        <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f t="shared" si="130"/>
        <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f t="shared" si="123"/>
        <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f t="shared" si="130"/>
        <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f t="shared" si="123"/>
        <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f t="shared" si="130"/>
        <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f t="shared" si="123"/>
        <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f t="shared" si="130"/>
        <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f t="shared" si="123"/>
        <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f t="shared" si="130"/>
        <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f t="shared" si="123"/>
        <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f t="shared" si="130"/>
        <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f t="shared" si="123"/>
        <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f t="shared" si="130"/>
        <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f t="shared" si="123"/>
        <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f t="shared" si="130"/>
        <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f t="shared" si="123"/>
        <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f t="shared" si="130"/>
        <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f t="shared" si="123"/>
        <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f t="shared" si="130"/>
        <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f t="shared" si="123"/>
        <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f t="shared" si="130"/>
        <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f t="shared" si="123"/>
        <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f t="shared" si="130"/>
        <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f t="shared" si="123"/>
        <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f t="shared" si="130"/>
        <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f t="shared" si="123"/>
        <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f t="shared" si="130"/>
        <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f t="shared" si="123"/>
        <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f t="shared" si="130"/>
        <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f t="shared" si="123"/>
        <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f t="shared" si="130"/>
        <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f t="shared" si="123"/>
        <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f t="shared" si="130"/>
        <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f t="shared" si="123"/>
        <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f t="shared" si="130"/>
        <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f t="shared" si="123"/>
        <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f t="shared" si="130"/>
        <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f t="shared" si="123"/>
        <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f t="shared" si="130"/>
        <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f t="shared" si="123"/>
        <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f t="shared" si="130"/>
        <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f t="shared" si="123"/>
        <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f t="shared" si="130"/>
        <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f t="shared" si="123"/>
        <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f t="shared" si="130"/>
        <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f t="shared" si="123"/>
        <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f t="shared" si="130"/>
        <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f t="shared" si="123"/>
        <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f t="shared" si="130"/>
        <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f t="shared" si="123"/>
        <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f t="shared" si="130"/>
        <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f t="shared" si="123"/>
        <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f t="shared" si="130"/>
        <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f t="shared" si="123"/>
        <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f t="shared" si="130"/>
        <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f t="shared" si="123"/>
        <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f t="shared" si="130"/>
        <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f t="shared" si="123"/>
        <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f t="shared" si="130"/>
        <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f t="shared" si="123"/>
        <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f t="shared" si="130"/>
        <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f t="shared" si="123"/>
        <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f t="shared" si="130"/>
        <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f t="shared" si="123"/>
        <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f t="shared" si="130"/>
        <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f t="shared" si="123"/>
        <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f t="shared" si="130"/>
        <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f t="shared" si="123"/>
        <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f t="shared" si="130"/>
        <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f t="shared" si="123"/>
        <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f t="shared" si="130"/>
        <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f t="shared" si="123"/>
        <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f t="shared" si="130"/>
        <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f t="shared" si="123"/>
        <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f t="shared" si="130"/>
        <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f t="shared" si="123"/>
        <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f t="shared" si="130"/>
        <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f t="shared" si="123"/>
        <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f t="shared" si="130"/>
        <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f t="shared" si="123"/>
        <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f t="shared" si="130"/>
        <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f t="shared" si="123"/>
        <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f t="shared" si="130"/>
        <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f t="shared" si="123"/>
        <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f t="shared" si="130"/>
        <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f t="shared" si="123"/>
        <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f t="shared" si="130"/>
        <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f t="shared" si="123"/>
        <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f t="shared" si="130"/>
        <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f t="shared" si="123"/>
        <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f t="shared" si="130"/>
        <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f t="shared" si="123"/>
        <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f t="shared" si="130"/>
        <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f t="shared" si="123"/>
        <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f t="shared" si="130"/>
        <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f t="shared" si="123"/>
        <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f t="shared" si="130"/>
        <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f t="shared" si="123"/>
        <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f t="shared" si="130"/>
        <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f t="shared" si="123"/>
        <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f t="shared" si="130"/>
        <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f t="shared" si="123"/>
        <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f t="shared" si="130"/>
        <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f t="shared" si="123"/>
        <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f t="shared" si="130"/>
        <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f t="shared" si="123"/>
        <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f t="shared" si="130"/>
        <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f t="shared" si="123"/>
        <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f t="shared" si="130"/>
        <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f t="shared" si="123"/>
        <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f t="shared" si="130"/>
        <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f t="shared" si="123"/>
        <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f t="shared" si="130"/>
        <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f t="shared" si="123"/>
        <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f t="shared" si="130"/>
        <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f t="shared" si="123"/>
        <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f t="shared" si="130"/>
        <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f t="shared" si="123"/>
        <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f t="shared" si="130"/>
        <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f t="shared" si="123"/>
        <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f t="shared" si="130"/>
        <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f t="shared" si="123"/>
        <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f t="shared" si="130"/>
        <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f t="shared" si="123"/>
        <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f t="shared" si="130"/>
        <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f t="shared" si="123"/>
        <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f t="shared" si="130"/>
        <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f t="shared" si="123"/>
        <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f t="shared" si="130"/>
        <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f t="shared" si="123"/>
        <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f t="shared" si="130"/>
        <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f t="shared" si="123"/>
        <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f t="shared" si="130"/>
        <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f t="shared" si="123"/>
        <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f t="shared" si="130"/>
        <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f t="shared" si="123"/>
        <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f t="shared" si="130"/>
        <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f t="shared" si="123"/>
        <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f t="shared" si="130"/>
        <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f t="shared" si="123"/>
        <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f t="shared" si="130"/>
        <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f t="shared" si="123"/>
        <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f t="shared" si="130"/>
        <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f t="shared" si="123"/>
        <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f t="shared" si="130"/>
        <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f t="shared" si="123"/>
        <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f t="shared" si="130"/>
        <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f t="shared" si="123"/>
        <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f t="shared" si="130"/>
        <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f t="shared" si="123"/>
        <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f t="shared" si="130"/>
        <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f t="shared" si="123"/>
        <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f t="shared" si="130"/>
        <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f t="shared" si="123"/>
        <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f t="shared" si="130"/>
        <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f t="shared" si="123"/>
        <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f t="shared" si="130"/>
        <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f t="shared" si="123"/>
        <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f t="shared" ref="AY300:AY331" si="155">ROUND($AY$6*AZ300/$AZ$5,2)</f>
        <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f t="shared" si="123"/>
        <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f t="shared" si="155"/>
        <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f t="shared" si="123"/>
        <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f t="shared" si="155"/>
        <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f t="shared" ref="E303:E334" si="177">IF($C$3="是",ROUND($A$3*G303/$B$3,2),ROUND($A$3*(G303-AT303)/$B$3,2))</f>
        <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f t="shared" si="155"/>
        <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f t="shared" si="177"/>
        <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f t="shared" si="155"/>
        <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f t="shared" si="177"/>
        <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f t="shared" si="155"/>
        <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f t="shared" si="177"/>
        <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f t="shared" si="155"/>
        <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f t="shared" si="177"/>
        <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f t="shared" si="155"/>
        <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f t="shared" si="177"/>
        <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f t="shared" si="155"/>
        <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f t="shared" si="177"/>
        <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f t="shared" si="155"/>
        <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f t="shared" si="177"/>
        <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f t="shared" si="155"/>
        <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f t="shared" si="177"/>
        <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f t="shared" si="155"/>
        <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f t="shared" si="177"/>
        <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f t="shared" si="155"/>
        <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f t="shared" si="177"/>
        <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f t="shared" si="155"/>
        <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f t="shared" si="177"/>
        <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f t="shared" si="155"/>
        <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f t="shared" si="177"/>
        <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f t="shared" si="155"/>
        <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f t="shared" si="177"/>
        <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f t="shared" si="155"/>
        <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f t="shared" si="177"/>
        <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f t="shared" si="155"/>
        <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f t="shared" si="177"/>
        <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f t="shared" si="155"/>
        <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f t="shared" si="177"/>
        <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f t="shared" si="155"/>
        <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f t="shared" si="177"/>
        <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f t="shared" si="155"/>
        <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f t="shared" si="177"/>
        <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f t="shared" si="155"/>
        <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f t="shared" si="177"/>
        <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f t="shared" si="155"/>
        <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f t="shared" si="177"/>
        <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f t="shared" si="155"/>
        <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f t="shared" si="177"/>
        <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f t="shared" si="155"/>
        <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f t="shared" si="177"/>
        <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f t="shared" si="155"/>
        <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f t="shared" si="177"/>
        <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f t="shared" si="155"/>
        <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f t="shared" si="177"/>
        <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f t="shared" si="155"/>
        <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f t="shared" si="177"/>
        <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f t="shared" si="155"/>
        <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f t="shared" si="177"/>
        <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f t="shared" si="155"/>
        <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f t="shared" si="177"/>
        <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f t="shared" si="155"/>
        <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f t="shared" si="177"/>
        <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f t="shared" si="155"/>
        <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f t="shared" si="177"/>
        <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f t="shared" ref="AY332:AY363" si="184">ROUND($AY$6*AZ332/$AZ$5,2)</f>
        <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f t="shared" si="177"/>
        <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f t="shared" si="184"/>
        <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f t="shared" si="177"/>
        <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f t="shared" si="184"/>
        <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f t="shared" ref="E335:E366" si="206">IF($C$3="是",ROUND($A$3*G335/$B$3,2),ROUND($A$3*(G335-AT335)/$B$3,2))</f>
        <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f t="shared" si="184"/>
        <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f t="shared" si="206"/>
        <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f t="shared" si="184"/>
        <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f t="shared" si="206"/>
        <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f t="shared" si="184"/>
        <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f t="shared" si="206"/>
        <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f t="shared" si="184"/>
        <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f t="shared" si="206"/>
        <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f t="shared" si="184"/>
        <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f t="shared" si="206"/>
        <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f t="shared" si="184"/>
        <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f t="shared" si="206"/>
        <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f t="shared" si="184"/>
        <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f t="shared" si="206"/>
        <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f t="shared" si="184"/>
        <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f t="shared" si="206"/>
        <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f t="shared" si="184"/>
        <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f t="shared" si="206"/>
        <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f t="shared" si="184"/>
        <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f t="shared" si="206"/>
        <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f t="shared" si="184"/>
        <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f t="shared" si="206"/>
        <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f t="shared" si="184"/>
        <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f t="shared" si="206"/>
        <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f t="shared" si="184"/>
        <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f t="shared" si="206"/>
        <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f t="shared" si="184"/>
        <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f t="shared" si="206"/>
        <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f t="shared" si="184"/>
        <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f t="shared" si="206"/>
        <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f t="shared" si="184"/>
        <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f t="shared" si="206"/>
        <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f t="shared" si="184"/>
        <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f t="shared" si="206"/>
        <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f t="shared" si="184"/>
        <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f t="shared" si="206"/>
        <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f t="shared" si="184"/>
        <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f t="shared" si="206"/>
        <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f t="shared" si="184"/>
        <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f t="shared" si="206"/>
        <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f t="shared" si="184"/>
        <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f t="shared" si="206"/>
        <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f t="shared" si="184"/>
        <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f t="shared" si="206"/>
        <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f t="shared" si="184"/>
        <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f t="shared" si="206"/>
        <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f t="shared" si="184"/>
        <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f t="shared" si="206"/>
        <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f t="shared" si="184"/>
        <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f t="shared" si="206"/>
        <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f t="shared" si="184"/>
        <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f t="shared" si="206"/>
        <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f t="shared" si="184"/>
        <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f t="shared" si="206"/>
        <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f t="shared" si="184"/>
        <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f t="shared" si="206"/>
        <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f t="shared" si="184"/>
        <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f t="shared" si="206"/>
        <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f t="shared" ref="AY364:AY395" si="213">ROUND($AY$6*AZ364/$AZ$5,2)</f>
        <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f t="shared" si="206"/>
        <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f t="shared" si="213"/>
        <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f t="shared" si="206"/>
        <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f t="shared" si="213"/>
        <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f t="shared" ref="E367:E397" si="235">IF($C$3="是",ROUND($A$3*G367/$B$3,2),ROUND($A$3*(G367-AT367)/$B$3,2))</f>
        <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f t="shared" si="213"/>
        <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f t="shared" si="235"/>
        <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f t="shared" si="213"/>
        <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f t="shared" si="235"/>
        <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f t="shared" si="213"/>
        <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f t="shared" si="235"/>
        <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f t="shared" si="213"/>
        <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f t="shared" si="235"/>
        <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f t="shared" si="213"/>
        <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f t="shared" si="235"/>
        <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f t="shared" si="213"/>
        <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f t="shared" si="235"/>
        <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f t="shared" si="213"/>
        <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f t="shared" si="235"/>
        <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f t="shared" si="213"/>
        <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f t="shared" si="235"/>
        <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f t="shared" si="213"/>
        <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f t="shared" si="235"/>
        <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f t="shared" si="213"/>
        <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f t="shared" si="235"/>
        <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f t="shared" si="213"/>
        <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f t="shared" si="235"/>
        <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f t="shared" si="213"/>
        <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f t="shared" si="235"/>
        <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f t="shared" si="213"/>
        <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f t="shared" si="235"/>
        <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f t="shared" si="213"/>
        <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f t="shared" si="235"/>
        <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f t="shared" si="213"/>
        <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f t="shared" si="235"/>
        <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f t="shared" si="213"/>
        <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f t="shared" si="235"/>
        <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f t="shared" si="213"/>
        <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f t="shared" si="235"/>
        <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f t="shared" si="213"/>
        <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f t="shared" si="235"/>
        <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f t="shared" si="213"/>
        <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f t="shared" si="235"/>
        <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f t="shared" si="213"/>
        <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f t="shared" si="235"/>
        <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f t="shared" si="213"/>
        <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f t="shared" si="235"/>
        <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f t="shared" si="213"/>
        <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f t="shared" si="235"/>
        <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f t="shared" si="213"/>
        <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f t="shared" si="235"/>
        <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f t="shared" si="213"/>
        <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f t="shared" si="235"/>
        <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f t="shared" si="213"/>
        <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f t="shared" si="235"/>
        <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f t="shared" si="213"/>
        <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f t="shared" si="235"/>
        <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f t="shared" si="213"/>
        <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f t="shared" si="235"/>
        <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f t="shared" si="213"/>
        <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f t="shared" si="235"/>
        <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f t="shared" si="213"/>
        <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f t="shared" si="235"/>
        <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f>ROUND($AY$6*AZ396/$AZ$5,2)</f>
        <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f t="shared" si="235"/>
        <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f>ROUND($AY$6*AZ397/$AZ$5,2)</f>
        <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f t="shared" ref="E398:E492" si="239">IF($C$3="是",ROUND($A$3*G398/$B$3,2),ROUND($A$3*(G398-AT398)/$B$3,2))</f>
        <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f t="shared" ref="AY398:AY489" si="246">ROUND($AY$6*AZ398/$AZ$5,2)</f>
        <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f t="shared" si="239"/>
        <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f t="shared" si="246"/>
        <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f t="shared" si="239"/>
        <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f t="shared" si="246"/>
        <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f t="shared" si="239"/>
        <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f t="shared" si="246"/>
        <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f t="shared" si="239"/>
        <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f t="shared" si="246"/>
        <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f t="shared" si="239"/>
        <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f t="shared" si="246"/>
        <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f t="shared" si="239"/>
        <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f t="shared" si="246"/>
        <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f t="shared" si="239"/>
        <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f t="shared" si="246"/>
        <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f t="shared" si="239"/>
        <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f t="shared" si="246"/>
        <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f t="shared" si="239"/>
        <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f t="shared" si="246"/>
        <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f t="shared" si="239"/>
        <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f t="shared" si="246"/>
        <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f t="shared" si="239"/>
        <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f t="shared" si="246"/>
        <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f t="shared" si="239"/>
        <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f t="shared" si="246"/>
        <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f t="shared" si="239"/>
        <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f t="shared" si="246"/>
        <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f t="shared" si="239"/>
        <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f t="shared" si="246"/>
        <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f t="shared" si="239"/>
        <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f t="shared" si="246"/>
        <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f t="shared" si="239"/>
        <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f t="shared" si="246"/>
        <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f t="shared" si="239"/>
        <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f t="shared" si="246"/>
        <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f t="shared" si="239"/>
        <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f t="shared" si="246"/>
        <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f t="shared" si="239"/>
        <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f t="shared" si="246"/>
        <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f t="shared" si="239"/>
        <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f t="shared" si="246"/>
        <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f t="shared" si="239"/>
        <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f t="shared" si="246"/>
        <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f t="shared" si="239"/>
        <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f t="shared" si="246"/>
        <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f t="shared" si="239"/>
        <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f t="shared" si="246"/>
        <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f t="shared" si="239"/>
        <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f t="shared" si="246"/>
        <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f t="shared" si="239"/>
        <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f t="shared" si="246"/>
        <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f t="shared" si="239"/>
        <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f t="shared" si="246"/>
        <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f t="shared" si="239"/>
        <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f t="shared" si="246"/>
        <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f t="shared" si="239"/>
        <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f t="shared" si="246"/>
        <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f t="shared" si="239"/>
        <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f t="shared" si="246"/>
        <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f t="shared" si="239"/>
        <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f t="shared" si="246"/>
        <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f t="shared" si="239"/>
        <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f t="shared" si="246"/>
        <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f t="shared" si="239"/>
        <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f t="shared" si="246"/>
        <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f t="shared" si="239"/>
        <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f t="shared" si="246"/>
        <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f t="shared" si="239"/>
        <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f t="shared" si="246"/>
        <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f t="shared" si="239"/>
        <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f t="shared" si="246"/>
        <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f t="shared" si="239"/>
        <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f t="shared" si="246"/>
        <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f t="shared" si="239"/>
        <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f t="shared" si="246"/>
        <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f t="shared" si="239"/>
        <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f t="shared" si="246"/>
        <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f t="shared" si="239"/>
        <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f t="shared" si="246"/>
        <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f t="shared" si="239"/>
        <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f t="shared" si="246"/>
        <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f t="shared" si="239"/>
        <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f t="shared" si="246"/>
        <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f t="shared" si="239"/>
        <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f t="shared" si="246"/>
        <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f t="shared" si="239"/>
        <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f t="shared" si="246"/>
        <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f t="shared" si="239"/>
        <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f t="shared" si="246"/>
        <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f t="shared" si="239"/>
        <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f t="shared" si="246"/>
        <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f t="shared" si="239"/>
        <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f t="shared" si="246"/>
        <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f t="shared" si="239"/>
        <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f t="shared" si="246"/>
        <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f t="shared" si="239"/>
        <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f t="shared" si="246"/>
        <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f t="shared" si="239"/>
        <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f t="shared" si="246"/>
        <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f t="shared" si="239"/>
        <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f t="shared" si="246"/>
        <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f t="shared" si="239"/>
        <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f t="shared" si="246"/>
        <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f t="shared" si="239"/>
        <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f t="shared" si="246"/>
        <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f t="shared" si="239"/>
        <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f t="shared" si="246"/>
        <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f t="shared" si="239"/>
        <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f t="shared" si="246"/>
        <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f t="shared" si="239"/>
        <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f t="shared" si="246"/>
        <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f t="shared" si="239"/>
        <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f t="shared" si="246"/>
        <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f t="shared" si="239"/>
        <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f t="shared" si="246"/>
        <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f t="shared" si="239"/>
        <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f t="shared" si="246"/>
        <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f t="shared" si="239"/>
        <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f t="shared" si="246"/>
        <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f t="shared" si="239"/>
        <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f t="shared" si="246"/>
        <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f t="shared" si="239"/>
        <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f t="shared" si="246"/>
        <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f t="shared" si="239"/>
        <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f t="shared" si="246"/>
        <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f t="shared" si="239"/>
        <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f t="shared" si="246"/>
        <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f t="shared" si="239"/>
        <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f t="shared" si="246"/>
        <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f t="shared" si="239"/>
        <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f t="shared" si="246"/>
        <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f t="shared" si="239"/>
        <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f t="shared" si="246"/>
        <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f t="shared" si="239"/>
        <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f t="shared" si="246"/>
        <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f t="shared" si="239"/>
        <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f t="shared" si="246"/>
        <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f t="shared" si="239"/>
        <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f t="shared" si="246"/>
        <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f t="shared" si="239"/>
        <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f t="shared" si="246"/>
        <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f t="shared" si="239"/>
        <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f t="shared" si="246"/>
        <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f t="shared" si="239"/>
        <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f t="shared" si="246"/>
        <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f t="shared" si="239"/>
        <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f t="shared" si="246"/>
        <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f t="shared" si="239"/>
        <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f t="shared" si="246"/>
        <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f t="shared" si="239"/>
        <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f t="shared" si="246"/>
        <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f t="shared" si="239"/>
        <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f t="shared" si="246"/>
        <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f t="shared" si="239"/>
        <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f t="shared" si="246"/>
        <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f t="shared" si="239"/>
        <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f t="shared" si="246"/>
        <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f t="shared" si="239"/>
        <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f t="shared" si="246"/>
        <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f t="shared" si="239"/>
        <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f t="shared" si="246"/>
        <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f t="shared" si="239"/>
        <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f t="shared" si="246"/>
        <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f t="shared" si="239"/>
        <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f t="shared" si="246"/>
        <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f t="shared" si="239"/>
        <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f t="shared" si="246"/>
        <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f t="shared" si="239"/>
        <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f t="shared" si="246"/>
        <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f t="shared" si="239"/>
        <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f t="shared" si="246"/>
        <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f t="shared" si="239"/>
        <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f t="shared" si="246"/>
        <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f t="shared" si="239"/>
        <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f t="shared" si="246"/>
        <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f t="shared" si="239"/>
        <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f t="shared" si="246"/>
        <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f t="shared" si="239"/>
        <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f t="shared" si="246"/>
        <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f t="shared" si="239"/>
        <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f t="shared" si="246"/>
        <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f t="shared" si="239"/>
        <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f t="shared" si="246"/>
        <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f t="shared" si="239"/>
        <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f t="shared" ref="AY490:AY521" si="271">ROUND($AY$6*AZ490/$AZ$5,2)</f>
        <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f t="shared" si="239"/>
        <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f t="shared" si="271"/>
        <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f t="shared" si="239"/>
        <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f t="shared" si="271"/>
        <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f t="shared" ref="E493:E519" si="293">IF($C$3="是",ROUND($A$3*G493/$B$3,2),ROUND($A$3*(G493-AT493)/$B$3,2))</f>
        <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f t="shared" si="271"/>
        <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f t="shared" si="293"/>
        <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f t="shared" si="271"/>
        <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f t="shared" si="293"/>
        <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f t="shared" si="271"/>
        <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f t="shared" si="293"/>
        <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f t="shared" si="271"/>
        <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f t="shared" si="293"/>
        <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f t="shared" si="271"/>
        <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f t="shared" si="293"/>
        <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f t="shared" si="271"/>
        <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f t="shared" si="293"/>
        <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f t="shared" si="271"/>
        <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f t="shared" si="293"/>
        <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f t="shared" si="271"/>
        <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f t="shared" si="293"/>
        <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f t="shared" si="271"/>
        <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f t="shared" si="293"/>
        <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f t="shared" si="271"/>
        <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f t="shared" si="293"/>
        <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f t="shared" si="271"/>
        <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f t="shared" si="293"/>
        <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f t="shared" si="271"/>
        <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f t="shared" si="293"/>
        <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f t="shared" si="271"/>
        <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f t="shared" si="293"/>
        <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f t="shared" si="271"/>
        <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f t="shared" si="293"/>
        <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f t="shared" si="271"/>
        <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f t="shared" si="293"/>
        <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f t="shared" si="271"/>
        <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f t="shared" si="293"/>
        <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f t="shared" si="271"/>
        <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f t="shared" si="293"/>
        <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f t="shared" si="271"/>
        <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f t="shared" si="293"/>
        <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f t="shared" si="271"/>
        <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f t="shared" si="293"/>
        <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f t="shared" si="271"/>
        <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f t="shared" si="293"/>
        <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f t="shared" si="271"/>
        <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f t="shared" si="293"/>
        <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f t="shared" si="271"/>
        <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f t="shared" si="293"/>
        <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f t="shared" si="271"/>
        <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f t="shared" si="293"/>
        <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f t="shared" si="271"/>
        <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f t="shared" si="293"/>
        <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f t="shared" si="271"/>
        <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f t="shared" si="293"/>
        <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f t="shared" si="271"/>
        <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f t="shared" si="293"/>
        <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f t="shared" si="271"/>
        <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f t="shared" ref="E520:E551" si="297">IF($C$3="是",ROUND($A$3*G520/$B$3,2),ROUND($A$3*(G520-AT520)/$B$3,2))</f>
        <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f t="shared" si="271"/>
        <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f t="shared" si="297"/>
        <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f t="shared" si="271"/>
        <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f t="shared" si="297"/>
        <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f t="shared" ref="AY522:AY552" si="304">ROUND($AY$6*AZ522/$AZ$5,2)</f>
        <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f t="shared" si="297"/>
        <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f t="shared" si="304"/>
        <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f t="shared" si="297"/>
        <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f t="shared" si="304"/>
        <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f t="shared" si="297"/>
        <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f t="shared" si="304"/>
        <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f t="shared" si="297"/>
        <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f t="shared" si="304"/>
        <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f t="shared" si="297"/>
        <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f t="shared" si="304"/>
        <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f t="shared" si="297"/>
        <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f t="shared" si="304"/>
        <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f t="shared" si="297"/>
        <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f t="shared" si="304"/>
        <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f t="shared" si="297"/>
        <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f t="shared" si="304"/>
        <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f t="shared" si="297"/>
        <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f t="shared" si="304"/>
        <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f t="shared" si="297"/>
        <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f t="shared" si="304"/>
        <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f t="shared" si="297"/>
        <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f t="shared" si="304"/>
        <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f t="shared" si="297"/>
        <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f t="shared" si="304"/>
        <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f t="shared" si="297"/>
        <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f t="shared" si="304"/>
        <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f t="shared" si="297"/>
        <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f t="shared" si="304"/>
        <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f t="shared" si="297"/>
        <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f t="shared" si="304"/>
        <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f t="shared" si="297"/>
        <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f t="shared" si="304"/>
        <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f t="shared" si="297"/>
        <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f t="shared" si="304"/>
        <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f t="shared" si="297"/>
        <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f t="shared" si="304"/>
        <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f t="shared" si="297"/>
        <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f t="shared" si="304"/>
        <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f t="shared" si="297"/>
        <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f t="shared" si="304"/>
        <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f t="shared" si="297"/>
        <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f t="shared" si="304"/>
        <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f t="shared" si="297"/>
        <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f t="shared" si="304"/>
        <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f t="shared" si="297"/>
        <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f t="shared" si="304"/>
        <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f t="shared" si="297"/>
        <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f t="shared" si="304"/>
        <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f t="shared" si="297"/>
        <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f t="shared" si="304"/>
        <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f t="shared" si="297"/>
        <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f t="shared" si="304"/>
        <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f t="shared" si="297"/>
        <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f t="shared" si="304"/>
        <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f t="shared" si="297"/>
        <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f t="shared" si="304"/>
        <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f t="shared" si="297"/>
        <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f t="shared" si="304"/>
        <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f t="shared" ref="E552:E587" si="326">IF($C$3="是",ROUND($A$3*G552/$B$3,2),ROUND($A$3*(G552-AT552)/$B$3,2))</f>
        <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f t="shared" si="304"/>
        <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f t="shared" si="326"/>
        <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f t="shared" ref="AY553:AY584" si="333">ROUND($AY$6*AZ553/$AZ$5,2)</f>
        <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f t="shared" si="326"/>
        <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f t="shared" si="333"/>
        <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f t="shared" si="326"/>
        <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f t="shared" si="333"/>
        <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f t="shared" si="326"/>
        <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f t="shared" si="333"/>
        <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f t="shared" si="326"/>
        <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f t="shared" si="333"/>
        <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f t="shared" si="326"/>
        <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f t="shared" si="333"/>
        <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f t="shared" si="326"/>
        <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f t="shared" si="333"/>
        <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f t="shared" si="326"/>
        <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f t="shared" si="333"/>
        <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f t="shared" si="326"/>
        <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f t="shared" si="333"/>
        <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f t="shared" si="326"/>
        <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f t="shared" si="333"/>
        <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f t="shared" si="326"/>
        <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f t="shared" si="333"/>
        <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f t="shared" si="326"/>
        <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f t="shared" si="333"/>
        <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f t="shared" si="326"/>
        <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f t="shared" si="333"/>
        <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f t="shared" si="326"/>
        <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f t="shared" si="333"/>
        <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f t="shared" si="326"/>
        <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f t="shared" si="333"/>
        <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f t="shared" si="326"/>
        <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f t="shared" si="333"/>
        <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f t="shared" si="326"/>
        <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f t="shared" si="333"/>
        <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f t="shared" si="326"/>
        <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f t="shared" si="333"/>
        <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f t="shared" si="326"/>
        <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f t="shared" si="333"/>
        <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f t="shared" si="326"/>
        <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f t="shared" si="333"/>
        <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f t="shared" si="326"/>
        <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f t="shared" si="333"/>
        <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f t="shared" si="326"/>
        <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f t="shared" si="333"/>
        <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f t="shared" si="326"/>
        <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f t="shared" si="333"/>
        <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f t="shared" si="326"/>
        <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f t="shared" si="333"/>
        <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f t="shared" si="326"/>
        <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f t="shared" si="333"/>
        <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f t="shared" si="326"/>
        <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f t="shared" si="333"/>
        <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f t="shared" si="326"/>
        <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f t="shared" si="333"/>
        <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f t="shared" si="326"/>
        <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f t="shared" si="333"/>
        <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f t="shared" si="326"/>
        <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f t="shared" si="333"/>
        <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f t="shared" si="326"/>
        <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f t="shared" si="333"/>
        <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f t="shared" si="326"/>
        <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f t="shared" si="333"/>
        <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f t="shared" si="326"/>
        <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f t="shared" si="333"/>
        <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f t="shared" si="326"/>
        <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f>ROUND($AY$6*AZ585/$AZ$5,2)</f>
        <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f t="shared" si="326"/>
        <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f>ROUND($AY$6*AZ586/$AZ$5,2)</f>
        <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f t="shared" si="326"/>
        <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f>ROUND($AY$6*AZ587/$AZ$5,2)</f>
        <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f>'数据-基础表'!AY6</f>
        <v>98422.09</v>
      </c>
      <c r="E3" s="711">
        <f>'数据-基础表'!AZ5</f>
        <v>246055.22499999998</v>
      </c>
      <c r="F3" s="707"/>
      <c r="G3" s="712"/>
      <c r="H3" s="713" t="s">
        <v>1329</v>
      </c>
      <c r="I3" s="714">
        <f>ROUND('数据-基础表'!B3/'数据-基础表'!A3,2)</f>
        <v>2.5</v>
      </c>
      <c r="J3" s="707"/>
      <c r="K3" s="707"/>
      <c r="L3" s="707"/>
      <c r="M3" s="707"/>
      <c r="N3" s="472"/>
      <c r="O3" s="707"/>
      <c r="P3" s="707"/>
    </row>
    <row r="4" spans="1:16" ht="15">
      <c r="A4" s="3072"/>
      <c r="B4" s="3073"/>
      <c r="C4" s="3074"/>
      <c r="D4" s="715" t="s">
        <v>1330</v>
      </c>
      <c r="E4" s="716" t="s">
        <v>1331</v>
      </c>
      <c r="F4" s="707"/>
      <c r="G4" s="717" t="s">
        <v>1356</v>
      </c>
      <c r="H4" s="713" t="s">
        <v>1336</v>
      </c>
      <c r="I4" s="714">
        <f>ROUND(SUMIF('数据-基础表'!I9:AS9,"地上",'数据-基础表'!I5:AS5)/'数据-基础表'!A3,2)</f>
        <v>2.5</v>
      </c>
      <c r="J4" s="707"/>
      <c r="K4" s="707"/>
      <c r="L4" s="707"/>
      <c r="M4" s="707"/>
      <c r="N4" s="472"/>
      <c r="O4" s="707"/>
      <c r="P4" s="707"/>
    </row>
    <row r="5" spans="1:16">
      <c r="A5" s="718" t="s">
        <v>1332</v>
      </c>
      <c r="B5" s="3075" t="s">
        <v>1333</v>
      </c>
      <c r="C5" s="3075"/>
      <c r="D5" s="719">
        <f>ROUND($D$3*E5/$E$3,2)</f>
        <v>98422.09</v>
      </c>
      <c r="E5" s="720">
        <f>SUMIF('数据-基础表'!$11:$11,"住宅",'数据-基础表'!$5:$5)</f>
        <v>246055.22499999998</v>
      </c>
      <c r="F5" s="707"/>
      <c r="G5" s="712"/>
      <c r="H5" s="713" t="s">
        <v>1329</v>
      </c>
      <c r="I5" s="714" t="e">
        <f>ROUND(E31/D31,2)</f>
        <v>#VALUE!</v>
      </c>
      <c r="J5" s="707"/>
      <c r="K5" s="707"/>
      <c r="L5" s="707"/>
      <c r="M5" s="707"/>
      <c r="N5" s="707"/>
      <c r="O5" s="707"/>
      <c r="P5" s="707"/>
    </row>
    <row r="6" spans="1:16" ht="15" thickBot="1">
      <c r="A6" s="721"/>
      <c r="B6" s="3075" t="s">
        <v>1334</v>
      </c>
      <c r="C6" s="3075"/>
      <c r="D6" s="719">
        <f>ROUND($D$3*E6/$E$3,2)</f>
        <v>0</v>
      </c>
      <c r="E6" s="720">
        <f>E3-E5</f>
        <v>0</v>
      </c>
      <c r="F6" s="707"/>
      <c r="G6" s="722" t="s">
        <v>1335</v>
      </c>
      <c r="H6" s="723" t="s">
        <v>1336</v>
      </c>
      <c r="I6" s="724" t="e">
        <f>ROUND(F31/D31,2)</f>
        <v>#VALUE!</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f t="shared" ref="D8:D15" si="0">ROUND($D$3*E8/$E$3,2)</f>
        <v>98422.09</v>
      </c>
      <c r="E8" s="720">
        <f>SUMIF('数据-基础表'!BB10:BK10,"地上",'数据-基础表'!BB5:BK5)</f>
        <v>246055.22499999998</v>
      </c>
      <c r="F8" s="707"/>
      <c r="G8" s="730"/>
      <c r="H8" s="730"/>
      <c r="I8" s="707"/>
      <c r="J8" s="707"/>
      <c r="K8" s="707"/>
      <c r="L8" s="707"/>
      <c r="M8" s="707"/>
      <c r="N8" s="707"/>
      <c r="O8" s="707"/>
      <c r="P8" s="707"/>
    </row>
    <row r="9" spans="1:16">
      <c r="A9" s="731"/>
      <c r="B9" s="732"/>
      <c r="C9" s="719" t="s">
        <v>1342</v>
      </c>
      <c r="D9" s="719">
        <f t="shared" si="0"/>
        <v>0</v>
      </c>
      <c r="E9" s="733">
        <v>0</v>
      </c>
      <c r="F9" s="707"/>
      <c r="G9" s="730"/>
      <c r="H9" s="730"/>
      <c r="I9" s="707"/>
      <c r="J9" s="707"/>
      <c r="K9" s="707"/>
      <c r="L9" s="707"/>
      <c r="M9" s="707"/>
      <c r="N9" s="707"/>
      <c r="O9" s="707"/>
      <c r="P9" s="707"/>
    </row>
    <row r="10" spans="1:16">
      <c r="A10" s="731"/>
      <c r="B10" s="732"/>
      <c r="C10" s="719" t="s">
        <v>1351</v>
      </c>
      <c r="D10" s="719">
        <f t="shared" si="0"/>
        <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f t="shared" si="0"/>
        <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f t="shared" si="0"/>
        <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f t="shared" si="0"/>
        <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f t="shared" si="0"/>
        <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f t="shared" si="0"/>
        <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f>SUM(D8:D15)</f>
        <v>98422.09</v>
      </c>
      <c r="E16" s="734">
        <f>SUM(E8:E15)</f>
        <v>246055.22499999998</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f>ROUND($D$3*E19/$E$3,2)</f>
        <v>0</v>
      </c>
      <c r="E19" s="719">
        <f t="shared" ref="E19:E26" si="1">SUM(F19:G19)</f>
        <v>0</v>
      </c>
      <c r="F19" s="757"/>
      <c r="G19" s="758"/>
      <c r="H19" s="759" t="e">
        <f>ROUND($D$3*I19/$E$3,2)</f>
        <v>#VALUE!</v>
      </c>
      <c r="I19" s="720" t="e">
        <f t="shared" ref="I19:I26" si="2">IF($I$17="自定义",P19,M19)</f>
        <v>#VALUE!</v>
      </c>
      <c r="J19" s="703"/>
      <c r="K19" s="760" t="e">
        <f t="shared" ref="K19:K26" si="3">ROUND(E$28*E19/E$27,2)</f>
        <v>#VALUE!</v>
      </c>
      <c r="L19" s="713">
        <f t="shared" ref="L19:L26" si="4">ROUND(IF(COUNTIF(C19,"*住宅*")&gt;0,E$29*E19/E$32,0),2)</f>
        <v>0</v>
      </c>
      <c r="M19" s="761" t="e">
        <f>K19+L19</f>
        <v>#VALUE!</v>
      </c>
      <c r="N19" s="762"/>
      <c r="O19" s="763"/>
      <c r="P19" s="761">
        <f>N19+O19</f>
        <v>0</v>
      </c>
      <c r="R19" s="713" t="e">
        <f t="shared" ref="R19:S26" si="5">D19+H19</f>
        <v>#VALUE!</v>
      </c>
      <c r="S19" s="713" t="e">
        <f t="shared" si="5"/>
        <v>#VALUE!</v>
      </c>
    </row>
    <row r="20" spans="1:19">
      <c r="A20" s="764"/>
      <c r="B20" s="729" t="s">
        <v>1376</v>
      </c>
      <c r="C20" s="756"/>
      <c r="D20" s="719">
        <f t="shared" ref="D20:D26" si="6">ROUND($D$3*E20/$E$3,2)</f>
        <v>0</v>
      </c>
      <c r="E20" s="719">
        <f t="shared" si="1"/>
        <v>0</v>
      </c>
      <c r="F20" s="757"/>
      <c r="G20" s="758"/>
      <c r="H20" s="759" t="e">
        <f t="shared" ref="H20:H26" si="7">ROUND($D$3*I20/$E$3,2)</f>
        <v>#VALUE!</v>
      </c>
      <c r="I20" s="720" t="e">
        <f t="shared" si="2"/>
        <v>#VALUE!</v>
      </c>
      <c r="J20" s="703"/>
      <c r="K20" s="760" t="e">
        <f t="shared" si="3"/>
        <v>#VALUE!</v>
      </c>
      <c r="L20" s="713">
        <f t="shared" si="4"/>
        <v>0</v>
      </c>
      <c r="M20" s="761" t="e">
        <f t="shared" ref="M20:M26" si="8">K20+L20</f>
        <v>#VALUE!</v>
      </c>
      <c r="N20" s="762"/>
      <c r="O20" s="763"/>
      <c r="P20" s="761">
        <f t="shared" ref="P20:P26" si="9">N20+O20</f>
        <v>0</v>
      </c>
      <c r="R20" s="713" t="e">
        <f t="shared" si="5"/>
        <v>#VALUE!</v>
      </c>
      <c r="S20" s="713" t="e">
        <f t="shared" si="5"/>
        <v>#VALUE!</v>
      </c>
    </row>
    <row r="21" spans="1:19">
      <c r="A21" s="764"/>
      <c r="B21" s="729" t="s">
        <v>1376</v>
      </c>
      <c r="C21" s="756"/>
      <c r="D21" s="719">
        <f t="shared" si="6"/>
        <v>0</v>
      </c>
      <c r="E21" s="719">
        <f t="shared" si="1"/>
        <v>0</v>
      </c>
      <c r="F21" s="757"/>
      <c r="G21" s="758"/>
      <c r="H21" s="759" t="e">
        <f t="shared" si="7"/>
        <v>#VALUE!</v>
      </c>
      <c r="I21" s="720" t="e">
        <f t="shared" si="2"/>
        <v>#VALUE!</v>
      </c>
      <c r="J21" s="703"/>
      <c r="K21" s="760" t="e">
        <f t="shared" si="3"/>
        <v>#VALUE!</v>
      </c>
      <c r="L21" s="713">
        <f t="shared" si="4"/>
        <v>0</v>
      </c>
      <c r="M21" s="761" t="e">
        <f t="shared" si="8"/>
        <v>#VALUE!</v>
      </c>
      <c r="N21" s="762"/>
      <c r="O21" s="763"/>
      <c r="P21" s="761">
        <f t="shared" si="9"/>
        <v>0</v>
      </c>
      <c r="R21" s="713" t="e">
        <f t="shared" si="5"/>
        <v>#VALUE!</v>
      </c>
      <c r="S21" s="713" t="e">
        <f t="shared" si="5"/>
        <v>#VALUE!</v>
      </c>
    </row>
    <row r="22" spans="1:19">
      <c r="A22" s="764"/>
      <c r="B22" s="729" t="s">
        <v>1376</v>
      </c>
      <c r="C22" s="765"/>
      <c r="D22" s="719">
        <f t="shared" si="6"/>
        <v>0</v>
      </c>
      <c r="E22" s="719">
        <f t="shared" si="1"/>
        <v>0</v>
      </c>
      <c r="F22" s="766"/>
      <c r="G22" s="767"/>
      <c r="H22" s="759" t="e">
        <f t="shared" si="7"/>
        <v>#VALUE!</v>
      </c>
      <c r="I22" s="720" t="e">
        <f t="shared" si="2"/>
        <v>#VALUE!</v>
      </c>
      <c r="J22" s="703"/>
      <c r="K22" s="760" t="e">
        <f t="shared" si="3"/>
        <v>#VALUE!</v>
      </c>
      <c r="L22" s="713">
        <f t="shared" si="4"/>
        <v>0</v>
      </c>
      <c r="M22" s="761" t="e">
        <f t="shared" si="8"/>
        <v>#VALUE!</v>
      </c>
      <c r="N22" s="762"/>
      <c r="O22" s="763"/>
      <c r="P22" s="761">
        <f t="shared" si="9"/>
        <v>0</v>
      </c>
      <c r="R22" s="713" t="e">
        <f t="shared" si="5"/>
        <v>#VALUE!</v>
      </c>
      <c r="S22" s="713" t="e">
        <f t="shared" si="5"/>
        <v>#VALUE!</v>
      </c>
    </row>
    <row r="23" spans="1:19">
      <c r="A23" s="764"/>
      <c r="B23" s="729" t="s">
        <v>1376</v>
      </c>
      <c r="C23" s="765"/>
      <c r="D23" s="719">
        <f>ROUND($D$3*E23/$E$3,2)</f>
        <v>0</v>
      </c>
      <c r="E23" s="719">
        <f>SUM(F23:G23)</f>
        <v>0</v>
      </c>
      <c r="F23" s="766"/>
      <c r="G23" s="767"/>
      <c r="H23" s="759" t="e">
        <f>ROUND($D$3*I23/$E$3,2)</f>
        <v>#VALUE!</v>
      </c>
      <c r="I23" s="720" t="e">
        <f t="shared" si="2"/>
        <v>#VALUE!</v>
      </c>
      <c r="J23" s="703"/>
      <c r="K23" s="760" t="e">
        <f t="shared" si="3"/>
        <v>#VALUE!</v>
      </c>
      <c r="L23" s="713">
        <f t="shared" si="4"/>
        <v>0</v>
      </c>
      <c r="M23" s="761" t="e">
        <f t="shared" si="8"/>
        <v>#VALUE!</v>
      </c>
      <c r="N23" s="762"/>
      <c r="O23" s="763"/>
      <c r="P23" s="761">
        <f t="shared" si="9"/>
        <v>0</v>
      </c>
      <c r="R23" s="713" t="e">
        <f t="shared" si="5"/>
        <v>#VALUE!</v>
      </c>
      <c r="S23" s="713" t="e">
        <f t="shared" si="5"/>
        <v>#VALUE!</v>
      </c>
    </row>
    <row r="24" spans="1:19">
      <c r="A24" s="764"/>
      <c r="B24" s="729" t="s">
        <v>1376</v>
      </c>
      <c r="C24" s="765"/>
      <c r="D24" s="719">
        <f>ROUND($D$3*E24/$E$3,2)</f>
        <v>0</v>
      </c>
      <c r="E24" s="719">
        <f>SUM(F24:G24)</f>
        <v>0</v>
      </c>
      <c r="F24" s="766"/>
      <c r="G24" s="767"/>
      <c r="H24" s="759" t="e">
        <f>ROUND($D$3*I24/$E$3,2)</f>
        <v>#VALUE!</v>
      </c>
      <c r="I24" s="720" t="e">
        <f t="shared" si="2"/>
        <v>#VALUE!</v>
      </c>
      <c r="J24" s="703"/>
      <c r="K24" s="760" t="e">
        <f t="shared" si="3"/>
        <v>#VALUE!</v>
      </c>
      <c r="L24" s="713">
        <f t="shared" si="4"/>
        <v>0</v>
      </c>
      <c r="M24" s="761" t="e">
        <f t="shared" si="8"/>
        <v>#VALUE!</v>
      </c>
      <c r="N24" s="762"/>
      <c r="O24" s="763"/>
      <c r="P24" s="761">
        <f t="shared" si="9"/>
        <v>0</v>
      </c>
      <c r="R24" s="713" t="e">
        <f t="shared" si="5"/>
        <v>#VALUE!</v>
      </c>
      <c r="S24" s="713" t="e">
        <f t="shared" si="5"/>
        <v>#VALUE!</v>
      </c>
    </row>
    <row r="25" spans="1:19">
      <c r="A25" s="764"/>
      <c r="B25" s="729" t="s">
        <v>1376</v>
      </c>
      <c r="C25" s="765"/>
      <c r="D25" s="719">
        <f t="shared" si="6"/>
        <v>0</v>
      </c>
      <c r="E25" s="719">
        <f t="shared" si="1"/>
        <v>0</v>
      </c>
      <c r="F25" s="766"/>
      <c r="G25" s="767"/>
      <c r="H25" s="718" t="e">
        <f t="shared" si="7"/>
        <v>#VALUE!</v>
      </c>
      <c r="I25" s="720" t="e">
        <f t="shared" si="2"/>
        <v>#VALUE!</v>
      </c>
      <c r="J25" s="703"/>
      <c r="K25" s="760" t="e">
        <f t="shared" si="3"/>
        <v>#VALUE!</v>
      </c>
      <c r="L25" s="713">
        <f t="shared" si="4"/>
        <v>0</v>
      </c>
      <c r="M25" s="761" t="e">
        <f t="shared" si="8"/>
        <v>#VALUE!</v>
      </c>
      <c r="N25" s="762"/>
      <c r="O25" s="763"/>
      <c r="P25" s="761">
        <f t="shared" si="9"/>
        <v>0</v>
      </c>
      <c r="R25" s="713" t="e">
        <f t="shared" si="5"/>
        <v>#VALUE!</v>
      </c>
      <c r="S25" s="713" t="e">
        <f t="shared" si="5"/>
        <v>#VALUE!</v>
      </c>
    </row>
    <row r="26" spans="1:19">
      <c r="A26" s="764"/>
      <c r="B26" s="729" t="s">
        <v>1376</v>
      </c>
      <c r="C26" s="768"/>
      <c r="D26" s="719">
        <f t="shared" si="6"/>
        <v>0</v>
      </c>
      <c r="E26" s="719">
        <f t="shared" si="1"/>
        <v>0</v>
      </c>
      <c r="F26" s="766"/>
      <c r="G26" s="767"/>
      <c r="H26" s="718" t="e">
        <f t="shared" si="7"/>
        <v>#VALUE!</v>
      </c>
      <c r="I26" s="720" t="e">
        <f t="shared" si="2"/>
        <v>#VALUE!</v>
      </c>
      <c r="J26" s="703"/>
      <c r="K26" s="712" t="e">
        <f t="shared" si="3"/>
        <v>#VALUE!</v>
      </c>
      <c r="L26" s="723">
        <f t="shared" si="4"/>
        <v>0</v>
      </c>
      <c r="M26" s="769" t="e">
        <f t="shared" si="8"/>
        <v>#VALUE!</v>
      </c>
      <c r="N26" s="770"/>
      <c r="O26" s="771"/>
      <c r="P26" s="769">
        <f t="shared" si="9"/>
        <v>0</v>
      </c>
      <c r="R26" s="713" t="e">
        <f t="shared" si="5"/>
        <v>#VALUE!</v>
      </c>
      <c r="S26" s="713" t="e">
        <f t="shared" si="5"/>
        <v>#VALUE!</v>
      </c>
    </row>
    <row r="27" spans="1:19" ht="15.75" thickBot="1">
      <c r="A27" s="764"/>
      <c r="B27" s="719"/>
      <c r="C27" s="772" t="s">
        <v>1377</v>
      </c>
      <c r="D27" s="773">
        <f>SUM(D19:D26)</f>
        <v>0</v>
      </c>
      <c r="E27" s="705" t="str">
        <f>IF(SUM(E19:E26)='数据-基础表'!BA5,SUM(E19:E26),IF(F27="地上面积有误","面积有误","地下面积有误"))</f>
        <v>面积有误</v>
      </c>
      <c r="F27" s="773" t="str">
        <f>IF(SUM(F19:F26)=E8,SUM(F19:F26),"地上面积有误")</f>
        <v>地上面积有误</v>
      </c>
      <c r="G27" s="774">
        <f>SUM(G19:G26)</f>
        <v>0</v>
      </c>
      <c r="H27" s="775" t="e">
        <f>SUM(H19:H26)</f>
        <v>#VALUE!</v>
      </c>
      <c r="I27" s="776" t="e">
        <f>SUM(I19:I26)</f>
        <v>#VALUE!</v>
      </c>
      <c r="J27" s="703"/>
      <c r="K27" s="777" t="e">
        <f>SUM(K19:K26)</f>
        <v>#VALUE!</v>
      </c>
      <c r="L27" s="778">
        <f>SUM(L19:L26)</f>
        <v>0</v>
      </c>
      <c r="M27" s="779" t="e">
        <f>SUM(M19:M26)</f>
        <v>#VALUE!</v>
      </c>
      <c r="N27" s="777">
        <f t="shared" ref="N27:O27" si="10">SUM(N19:N26)</f>
        <v>0</v>
      </c>
      <c r="O27" s="778">
        <f t="shared" si="10"/>
        <v>0</v>
      </c>
      <c r="P27" s="780">
        <f>SUM(P19:P26)</f>
        <v>0</v>
      </c>
      <c r="R27" s="781" t="e">
        <f>IF(SUM(R19:R26)=$D$3,SUM(R19:R26),SUM(R19:R26)&amp;"误差"&amp;ROUND(SUM(R19:R26)-$D$3,2))</f>
        <v>#VALUE!</v>
      </c>
      <c r="S27" s="713" t="e">
        <f>IF(SUM(S19:S26)=$E$3,SUM(S19:S26),SUM(S19:S26)&amp;"误差"&amp;ROUND(SUM(S19:S26)-E3,2))</f>
        <v>#VALUE!</v>
      </c>
    </row>
    <row r="28" spans="1:19">
      <c r="A28" s="764"/>
      <c r="B28" s="729" t="s">
        <v>1378</v>
      </c>
      <c r="C28" s="782" t="s">
        <v>1379</v>
      </c>
      <c r="D28" s="719">
        <f>ROUND($D$3*E28/$E$3,2)</f>
        <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f>ROUND($D$3*E29/$E$3,2)</f>
        <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f>SUM(D28:D29)</f>
        <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f>D27+D30</f>
        <v>0</v>
      </c>
      <c r="E31" s="790" t="e">
        <f>E27+E30</f>
        <v>#VALUE!</v>
      </c>
      <c r="F31" s="789" t="e">
        <f>F27+F30</f>
        <v>#VALUE!</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44900</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246055.22499999998</v>
      </c>
      <c r="C1" s="795"/>
      <c r="D1" s="795"/>
      <c r="E1" s="795"/>
      <c r="F1" s="795"/>
      <c r="G1" s="796"/>
      <c r="H1" s="797"/>
      <c r="I1" s="797"/>
      <c r="J1" s="797"/>
      <c r="K1" s="797"/>
    </row>
    <row r="2" spans="1:11" ht="16.5">
      <c r="A2" s="794" t="s">
        <v>866</v>
      </c>
      <c r="B2" s="794">
        <f>SUM(C14:C23)</f>
        <v>98422.09</v>
      </c>
      <c r="C2" s="795"/>
      <c r="D2" s="795"/>
      <c r="E2" s="795"/>
      <c r="F2" s="795"/>
      <c r="G2" s="796"/>
      <c r="H2" s="797"/>
      <c r="I2" s="797"/>
      <c r="J2" s="797"/>
      <c r="K2" s="797"/>
    </row>
    <row r="3" spans="1:11" ht="16.5">
      <c r="A3" s="794" t="s">
        <v>875</v>
      </c>
      <c r="B3" s="353">
        <f>项目基本情况!D3</f>
        <v>44900</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f>ROUND(B7*10000/$B$1,0)</f>
        <v>0</v>
      </c>
      <c r="D7" s="794">
        <f>ROUND(B7*10000/$B$2,0)</f>
        <v>0</v>
      </c>
      <c r="E7" s="795"/>
      <c r="F7" s="796"/>
      <c r="G7" s="796"/>
      <c r="H7" s="797"/>
      <c r="I7" s="797"/>
      <c r="J7" s="797"/>
      <c r="K7" s="797"/>
    </row>
    <row r="8" spans="1:11" ht="16.5">
      <c r="A8" s="794" t="s">
        <v>800</v>
      </c>
      <c r="B8" s="794">
        <f>SUM(I14:I23)</f>
        <v>0</v>
      </c>
      <c r="C8" s="794">
        <f>ROUND(B8*10000/$B$1,0)</f>
        <v>0</v>
      </c>
      <c r="D8" s="794">
        <f>ROUND(B8*10000/$B$2,0)</f>
        <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246055.22499999998</v>
      </c>
      <c r="C14" s="803">
        <f>结果表!C118</f>
        <v>98422.09</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0" t="str">
        <f>项目基本情况!S2</f>
        <v>房地产</v>
      </c>
      <c r="B2" s="3111"/>
      <c r="C2" s="3111"/>
      <c r="D2" s="3111"/>
      <c r="E2" s="3111"/>
      <c r="F2" s="3111"/>
      <c r="G2" s="3111"/>
      <c r="H2" s="3111"/>
      <c r="I2" s="3112"/>
    </row>
    <row r="3" spans="1:12" ht="12.75">
      <c r="A3" s="3114" t="s">
        <v>1488</v>
      </c>
      <c r="B3" s="3115"/>
      <c r="C3" s="3115"/>
      <c r="D3" s="3115"/>
      <c r="E3" s="3115"/>
      <c r="F3" s="3115"/>
      <c r="G3" s="3115"/>
      <c r="H3" s="3115"/>
      <c r="I3" s="3115"/>
    </row>
    <row r="4" spans="1:12" ht="14.25">
      <c r="A4" s="872" t="s">
        <v>1489</v>
      </c>
      <c r="B4" s="873" t="s">
        <v>1490</v>
      </c>
      <c r="C4" s="874"/>
      <c r="D4" s="874"/>
      <c r="E4" s="3116" t="s">
        <v>1491</v>
      </c>
      <c r="F4" s="3117"/>
      <c r="G4" s="3117"/>
      <c r="H4" s="3117"/>
      <c r="I4" s="3118"/>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079">
        <v>25</v>
      </c>
      <c r="C5" s="3094"/>
      <c r="D5" s="3113"/>
      <c r="E5" s="875" t="s">
        <v>1493</v>
      </c>
      <c r="F5" s="876"/>
      <c r="G5" s="876"/>
      <c r="H5" s="876"/>
      <c r="I5" s="826"/>
    </row>
    <row r="6" spans="1:12" ht="12.75">
      <c r="A6" s="3091"/>
      <c r="B6" s="3079"/>
      <c r="C6" s="3095"/>
      <c r="D6" s="3113"/>
      <c r="E6" s="875" t="s">
        <v>1494</v>
      </c>
      <c r="F6" s="876"/>
      <c r="G6" s="876"/>
      <c r="H6" s="876"/>
      <c r="I6" s="826"/>
    </row>
    <row r="7" spans="1:12" ht="12.75">
      <c r="A7" s="3091"/>
      <c r="B7" s="3079"/>
      <c r="C7" s="3096"/>
      <c r="D7" s="3113"/>
      <c r="E7" s="875" t="s">
        <v>1495</v>
      </c>
      <c r="F7" s="876"/>
      <c r="G7" s="876"/>
      <c r="H7" s="876"/>
      <c r="I7" s="826"/>
    </row>
    <row r="8" spans="1:12" ht="12.75">
      <c r="A8" s="3091" t="s">
        <v>1496</v>
      </c>
      <c r="B8" s="3079">
        <v>15</v>
      </c>
      <c r="C8" s="3094"/>
      <c r="D8" s="3113"/>
      <c r="E8" s="875" t="s">
        <v>1497</v>
      </c>
      <c r="F8" s="876"/>
      <c r="G8" s="876"/>
      <c r="H8" s="876"/>
      <c r="I8" s="826"/>
    </row>
    <row r="9" spans="1:12" ht="12.75">
      <c r="A9" s="3091"/>
      <c r="B9" s="3079"/>
      <c r="C9" s="3096"/>
      <c r="D9" s="3113"/>
      <c r="E9" s="875" t="s">
        <v>1498</v>
      </c>
      <c r="F9" s="876"/>
      <c r="G9" s="876"/>
      <c r="H9" s="876"/>
      <c r="I9" s="826"/>
    </row>
    <row r="10" spans="1:12" ht="12.75">
      <c r="A10" s="3091" t="s">
        <v>1499</v>
      </c>
      <c r="B10" s="3079">
        <v>15</v>
      </c>
      <c r="C10" s="3094"/>
      <c r="D10" s="3113"/>
      <c r="E10" s="875" t="s">
        <v>1500</v>
      </c>
      <c r="F10" s="876"/>
      <c r="G10" s="876"/>
      <c r="H10" s="876"/>
      <c r="I10" s="826"/>
    </row>
    <row r="11" spans="1:12" ht="12.75">
      <c r="A11" s="3091"/>
      <c r="B11" s="3079"/>
      <c r="C11" s="3096"/>
      <c r="D11" s="3113"/>
      <c r="E11" s="875" t="s">
        <v>1501</v>
      </c>
      <c r="F11" s="876"/>
      <c r="G11" s="876"/>
      <c r="H11" s="876"/>
      <c r="I11" s="826"/>
    </row>
    <row r="12" spans="1:12" ht="12.75">
      <c r="A12" s="3091" t="s">
        <v>1502</v>
      </c>
      <c r="B12" s="3079">
        <v>15</v>
      </c>
      <c r="C12" s="3094"/>
      <c r="D12" s="3113"/>
      <c r="E12" s="875" t="s">
        <v>1503</v>
      </c>
      <c r="F12" s="876"/>
      <c r="G12" s="876"/>
      <c r="H12" s="876"/>
      <c r="I12" s="826"/>
    </row>
    <row r="13" spans="1:12" ht="12.75">
      <c r="A13" s="3091"/>
      <c r="B13" s="3079"/>
      <c r="C13" s="3096"/>
      <c r="D13" s="3113"/>
      <c r="E13" s="875" t="s">
        <v>1504</v>
      </c>
      <c r="F13" s="876"/>
      <c r="G13" s="876"/>
      <c r="H13" s="876"/>
      <c r="I13" s="826"/>
    </row>
    <row r="14" spans="1:12" ht="12.75">
      <c r="A14" s="3091" t="s">
        <v>1505</v>
      </c>
      <c r="B14" s="3079">
        <v>30</v>
      </c>
      <c r="C14" s="3094"/>
      <c r="D14" s="3113"/>
      <c r="E14" s="875" t="s">
        <v>1506</v>
      </c>
      <c r="F14" s="876"/>
      <c r="G14" s="876"/>
      <c r="H14" s="876"/>
      <c r="I14" s="826"/>
    </row>
    <row r="15" spans="1:12" ht="12.75">
      <c r="A15" s="3091"/>
      <c r="B15" s="3079"/>
      <c r="C15" s="3095"/>
      <c r="D15" s="3113"/>
      <c r="E15" s="875" t="s">
        <v>1507</v>
      </c>
      <c r="F15" s="876"/>
      <c r="G15" s="876"/>
      <c r="H15" s="876"/>
      <c r="I15" s="826"/>
    </row>
    <row r="16" spans="1:12" ht="12.75">
      <c r="A16" s="3091"/>
      <c r="B16" s="3079"/>
      <c r="C16" s="3096"/>
      <c r="D16" s="3113"/>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1" t="s">
        <v>2389</v>
      </c>
      <c r="F18" s="3102"/>
      <c r="G18" s="3102"/>
      <c r="H18" s="3102"/>
      <c r="I18" s="3102"/>
      <c r="K18" s="879" t="s">
        <v>1513</v>
      </c>
      <c r="L18" s="879">
        <f>IF(C1="",'数据-汇总表'!E3,SUMIF(项目类型,C1,'数据-汇总表'!E17:E26)+SUMIF(项目类型,C1,'数据-汇总表'!I17:I26))</f>
        <v>246055.22499999998</v>
      </c>
      <c r="M18" s="879">
        <f>IF(C1="",'数据-汇总表'!E3,SUMIF(项目类型,C1,'数据-汇总表'!E17:E26))</f>
        <v>246055.22499999998</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f>IF(C1="",'数据-汇总表'!D3,SUMIF(项目类型,C1,'数据-汇总表'!D17:D26)+SUMIF(项目类型,C1,'数据-汇总表'!H17:H27))</f>
        <v>98422.09</v>
      </c>
      <c r="M19" s="879">
        <f>IF(C1="",'数据-汇总表'!D3,SUMIF(项目类型,C1,'数据-汇总表'!D17:D26))</f>
        <v>98422.09</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6" t="s">
        <v>1523</v>
      </c>
      <c r="B24" s="884" t="s">
        <v>1515</v>
      </c>
      <c r="C24" s="887">
        <f>IF(B30=0,0,D30)</f>
        <v>0</v>
      </c>
      <c r="D24" s="903"/>
      <c r="E24" s="677"/>
      <c r="F24" s="677"/>
      <c r="G24" s="677"/>
      <c r="H24" s="677"/>
      <c r="I24" s="677"/>
    </row>
    <row r="25" spans="1:36" ht="14.25">
      <c r="A25" s="3087"/>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4" t="s">
        <v>1536</v>
      </c>
      <c r="B36" s="938" t="s">
        <v>1537</v>
      </c>
      <c r="C36" s="939"/>
      <c r="D36" s="940"/>
      <c r="E36" s="941"/>
      <c r="F36" s="942"/>
      <c r="G36" s="677"/>
      <c r="H36" s="677"/>
      <c r="I36" s="677"/>
    </row>
    <row r="37" spans="1:15" ht="15.75" thickBot="1">
      <c r="A37" s="3105"/>
      <c r="B37" s="784" t="s">
        <v>1538</v>
      </c>
      <c r="C37" s="943"/>
      <c r="D37" s="703"/>
      <c r="E37" s="703"/>
      <c r="F37" s="942"/>
      <c r="G37" s="677"/>
      <c r="H37" s="677"/>
      <c r="I37" s="677"/>
    </row>
    <row r="38" spans="1:15" ht="15.75" thickBot="1">
      <c r="A38" s="3106"/>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3" t="s">
        <v>1550</v>
      </c>
      <c r="B45" s="3084"/>
      <c r="C45" s="3085"/>
      <c r="D45" s="965" t="e">
        <f ca="1">ROUND(H101*F45,0)</f>
        <v>#REF!</v>
      </c>
      <c r="E45" s="966" t="s">
        <v>1551</v>
      </c>
      <c r="F45" s="967">
        <v>1</v>
      </c>
      <c r="G45" s="968" t="s">
        <v>1552</v>
      </c>
      <c r="H45" s="677"/>
      <c r="I45" s="677"/>
      <c r="J45" s="3158" t="s">
        <v>1553</v>
      </c>
      <c r="K45" s="3158"/>
      <c r="L45" s="3158"/>
      <c r="M45" s="3158"/>
      <c r="N45" s="3158"/>
      <c r="O45" s="3158"/>
    </row>
    <row r="46" spans="1:15" ht="14.25" customHeight="1">
      <c r="A46" s="3080" t="s">
        <v>1554</v>
      </c>
      <c r="B46" s="3081"/>
      <c r="C46" s="3081"/>
      <c r="D46" s="3081"/>
      <c r="E46" s="3081"/>
      <c r="F46" s="3081"/>
      <c r="G46" s="3082"/>
      <c r="H46" s="678"/>
      <c r="I46" s="678"/>
      <c r="J46" s="499">
        <v>1</v>
      </c>
      <c r="K46" s="3139" t="s">
        <v>1555</v>
      </c>
      <c r="L46" s="3139"/>
      <c r="M46" s="3159"/>
      <c r="N46" s="3159"/>
      <c r="O46" s="3159"/>
    </row>
    <row r="47" spans="1:15" ht="12" customHeight="1">
      <c r="A47" s="969" t="s">
        <v>1556</v>
      </c>
      <c r="B47" s="970"/>
      <c r="C47" s="971"/>
      <c r="D47" s="972" t="s">
        <v>1557</v>
      </c>
      <c r="E47" s="879" t="s">
        <v>1558</v>
      </c>
      <c r="F47" s="973" t="s">
        <v>1559</v>
      </c>
      <c r="G47" s="974" t="s">
        <v>1560</v>
      </c>
      <c r="H47" s="975"/>
      <c r="I47" s="678"/>
      <c r="J47" s="499">
        <v>2</v>
      </c>
      <c r="K47" s="3139" t="s">
        <v>1561</v>
      </c>
      <c r="L47" s="3139"/>
      <c r="M47" s="3160">
        <f>'数据-取费表'!B2</f>
        <v>44900</v>
      </c>
      <c r="N47" s="3160"/>
      <c r="O47" s="3160"/>
    </row>
    <row r="48" spans="1:15" ht="25.5">
      <c r="A48" s="3109" t="s">
        <v>1562</v>
      </c>
      <c r="B48" s="3093"/>
      <c r="C48" s="3093"/>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9" t="s">
        <v>1564</v>
      </c>
      <c r="L48" s="3139"/>
      <c r="M48" s="3160" t="e">
        <f ca="1">H101</f>
        <v>#REF!</v>
      </c>
      <c r="N48" s="3160"/>
      <c r="O48" s="3160"/>
    </row>
    <row r="49" spans="1:35" ht="25.5" customHeight="1">
      <c r="A49" s="981" t="s">
        <v>1565</v>
      </c>
      <c r="B49" s="3078" t="s">
        <v>1566</v>
      </c>
      <c r="C49" s="3078"/>
      <c r="D49" s="982">
        <v>0</v>
      </c>
      <c r="E49" s="983" t="s">
        <v>1567</v>
      </c>
      <c r="F49" s="984" t="s">
        <v>31</v>
      </c>
      <c r="G49" s="3145"/>
      <c r="H49" s="985" t="s">
        <v>2392</v>
      </c>
      <c r="I49" s="986"/>
      <c r="J49" s="499">
        <v>4</v>
      </c>
      <c r="K49" s="3139" t="str">
        <f>IF(项目基本情况!E8="房地产抵押价值","房地产抵押价值","抵押担保权已注销时的房地产抵押价值")</f>
        <v>抵押担保权已注销时的房地产抵押价值</v>
      </c>
      <c r="L49" s="3139"/>
      <c r="M49" s="3160" t="str">
        <f>IF(项目基本情况!E8="房地产抵押价值",H107,H109)</f>
        <v>——</v>
      </c>
      <c r="N49" s="3160"/>
      <c r="O49" s="3160"/>
    </row>
    <row r="50" spans="1:35" ht="25.5" customHeight="1">
      <c r="A50" s="987"/>
      <c r="B50" s="3078" t="s">
        <v>1568</v>
      </c>
      <c r="C50" s="3078"/>
      <c r="D50" s="988"/>
      <c r="E50" s="989"/>
      <c r="F50" s="984"/>
      <c r="G50" s="3146"/>
      <c r="H50" s="986" t="s">
        <v>2393</v>
      </c>
      <c r="I50" s="986"/>
      <c r="J50" s="3158" t="s">
        <v>1569</v>
      </c>
      <c r="K50" s="3158"/>
      <c r="L50" s="3158"/>
      <c r="M50" s="3158"/>
      <c r="N50" s="3158"/>
      <c r="O50" s="3158"/>
    </row>
    <row r="51" spans="1:35" ht="20.45" customHeight="1">
      <c r="A51" s="990"/>
      <c r="B51" s="3078" t="s">
        <v>1570</v>
      </c>
      <c r="C51" s="3078"/>
      <c r="D51" s="972"/>
      <c r="E51" s="991"/>
      <c r="F51" s="984"/>
      <c r="G51" s="3147"/>
      <c r="H51" s="986" t="s">
        <v>2394</v>
      </c>
      <c r="I51" s="986"/>
      <c r="J51" s="992" t="s">
        <v>1571</v>
      </c>
      <c r="K51" s="3139" t="s">
        <v>1572</v>
      </c>
      <c r="L51" s="3139"/>
      <c r="M51" s="992" t="s">
        <v>1573</v>
      </c>
      <c r="N51" s="992" t="s">
        <v>1574</v>
      </c>
      <c r="O51" s="992" t="s">
        <v>1575</v>
      </c>
    </row>
    <row r="52" spans="1:35" ht="24" customHeight="1">
      <c r="A52" s="993" t="s">
        <v>1576</v>
      </c>
      <c r="B52" s="3078" t="s">
        <v>1577</v>
      </c>
      <c r="C52" s="3078"/>
      <c r="D52" s="972" t="e">
        <f ca="1">ROUND(D45*'数据-取费表'!B41/(1+'数据-取费表'!C42),0)</f>
        <v>#REF!</v>
      </c>
      <c r="E52" s="977" t="s">
        <v>1578</v>
      </c>
      <c r="F52" s="879">
        <f>'数据-取费表'!B41</f>
        <v>0</v>
      </c>
      <c r="G52" s="974"/>
      <c r="H52" s="975"/>
      <c r="I52" s="678"/>
      <c r="J52" s="499">
        <v>1</v>
      </c>
      <c r="K52" s="3140" t="s">
        <v>1579</v>
      </c>
      <c r="L52" s="3140"/>
      <c r="M52" s="994" t="b">
        <f>D48</f>
        <v>0</v>
      </c>
      <c r="N52" s="499" t="str">
        <f>E48</f>
        <v>销售额×税（费）率</v>
      </c>
      <c r="O52" s="995">
        <f>F48</f>
        <v>0</v>
      </c>
    </row>
    <row r="53" spans="1:35" ht="12" customHeight="1">
      <c r="A53" s="993" t="s">
        <v>1580</v>
      </c>
      <c r="B53" s="3088" t="s">
        <v>2553</v>
      </c>
      <c r="C53" s="3103"/>
      <c r="D53" s="972" t="e">
        <f ca="1">ROUND(D45*'数据-取费表'!B41/(1+'数据-取费表'!C42),0)</f>
        <v>#REF!</v>
      </c>
      <c r="E53" s="977" t="s">
        <v>1578</v>
      </c>
      <c r="F53" s="879">
        <f>'数据-取费表'!B41</f>
        <v>0</v>
      </c>
      <c r="G53" s="974"/>
      <c r="H53" s="975"/>
      <c r="I53" s="678"/>
      <c r="J53" s="499">
        <v>2</v>
      </c>
      <c r="K53" s="3140" t="s">
        <v>1581</v>
      </c>
      <c r="L53" s="3140"/>
      <c r="M53" s="994" t="e">
        <f t="shared" ref="M53:O54" ca="1" si="0">D55</f>
        <v>#REF!</v>
      </c>
      <c r="N53" s="499" t="str">
        <f t="shared" si="0"/>
        <v>销售额×税（费）率</v>
      </c>
      <c r="O53" s="995" t="str">
        <f t="shared" si="0"/>
        <v>免征</v>
      </c>
    </row>
    <row r="54" spans="1:35" ht="12" customHeight="1">
      <c r="A54" s="993" t="s">
        <v>1582</v>
      </c>
      <c r="B54" s="3088" t="s">
        <v>2554</v>
      </c>
      <c r="C54" s="3103"/>
      <c r="D54" s="972" t="e">
        <f ca="1">C68</f>
        <v>#REF!</v>
      </c>
      <c r="E54" s="991" t="s">
        <v>1583</v>
      </c>
      <c r="F54" s="879">
        <f>'数据-取费表'!B41</f>
        <v>0</v>
      </c>
      <c r="G54" s="974"/>
      <c r="H54" s="996"/>
      <c r="I54" s="678"/>
      <c r="J54" s="499">
        <v>3</v>
      </c>
      <c r="K54" s="3140" t="s">
        <v>1584</v>
      </c>
      <c r="L54" s="3140"/>
      <c r="M54" s="994" t="e">
        <f t="shared" ca="1" si="0"/>
        <v>#REF!</v>
      </c>
      <c r="N54" s="499" t="str">
        <f t="shared" si="0"/>
        <v>增值额×税（费）率</v>
      </c>
      <c r="O54" s="995" t="str">
        <f t="shared" si="0"/>
        <v>免征</v>
      </c>
    </row>
    <row r="55" spans="1:35" ht="24" customHeight="1">
      <c r="A55" s="3092" t="s">
        <v>1585</v>
      </c>
      <c r="B55" s="3093"/>
      <c r="C55" s="3093"/>
      <c r="D55" s="976" t="e">
        <f ca="1">IF(H55="个人住宅",0,ROUND(D45*I55,0))</f>
        <v>#REF!</v>
      </c>
      <c r="E55" s="977" t="s">
        <v>1586</v>
      </c>
      <c r="F55" s="879" t="str">
        <f>IF(H55="正常",I55,"免征")</f>
        <v>免征</v>
      </c>
      <c r="G55" s="974"/>
      <c r="H55" s="980"/>
      <c r="I55" s="997">
        <f>'数据-取费表'!B49</f>
        <v>0</v>
      </c>
      <c r="J55" s="499">
        <f>IF(H59="非个人房产","",4)</f>
        <v>4</v>
      </c>
      <c r="K55" s="3140" t="str">
        <f>IF(H59="非个人房产","——","个人所得税")</f>
        <v>个人所得税</v>
      </c>
      <c r="L55" s="3140"/>
      <c r="M55" s="998" t="e">
        <f ca="1">D59</f>
        <v>#REF!</v>
      </c>
      <c r="N55" s="999" t="str">
        <f>E59</f>
        <v>差额计税</v>
      </c>
      <c r="O55" s="1000">
        <f>F59</f>
        <v>0.01</v>
      </c>
    </row>
    <row r="56" spans="1:35" ht="24.75">
      <c r="A56" s="3092" t="s">
        <v>1587</v>
      </c>
      <c r="B56" s="3093"/>
      <c r="C56" s="3093"/>
      <c r="D56" s="976" t="e">
        <f ca="1">IF(H56="个人住宅",D57,D58)</f>
        <v>#REF!</v>
      </c>
      <c r="E56" s="977" t="s">
        <v>1588</v>
      </c>
      <c r="F56" s="879" t="str">
        <f>IF(H56="正常",F58,"免征")</f>
        <v>免征</v>
      </c>
      <c r="G56" s="1001" t="s">
        <v>1589</v>
      </c>
      <c r="H56" s="1002"/>
      <c r="I56" s="1003"/>
      <c r="J56" s="499" t="str">
        <f>IF(项目基本情况!K6="上海银行",IF(J55="",4,J55+1),"")</f>
        <v/>
      </c>
      <c r="K56" s="3162" t="str">
        <f>IF(项目基本情况!K6="上海银行","其他处置费用","")</f>
        <v/>
      </c>
      <c r="L56" s="3163"/>
      <c r="M56" s="994" t="str">
        <f>IF(项目基本情况!K6="上海银行",M69,"")</f>
        <v/>
      </c>
      <c r="N56" s="3162" t="str">
        <f>IF(项目基本情况!K6="上海银行","包含处置中涉及的律师、诉讼、拍卖、评估等费用","")</f>
        <v/>
      </c>
      <c r="O56" s="3165"/>
    </row>
    <row r="57" spans="1:35" ht="12.75">
      <c r="A57" s="993" t="s">
        <v>1565</v>
      </c>
      <c r="B57" s="3088" t="s">
        <v>1590</v>
      </c>
      <c r="C57" s="3103"/>
      <c r="D57" s="982">
        <v>0</v>
      </c>
      <c r="E57" s="983" t="s">
        <v>1567</v>
      </c>
      <c r="F57" s="879"/>
      <c r="G57" s="974"/>
      <c r="H57" s="1004"/>
      <c r="I57" s="1003"/>
      <c r="J57" s="3140">
        <f>IF(AND(J55="",J56=""),4,IF(项目基本情况!K6="上海银行",结果表!J56+1,结果表!J55+1))</f>
        <v>5</v>
      </c>
      <c r="K57" s="3140" t="s">
        <v>1591</v>
      </c>
      <c r="L57" s="1005" t="s">
        <v>1592</v>
      </c>
      <c r="M57" s="1006"/>
      <c r="N57" s="1007">
        <f ca="1">SUMIF(M52:M56,"&lt;9e307")</f>
        <v>0</v>
      </c>
      <c r="O57" s="1008"/>
      <c r="P57" s="677" t="e">
        <f ca="1">N57/M49</f>
        <v>#VALUE!</v>
      </c>
    </row>
    <row r="58" spans="1:35" ht="24.75">
      <c r="A58" s="993" t="s">
        <v>1576</v>
      </c>
      <c r="B58" s="3088" t="s">
        <v>1593</v>
      </c>
      <c r="C58" s="3078"/>
      <c r="D58" s="976" t="e">
        <f ca="1">IF(H58="转让取得",C81,C97)</f>
        <v>#REF!</v>
      </c>
      <c r="E58" s="977" t="s">
        <v>1588</v>
      </c>
      <c r="F58" s="879" t="s">
        <v>31</v>
      </c>
      <c r="G58" s="974"/>
      <c r="H58" s="1002"/>
      <c r="I58" s="1003"/>
      <c r="J58" s="3140"/>
      <c r="K58" s="3140"/>
      <c r="L58" s="1005" t="s">
        <v>1594</v>
      </c>
      <c r="M58" s="1009"/>
      <c r="N58" s="1010" t="str">
        <f ca="1">NUMBERSTRING(INT(N57*10000),2)&amp;"元整"</f>
        <v>零元整</v>
      </c>
      <c r="O58" s="1011"/>
    </row>
    <row r="59" spans="1:35" ht="24.75" thickBot="1">
      <c r="A59" s="3143" t="s">
        <v>1595</v>
      </c>
      <c r="B59" s="3144"/>
      <c r="C59" s="3144"/>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1">
        <f>J57+1</f>
        <v>6</v>
      </c>
      <c r="K59" s="3140" t="s">
        <v>1596</v>
      </c>
      <c r="L59" s="499" t="s">
        <v>1592</v>
      </c>
      <c r="M59" s="1018"/>
      <c r="N59" s="1019" t="e">
        <f ca="1">M49-N57</f>
        <v>#VALUE!</v>
      </c>
      <c r="O59" s="1020"/>
    </row>
    <row r="60" spans="1:35" ht="12" customHeight="1">
      <c r="A60" s="1021"/>
      <c r="B60" s="865"/>
      <c r="C60" s="865"/>
      <c r="D60" s="865"/>
      <c r="E60" s="1022"/>
      <c r="F60" s="1003"/>
      <c r="G60" s="1003"/>
      <c r="H60" s="1023"/>
      <c r="I60" s="677"/>
      <c r="J60" s="3142"/>
      <c r="K60" s="3140"/>
      <c r="L60" s="1005" t="s">
        <v>1594</v>
      </c>
      <c r="M60" s="1009"/>
      <c r="N60" s="1010" t="e">
        <f ca="1">NUMBERSTRING(INT(N59*10000),2)&amp;"元整"</f>
        <v>#VALUE!</v>
      </c>
      <c r="O60" s="1011"/>
    </row>
    <row r="61" spans="1:35" ht="13.5" thickBot="1">
      <c r="A61" s="3090" t="s">
        <v>1597</v>
      </c>
      <c r="B61" s="3090"/>
      <c r="C61" s="3090"/>
      <c r="D61" s="3090"/>
      <c r="E61" s="3090"/>
      <c r="F61" s="1003"/>
      <c r="G61" s="1003"/>
      <c r="H61" s="1023"/>
      <c r="I61" s="677"/>
      <c r="J61" s="499">
        <f>J59+1</f>
        <v>7</v>
      </c>
      <c r="K61" s="3140" t="s">
        <v>1598</v>
      </c>
      <c r="L61" s="3140"/>
      <c r="M61" s="1024"/>
      <c r="N61" s="1025" t="e">
        <f ca="1">ROUND(N59*10000/'数据-汇总表'!E3,0)</f>
        <v>#VALUE!</v>
      </c>
      <c r="O61" s="1026"/>
    </row>
    <row r="62" spans="1:35" ht="12.75">
      <c r="A62" s="3107" t="s">
        <v>1599</v>
      </c>
      <c r="B62" s="3108"/>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4"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4"/>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4"/>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4"/>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4"/>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4"/>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4"/>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7" t="s">
        <v>1618</v>
      </c>
      <c r="B70" s="3128"/>
      <c r="C70" s="3128"/>
      <c r="D70" s="3128"/>
      <c r="E70" s="3128"/>
      <c r="F70" s="3128"/>
      <c r="G70" s="3128"/>
      <c r="H70" s="3128"/>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7" t="s">
        <v>1599</v>
      </c>
      <c r="B71" s="3108"/>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8" t="s">
        <v>1626</v>
      </c>
      <c r="F76" s="3078"/>
      <c r="G76" s="3078"/>
      <c r="H76" s="3097"/>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8" t="s">
        <v>1630</v>
      </c>
      <c r="F78" s="3078"/>
      <c r="G78" s="3078"/>
      <c r="H78" s="3097"/>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7" t="s">
        <v>1634</v>
      </c>
      <c r="B83" s="3128"/>
      <c r="C83" s="3128"/>
      <c r="D83" s="3128"/>
      <c r="E83" s="3128"/>
      <c r="F83" s="3128"/>
      <c r="G83" s="3128"/>
      <c r="H83" s="3128"/>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7" t="s">
        <v>1599</v>
      </c>
      <c r="B84" s="3108"/>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6" t="s">
        <v>2387</v>
      </c>
      <c r="H90" s="3093"/>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8" t="s">
        <v>1643</v>
      </c>
      <c r="F91" s="3078"/>
      <c r="G91" s="3078"/>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8" t="s">
        <v>1646</v>
      </c>
      <c r="F92" s="3078"/>
      <c r="G92" s="3078"/>
      <c r="H92" s="3097"/>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8" t="s">
        <v>1630</v>
      </c>
      <c r="F93" s="3078"/>
      <c r="G93" s="3078"/>
      <c r="H93" s="3097"/>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8" t="s">
        <v>1650</v>
      </c>
      <c r="F94" s="3099"/>
      <c r="G94" s="3099"/>
      <c r="H94" s="3100"/>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089"/>
      <c r="E100" s="3073" t="s">
        <v>1653</v>
      </c>
      <c r="F100" s="3073"/>
      <c r="G100" s="3073"/>
      <c r="H100" s="3089"/>
      <c r="I100" s="677"/>
    </row>
    <row r="101" spans="1:35" ht="18.75" customHeight="1">
      <c r="A101" s="3148" t="s">
        <v>1654</v>
      </c>
      <c r="B101" s="3149"/>
      <c r="C101" s="1088">
        <f>C4</f>
        <v>0</v>
      </c>
      <c r="D101" s="1089">
        <f>D4</f>
        <v>0</v>
      </c>
      <c r="E101" s="3161" t="s">
        <v>1655</v>
      </c>
      <c r="F101" s="3120"/>
      <c r="G101" s="1090" t="s">
        <v>1656</v>
      </c>
      <c r="H101" s="1091" t="e">
        <f ca="1">H118</f>
        <v>#REF!</v>
      </c>
      <c r="I101" s="677"/>
    </row>
    <row r="102" spans="1:35" ht="18.75" customHeight="1">
      <c r="A102" s="3122" t="s">
        <v>1657</v>
      </c>
      <c r="B102" s="1092" t="s">
        <v>1656</v>
      </c>
      <c r="C102" s="1088" t="e">
        <f ca="1">C19</f>
        <v>#REF!</v>
      </c>
      <c r="D102" s="1089" t="e">
        <f ca="1">D19</f>
        <v>#REF!</v>
      </c>
      <c r="E102" s="3161"/>
      <c r="F102" s="3120"/>
      <c r="G102" s="1090" t="s">
        <v>1658</v>
      </c>
      <c r="H102" s="974" t="e">
        <f ca="1">I118</f>
        <v>#REF!</v>
      </c>
      <c r="I102" s="677"/>
    </row>
    <row r="103" spans="1:35" ht="42.75" customHeight="1">
      <c r="A103" s="3122"/>
      <c r="B103" s="1092" t="s">
        <v>1658</v>
      </c>
      <c r="C103" s="1093" t="e">
        <f ca="1">C20</f>
        <v>#REF!</v>
      </c>
      <c r="D103" s="1094" t="e">
        <f ca="1">D20</f>
        <v>#REF!</v>
      </c>
      <c r="E103" s="3156" t="s">
        <v>1659</v>
      </c>
      <c r="F103" s="3157"/>
      <c r="G103" s="1095" t="s">
        <v>1660</v>
      </c>
      <c r="H103" s="1091">
        <f>IF(D36="正常操作",H104+H105+H106,H105+H106)</f>
        <v>0</v>
      </c>
      <c r="I103" s="677"/>
    </row>
    <row r="104" spans="1:35" ht="18.75" customHeight="1">
      <c r="A104" s="3122"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3"/>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9" t="str">
        <f>IF(项目基本情况!E8="已注销","——","3.房地产抵押价值")</f>
        <v>3.房地产抵押价值</v>
      </c>
      <c r="F107" s="3120"/>
      <c r="G107" s="1090" t="s">
        <v>1656</v>
      </c>
      <c r="H107" s="1091" t="e">
        <f ca="1">IF(E107="——","——",H101-H103)</f>
        <v>#REF!</v>
      </c>
      <c r="I107" s="677"/>
    </row>
    <row r="108" spans="1:35" ht="18.75" customHeight="1">
      <c r="A108" s="677"/>
      <c r="B108" s="677"/>
      <c r="C108" s="677"/>
      <c r="D108" s="677"/>
      <c r="E108" s="3119"/>
      <c r="F108" s="3120"/>
      <c r="G108" s="1090" t="s">
        <v>1658</v>
      </c>
      <c r="H108" s="974" t="e">
        <f ca="1">ROUND(H107*10000/'数据-汇总表'!E3,0)</f>
        <v>#REF!</v>
      </c>
      <c r="I108" s="677"/>
    </row>
    <row r="109" spans="1:35" ht="18.75" customHeight="1">
      <c r="A109" s="677"/>
      <c r="B109" s="677"/>
      <c r="C109" s="677"/>
      <c r="D109" s="677"/>
      <c r="E109" s="3119" t="str">
        <f>IF(项目基本情况!E8="已注销及未注销","4.抵押担保权已注销时的房地产抵押价值",IF(项目基本情况!E8="已注销","3.抵押担保权已注销时的房地产抵押价值","——"))</f>
        <v>——</v>
      </c>
      <c r="F109" s="3120"/>
      <c r="G109" s="1090" t="s">
        <v>1656</v>
      </c>
      <c r="H109" s="1105" t="str">
        <f>IF(E109="——","——",H101-H105-H106)</f>
        <v>——</v>
      </c>
      <c r="I109" s="677"/>
    </row>
    <row r="110" spans="1:35" ht="18.75" customHeight="1">
      <c r="A110" s="677"/>
      <c r="B110" s="677"/>
      <c r="C110" s="677"/>
      <c r="D110" s="677"/>
      <c r="E110" s="3119"/>
      <c r="F110" s="3120"/>
      <c r="G110" s="1090" t="s">
        <v>1658</v>
      </c>
      <c r="H110" s="974" t="str">
        <f>IF(H109="——","——",ROUND(H109*10000/'数据-汇总表'!E3,0))</f>
        <v>——</v>
      </c>
      <c r="I110" s="677"/>
    </row>
    <row r="111" spans="1:35" ht="18.75" customHeight="1">
      <c r="A111" s="677"/>
      <c r="B111" s="677"/>
      <c r="C111" s="677"/>
      <c r="D111" s="677"/>
      <c r="E111" s="3150" t="str">
        <f>IF(项目基本情况!E9="抵押净值",IF(OR(项目基本情况!E8="已注销",项目基本情况!E8="房地产抵押价值"),"4.抵押净值","5.抵押净值"),"——")</f>
        <v>——</v>
      </c>
      <c r="F111" s="3121"/>
      <c r="G111" s="1090" t="s">
        <v>1656</v>
      </c>
      <c r="H111" s="1091" t="str">
        <f>IF(E111="——","——",N59)</f>
        <v>——</v>
      </c>
      <c r="I111" s="677"/>
    </row>
    <row r="112" spans="1:35" ht="18.75" customHeight="1" thickBot="1">
      <c r="A112" s="677"/>
      <c r="B112" s="677"/>
      <c r="C112" s="677"/>
      <c r="D112" s="677"/>
      <c r="E112" s="3151"/>
      <c r="F112" s="3152"/>
      <c r="G112" s="1106" t="s">
        <v>1658</v>
      </c>
      <c r="H112" s="1107" t="str">
        <f>IF(E111="——","——",N61)</f>
        <v>——</v>
      </c>
      <c r="I112" s="677"/>
    </row>
    <row r="113" spans="1:27" ht="18.75" customHeight="1">
      <c r="A113" s="677"/>
      <c r="B113" s="677"/>
      <c r="C113" s="677"/>
      <c r="D113" s="677"/>
      <c r="E113" s="3124" t="s">
        <v>1664</v>
      </c>
      <c r="F113" s="3124"/>
      <c r="G113" s="3124"/>
      <c r="H113" s="3124"/>
      <c r="I113" s="677"/>
    </row>
    <row r="114" spans="1:27" ht="3.75" customHeight="1">
      <c r="A114" s="865"/>
      <c r="B114" s="865"/>
      <c r="C114" s="865"/>
      <c r="D114" s="865"/>
      <c r="E114" s="1021"/>
      <c r="F114" s="1021"/>
      <c r="G114" s="1021"/>
      <c r="H114" s="1021"/>
      <c r="I114" s="865"/>
    </row>
    <row r="115" spans="1:27" ht="18.75" customHeight="1">
      <c r="A115" s="3133" t="s">
        <v>1666</v>
      </c>
      <c r="B115" s="3134"/>
      <c r="C115" s="3134"/>
      <c r="D115" s="3134"/>
      <c r="E115" s="3134"/>
      <c r="F115" s="3134"/>
      <c r="G115" s="3134"/>
      <c r="H115" s="3134"/>
      <c r="I115" s="3135"/>
    </row>
    <row r="116" spans="1:27" ht="27" customHeight="1">
      <c r="A116" s="3091" t="s">
        <v>1667</v>
      </c>
      <c r="B116" s="3125" t="s">
        <v>1668</v>
      </c>
      <c r="C116" s="3125" t="s">
        <v>1669</v>
      </c>
      <c r="D116" s="3137" t="s">
        <v>1670</v>
      </c>
      <c r="E116" s="3138"/>
      <c r="F116" s="3132" t="s">
        <v>1671</v>
      </c>
      <c r="G116" s="3132"/>
      <c r="H116" s="3091" t="s">
        <v>1672</v>
      </c>
      <c r="I116" s="3091"/>
    </row>
    <row r="117" spans="1:27" ht="18.75" customHeight="1">
      <c r="A117" s="3091"/>
      <c r="B117" s="3126"/>
      <c r="C117" s="3126"/>
      <c r="D117" s="1108" t="s">
        <v>1673</v>
      </c>
      <c r="E117" s="1108" t="s">
        <v>1674</v>
      </c>
      <c r="F117" s="1108" t="s">
        <v>1673</v>
      </c>
      <c r="G117" s="1108" t="s">
        <v>1675</v>
      </c>
      <c r="H117" s="1108" t="s">
        <v>1673</v>
      </c>
      <c r="I117" s="1108" t="s">
        <v>1675</v>
      </c>
    </row>
    <row r="118" spans="1:27" ht="24.75" customHeight="1">
      <c r="A118" s="1109" t="str">
        <f>项目基本情况!S2</f>
        <v>房地产</v>
      </c>
      <c r="B118" s="1108">
        <f>M18</f>
        <v>246055.22499999998</v>
      </c>
      <c r="C118" s="1108">
        <f>M19</f>
        <v>98422.09</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129" t="e">
        <f ca="1">NUMBERSTRING(INT(D118*10000),2)&amp;"元整"</f>
        <v>#REF!</v>
      </c>
      <c r="E119" s="3131"/>
      <c r="F119" s="3129" t="e">
        <f ca="1">NUMBERSTRING(INT(F118*10000),2)&amp;"元整"</f>
        <v>#REF!</v>
      </c>
      <c r="G119" s="3131"/>
      <c r="H119" s="3129" t="e">
        <f ca="1">NUMBERSTRING(INT(H118*10000),2)&amp;"元整"</f>
        <v>#REF!</v>
      </c>
      <c r="I119" s="3131"/>
    </row>
    <row r="120" spans="1:27" ht="18.75" customHeight="1">
      <c r="A120" s="3153" t="str">
        <f>IF(项目基本情况!B9="房地产市场价值","",MID(E103,3,LEN(E103)-2))</f>
        <v>估价师知悉的法定优先受偿款</v>
      </c>
      <c r="B120" s="3154"/>
      <c r="C120" s="3155"/>
      <c r="D120" s="3153">
        <f>H103</f>
        <v>0</v>
      </c>
      <c r="E120" s="3154"/>
      <c r="F120" s="3154"/>
      <c r="G120" s="3154"/>
      <c r="H120" s="3154"/>
      <c r="I120" s="315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9" t="s">
        <v>1676</v>
      </c>
      <c r="B121" s="3130"/>
      <c r="C121" s="3131"/>
      <c r="D121" s="3129" t="str">
        <f>IF(D120=0,"零元整",NUMBERSTRING(INT(D120*10000),2)&amp;"元整")</f>
        <v>零元整</v>
      </c>
      <c r="E121" s="3130"/>
      <c r="F121" s="3130"/>
      <c r="G121" s="3130"/>
      <c r="H121" s="3130"/>
      <c r="I121" s="3131"/>
      <c r="AA121" s="590"/>
    </row>
    <row r="122" spans="1:27" ht="18.75" customHeight="1">
      <c r="A122" s="3121" t="str">
        <f>IF(项目基本情况!B9="房地产市场价值","",MID(E107,3,LEN(E107)-2))</f>
        <v>房地产抵押价值</v>
      </c>
      <c r="B122" s="3121"/>
      <c r="C122" s="3121"/>
      <c r="D122" s="3153" t="e">
        <f ca="1">H107</f>
        <v>#REF!</v>
      </c>
      <c r="E122" s="3154"/>
      <c r="F122" s="3154"/>
      <c r="G122" s="3154"/>
      <c r="H122" s="3154"/>
      <c r="I122" s="3155"/>
      <c r="AA122" s="590"/>
    </row>
    <row r="123" spans="1:27" ht="18.75" customHeight="1">
      <c r="A123" s="3091" t="s">
        <v>1676</v>
      </c>
      <c r="B123" s="3091"/>
      <c r="C123" s="3091"/>
      <c r="D123" s="3129" t="e">
        <f ca="1">NUMBERSTRING(INT(D122*10000),2)&amp;"元整"</f>
        <v>#REF!</v>
      </c>
      <c r="E123" s="3130"/>
      <c r="F123" s="3130"/>
      <c r="G123" s="3130"/>
      <c r="H123" s="3130"/>
      <c r="I123" s="3131"/>
      <c r="AA123" s="590"/>
    </row>
    <row r="124" spans="1:27" ht="18.75" customHeight="1">
      <c r="A124" s="3121" t="str">
        <f>IF(项目基本情况!B9="房地产市场价值","",MID(E109,3,LEN(E109)-2))</f>
        <v/>
      </c>
      <c r="B124" s="3121"/>
      <c r="C124" s="3121"/>
      <c r="D124" s="3153" t="str">
        <f>H109</f>
        <v>——</v>
      </c>
      <c r="E124" s="3154"/>
      <c r="F124" s="3154"/>
      <c r="G124" s="3154"/>
      <c r="H124" s="3154"/>
      <c r="I124" s="3155"/>
      <c r="AA124" s="590"/>
    </row>
    <row r="125" spans="1:27" ht="18.75" customHeight="1">
      <c r="A125" s="3091" t="s">
        <v>1676</v>
      </c>
      <c r="B125" s="3091"/>
      <c r="C125" s="3091"/>
      <c r="D125" s="3129" t="e">
        <f>NUMBERSTRING(INT(D124*10000),2)&amp;"元整"</f>
        <v>#VALUE!</v>
      </c>
      <c r="E125" s="3130"/>
      <c r="F125" s="3130"/>
      <c r="G125" s="3130"/>
      <c r="H125" s="3130"/>
      <c r="I125" s="3131"/>
      <c r="AA125" s="590"/>
    </row>
    <row r="126" spans="1:27" ht="18.75" customHeight="1">
      <c r="A126" s="3121" t="str">
        <f>IF(项目基本情况!B9="房地产市场价值","",MID(E111,3,LEN(E111)-2))</f>
        <v/>
      </c>
      <c r="B126" s="3121"/>
      <c r="C126" s="3121"/>
      <c r="D126" s="3153" t="str">
        <f>H111</f>
        <v>——</v>
      </c>
      <c r="E126" s="3154"/>
      <c r="F126" s="3154"/>
      <c r="G126" s="3154"/>
      <c r="H126" s="3154"/>
      <c r="I126" s="3155"/>
      <c r="AA126" s="590"/>
    </row>
    <row r="127" spans="1:27" ht="18.75" customHeight="1">
      <c r="A127" s="3091" t="s">
        <v>1676</v>
      </c>
      <c r="B127" s="3091"/>
      <c r="C127" s="3091"/>
      <c r="D127" s="3129" t="e">
        <f>NUMBERSTRING(INT(D126*10000),2)&amp;"元整"</f>
        <v>#VALUE!</v>
      </c>
      <c r="E127" s="3130"/>
      <c r="F127" s="3130"/>
      <c r="G127" s="3130"/>
      <c r="H127" s="3130"/>
      <c r="I127" s="3131"/>
      <c r="AA127" s="590"/>
    </row>
    <row r="128" spans="1:27" ht="21.75" customHeight="1">
      <c r="A128" s="3136" t="s">
        <v>1677</v>
      </c>
      <c r="B128" s="3136"/>
      <c r="C128" s="3136"/>
      <c r="D128" s="3136"/>
      <c r="E128" s="3136"/>
      <c r="F128" s="3136"/>
      <c r="G128" s="3136"/>
      <c r="H128" s="3136"/>
      <c r="I128" s="3136"/>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246055.22499999998</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246055.22499999998</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246055.22499999998</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246055.22499999998</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246055.22499999998</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246055.22499999998</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246055.22499999998</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246055.22499999998</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246055.22499999998</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1" t="s">
        <v>2583</v>
      </c>
      <c r="K2" s="3182"/>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3" t="s">
        <v>2593</v>
      </c>
      <c r="K3" s="3184"/>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3" t="s">
        <v>2595</v>
      </c>
      <c r="K4" s="3184"/>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9" t="s">
        <v>2599</v>
      </c>
      <c r="B6" s="3190"/>
      <c r="C6" s="3191"/>
      <c r="D6" s="1582"/>
      <c r="E6" s="1583"/>
      <c r="F6" s="1584"/>
      <c r="G6" s="1585"/>
      <c r="H6" s="1560"/>
      <c r="I6" s="1561"/>
      <c r="J6" s="3175">
        <v>1</v>
      </c>
      <c r="K6" s="3176"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5"/>
      <c r="K7" s="3177"/>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2" t="s">
        <v>2613</v>
      </c>
      <c r="C8" s="3193"/>
      <c r="D8" s="1598" t="s">
        <v>2614</v>
      </c>
      <c r="E8" s="1598" t="s">
        <v>2615</v>
      </c>
      <c r="F8" s="1599" t="s">
        <v>2616</v>
      </c>
      <c r="G8" s="1593"/>
      <c r="H8" s="1560"/>
      <c r="I8" s="1561"/>
      <c r="J8" s="3175"/>
      <c r="K8" s="3177"/>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2" t="s">
        <v>2619</v>
      </c>
      <c r="C9" s="3193"/>
      <c r="D9" s="1598">
        <f>ROUND(D6*E9,0)</f>
        <v>0</v>
      </c>
      <c r="E9" s="1562"/>
      <c r="F9" s="1600" t="s">
        <v>2620</v>
      </c>
      <c r="G9" s="1585"/>
      <c r="H9" s="1560"/>
      <c r="I9" s="1561"/>
      <c r="J9" s="3175"/>
      <c r="K9" s="3177"/>
      <c r="L9" s="1594" t="s">
        <v>2621</v>
      </c>
      <c r="M9" s="1595"/>
      <c r="N9" s="1572"/>
      <c r="O9" s="1572"/>
      <c r="P9" s="1572"/>
      <c r="Q9" s="1572">
        <v>365</v>
      </c>
      <c r="R9" s="1596">
        <f t="shared" si="0"/>
        <v>0</v>
      </c>
      <c r="S9" s="1554"/>
      <c r="T9" s="1554"/>
      <c r="U9" s="1554"/>
      <c r="V9" s="1561"/>
    </row>
    <row r="10" spans="1:22" s="1565" customFormat="1" ht="13.15" customHeight="1">
      <c r="A10" s="1597">
        <v>2</v>
      </c>
      <c r="B10" s="3192" t="s">
        <v>2622</v>
      </c>
      <c r="C10" s="3193"/>
      <c r="D10" s="1598">
        <f>ROUND(D6*E10,0)</f>
        <v>0</v>
      </c>
      <c r="E10" s="1562"/>
      <c r="F10" s="1600" t="s">
        <v>2623</v>
      </c>
      <c r="G10" s="1585"/>
      <c r="H10" s="1560"/>
      <c r="I10" s="1561"/>
      <c r="J10" s="3175"/>
      <c r="K10" s="3177"/>
      <c r="L10" s="1594" t="s">
        <v>2624</v>
      </c>
      <c r="M10" s="1595"/>
      <c r="N10" s="1572"/>
      <c r="O10" s="1572"/>
      <c r="P10" s="1572"/>
      <c r="Q10" s="1572">
        <v>365</v>
      </c>
      <c r="R10" s="1596">
        <f t="shared" si="0"/>
        <v>0</v>
      </c>
      <c r="S10" s="1554"/>
      <c r="T10" s="1554"/>
      <c r="U10" s="1554"/>
      <c r="V10" s="1561"/>
    </row>
    <row r="11" spans="1:22" s="1565" customFormat="1" ht="13.15" customHeight="1">
      <c r="A11" s="1597">
        <v>3</v>
      </c>
      <c r="B11" s="3192" t="s">
        <v>2625</v>
      </c>
      <c r="C11" s="3193"/>
      <c r="D11" s="1598">
        <f>D12+D14+D15+D16</f>
        <v>0</v>
      </c>
      <c r="E11" s="1598" t="e">
        <f>D11/D6</f>
        <v>#DIV/0!</v>
      </c>
      <c r="F11" s="1599"/>
      <c r="G11" s="1593"/>
      <c r="H11" s="1560"/>
      <c r="I11" s="1561"/>
      <c r="J11" s="3175"/>
      <c r="K11" s="3177"/>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5" t="s">
        <v>2628</v>
      </c>
      <c r="C12" s="3186"/>
      <c r="D12" s="1602">
        <f>ROUND(D13*1.2%*(1-30%),0)</f>
        <v>0</v>
      </c>
      <c r="E12" s="1602">
        <v>1.2E-2</v>
      </c>
      <c r="F12" s="1599" t="s">
        <v>2629</v>
      </c>
      <c r="G12" s="1593"/>
      <c r="H12" s="1560"/>
      <c r="I12" s="1561"/>
      <c r="J12" s="3175"/>
      <c r="K12" s="3177"/>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5"/>
      <c r="K13" s="3177"/>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5" t="s">
        <v>2634</v>
      </c>
      <c r="C14" s="3186"/>
      <c r="D14" s="1602">
        <f>ROUND(E14*B5/10000,0)</f>
        <v>0</v>
      </c>
      <c r="E14" s="1572"/>
      <c r="F14" s="1599" t="s">
        <v>2635</v>
      </c>
      <c r="G14" s="1593"/>
      <c r="H14" s="1560"/>
      <c r="I14" s="1561"/>
      <c r="J14" s="3175"/>
      <c r="K14" s="3178"/>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5" t="s">
        <v>2638</v>
      </c>
      <c r="C15" s="3186"/>
      <c r="D15" s="1602">
        <f>ROUND(D6*E15,0)</f>
        <v>0</v>
      </c>
      <c r="E15" s="1602">
        <v>5.5E-2</v>
      </c>
      <c r="F15" s="1599" t="s">
        <v>2639</v>
      </c>
      <c r="G15" s="1585"/>
      <c r="H15" s="1560"/>
      <c r="I15" s="1561"/>
      <c r="J15" s="3175">
        <v>2</v>
      </c>
      <c r="K15" s="3176"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5" t="s">
        <v>2647</v>
      </c>
      <c r="C16" s="3186"/>
      <c r="D16" s="1572">
        <f>D6*E16</f>
        <v>0</v>
      </c>
      <c r="E16" s="1572"/>
      <c r="F16" s="1600" t="s">
        <v>2648</v>
      </c>
      <c r="G16" s="1585"/>
      <c r="H16" s="1560"/>
      <c r="I16" s="1561"/>
      <c r="J16" s="3175"/>
      <c r="K16" s="3177"/>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7" t="s">
        <v>2650</v>
      </c>
      <c r="C17" s="3188"/>
      <c r="D17" s="1610">
        <f>ROUND(D6*E17,0)</f>
        <v>0</v>
      </c>
      <c r="E17" s="1611"/>
      <c r="F17" s="1612" t="s">
        <v>2651</v>
      </c>
      <c r="G17" s="1585"/>
      <c r="H17" s="1560"/>
      <c r="I17" s="1561"/>
      <c r="J17" s="3175"/>
      <c r="K17" s="3177"/>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5"/>
      <c r="K18" s="3177"/>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5"/>
      <c r="K19" s="3178"/>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5">
        <v>3</v>
      </c>
      <c r="K20" s="3176"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5"/>
      <c r="K21" s="3177"/>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5"/>
      <c r="K22" s="3177"/>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5"/>
      <c r="K23" s="3177"/>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5"/>
      <c r="K24" s="3178"/>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9">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0"/>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1" t="s">
        <v>2583</v>
      </c>
      <c r="K32" s="3182"/>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3" t="s">
        <v>2593</v>
      </c>
      <c r="K33" s="3184"/>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3" t="s">
        <v>2595</v>
      </c>
      <c r="K34" s="3184"/>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5">
        <v>1</v>
      </c>
      <c r="K36" s="3176"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5"/>
      <c r="K37" s="3177"/>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5"/>
      <c r="K38" s="3177"/>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5"/>
      <c r="K39" s="3177"/>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5"/>
      <c r="K40" s="3178"/>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9">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0"/>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246055.22499999998</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24" t="s">
        <v>1896</v>
      </c>
      <c r="S4" s="3225"/>
      <c r="T4" s="3224" t="s">
        <v>1897</v>
      </c>
      <c r="U4" s="3225"/>
      <c r="V4" s="3200" t="s">
        <v>1898</v>
      </c>
      <c r="W4" s="3200"/>
      <c r="X4" s="1743"/>
      <c r="Y4" s="3224" t="s">
        <v>1900</v>
      </c>
      <c r="Z4" s="3225"/>
      <c r="AA4" s="3211" t="s">
        <v>1896</v>
      </c>
      <c r="AB4" s="3211" t="s">
        <v>1897</v>
      </c>
      <c r="AC4" s="3211" t="s">
        <v>1898</v>
      </c>
    </row>
    <row r="5" spans="1:29" ht="15">
      <c r="A5" s="1745"/>
      <c r="B5" s="1746"/>
      <c r="C5" s="3232" t="s">
        <v>1901</v>
      </c>
      <c r="D5" s="3233"/>
      <c r="E5" s="3239" t="s">
        <v>1902</v>
      </c>
      <c r="F5" s="3240"/>
      <c r="G5" s="3232" t="s">
        <v>1903</v>
      </c>
      <c r="H5" s="3233"/>
      <c r="I5" s="3232" t="s">
        <v>1904</v>
      </c>
      <c r="J5" s="3233"/>
      <c r="K5" s="1747"/>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1747"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44900</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4" t="s">
        <v>1908</v>
      </c>
      <c r="Q7" s="3236"/>
      <c r="R7" s="463" t="s">
        <v>20</v>
      </c>
      <c r="S7" s="1758">
        <f t="shared" ref="S7:S15" si="0">F7</f>
        <v>0</v>
      </c>
      <c r="T7" s="463" t="s">
        <v>20</v>
      </c>
      <c r="U7" s="1758">
        <f t="shared" ref="U7:U15" si="1">H7</f>
        <v>0</v>
      </c>
      <c r="V7" s="463" t="s">
        <v>20</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4" t="s">
        <v>1911</v>
      </c>
      <c r="Q8" s="3235"/>
      <c r="R8" s="463" t="s">
        <v>20</v>
      </c>
      <c r="S8" s="1758">
        <f t="shared" si="0"/>
        <v>0</v>
      </c>
      <c r="T8" s="463" t="s">
        <v>20</v>
      </c>
      <c r="U8" s="1758">
        <f t="shared" si="1"/>
        <v>0</v>
      </c>
      <c r="V8" s="463" t="s">
        <v>20</v>
      </c>
      <c r="W8" s="1758">
        <f t="shared" si="2"/>
        <v>0</v>
      </c>
      <c r="X8" s="1759"/>
      <c r="Y8" s="3234" t="s">
        <v>1911</v>
      </c>
      <c r="Z8" s="3235"/>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0"/>
      <c r="Q11" s="1769" t="str">
        <f t="shared" si="6"/>
        <v>容积率</v>
      </c>
      <c r="R11" s="463" t="s">
        <v>18</v>
      </c>
      <c r="S11" s="1758" t="e">
        <f t="shared" si="0"/>
        <v>#N/A</v>
      </c>
      <c r="T11" s="463" t="s">
        <v>18</v>
      </c>
      <c r="U11" s="1758" t="e">
        <f t="shared" si="1"/>
        <v>#N/A</v>
      </c>
      <c r="V11" s="463" t="s">
        <v>18</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0"/>
      <c r="Q12" s="1769">
        <f t="shared" si="6"/>
        <v>111</v>
      </c>
      <c r="R12" s="463" t="s">
        <v>18</v>
      </c>
      <c r="S12" s="1758">
        <f t="shared" si="0"/>
        <v>100</v>
      </c>
      <c r="T12" s="463" t="s">
        <v>18</v>
      </c>
      <c r="U12" s="1758">
        <f t="shared" si="1"/>
        <v>100</v>
      </c>
      <c r="V12" s="463" t="s">
        <v>18</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0"/>
      <c r="Q13" s="1769">
        <f t="shared" si="6"/>
        <v>111</v>
      </c>
      <c r="R13" s="463" t="s">
        <v>18</v>
      </c>
      <c r="S13" s="1758">
        <f t="shared" si="0"/>
        <v>100</v>
      </c>
      <c r="T13" s="463" t="s">
        <v>18</v>
      </c>
      <c r="U13" s="1758">
        <f t="shared" si="1"/>
        <v>100</v>
      </c>
      <c r="V13" s="463" t="s">
        <v>18</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0"/>
      <c r="Q14" s="1769">
        <f t="shared" si="6"/>
        <v>111</v>
      </c>
      <c r="R14" s="463" t="s">
        <v>18</v>
      </c>
      <c r="S14" s="1758">
        <f t="shared" si="0"/>
        <v>100</v>
      </c>
      <c r="T14" s="463" t="s">
        <v>18</v>
      </c>
      <c r="U14" s="1758">
        <f t="shared" si="1"/>
        <v>100</v>
      </c>
      <c r="V14" s="463" t="s">
        <v>18</v>
      </c>
      <c r="W14" s="1758">
        <f t="shared" si="2"/>
        <v>100</v>
      </c>
      <c r="X14" s="1759"/>
      <c r="Y14" s="3079"/>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8" t="s">
        <v>1919</v>
      </c>
      <c r="Q15" s="1803" t="str">
        <f t="shared" si="6"/>
        <v>居住社区成熟度</v>
      </c>
      <c r="R15" s="1804" t="s">
        <v>18</v>
      </c>
      <c r="S15" s="1805">
        <f t="shared" si="0"/>
        <v>100</v>
      </c>
      <c r="T15" s="1804" t="s">
        <v>18</v>
      </c>
      <c r="U15" s="1805">
        <f t="shared" si="1"/>
        <v>100</v>
      </c>
      <c r="V15" s="1804" t="s">
        <v>18</v>
      </c>
      <c r="W15" s="1805">
        <f t="shared" si="2"/>
        <v>100</v>
      </c>
      <c r="X15" s="1743"/>
      <c r="Y15" s="320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9"/>
      <c r="Q17" s="1803" t="str">
        <f>B17</f>
        <v>交通便捷度</v>
      </c>
      <c r="R17" s="1804" t="s">
        <v>18</v>
      </c>
      <c r="S17" s="1805">
        <f>F17</f>
        <v>100</v>
      </c>
      <c r="T17" s="1804" t="s">
        <v>18</v>
      </c>
      <c r="U17" s="1805">
        <f>H17</f>
        <v>100</v>
      </c>
      <c r="V17" s="1804" t="s">
        <v>18</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9"/>
      <c r="Q19" s="1803" t="str">
        <f>B19</f>
        <v>公共配套设施</v>
      </c>
      <c r="R19" s="1804" t="s">
        <v>18</v>
      </c>
      <c r="S19" s="1805">
        <f>F19</f>
        <v>100</v>
      </c>
      <c r="T19" s="1804" t="s">
        <v>18</v>
      </c>
      <c r="U19" s="1805">
        <f>H19</f>
        <v>100</v>
      </c>
      <c r="V19" s="1804" t="s">
        <v>18</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9"/>
      <c r="Q23" s="1803" t="str">
        <f>B23</f>
        <v>自然及人文环境</v>
      </c>
      <c r="R23" s="1804" t="s">
        <v>18</v>
      </c>
      <c r="S23" s="1805">
        <f>F23</f>
        <v>100</v>
      </c>
      <c r="T23" s="1804" t="s">
        <v>18</v>
      </c>
      <c r="U23" s="1805">
        <f>H23</f>
        <v>100</v>
      </c>
      <c r="V23" s="1804" t="s">
        <v>18</v>
      </c>
      <c r="W23" s="1805">
        <f>J23</f>
        <v>100</v>
      </c>
      <c r="X23" s="1743"/>
      <c r="Y23" s="320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9"/>
      <c r="Q26" s="1803" t="str">
        <f t="shared" si="11"/>
        <v>朝向</v>
      </c>
      <c r="R26" s="1804" t="s">
        <v>18</v>
      </c>
      <c r="S26" s="1805">
        <f t="shared" si="12"/>
        <v>100</v>
      </c>
      <c r="T26" s="1804" t="s">
        <v>18</v>
      </c>
      <c r="U26" s="1805">
        <f t="shared" si="13"/>
        <v>100</v>
      </c>
      <c r="V26" s="1804" t="s">
        <v>18</v>
      </c>
      <c r="W26" s="1805">
        <f t="shared" si="14"/>
        <v>100</v>
      </c>
      <c r="X26" s="1743"/>
      <c r="Y26" s="320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9"/>
      <c r="Q27" s="1769">
        <f t="shared" si="11"/>
        <v>111</v>
      </c>
      <c r="R27" s="463" t="s">
        <v>18</v>
      </c>
      <c r="S27" s="1758">
        <f t="shared" si="12"/>
        <v>100</v>
      </c>
      <c r="T27" s="463" t="s">
        <v>18</v>
      </c>
      <c r="U27" s="1758">
        <f t="shared" si="13"/>
        <v>100</v>
      </c>
      <c r="V27" s="463" t="s">
        <v>18</v>
      </c>
      <c r="W27" s="1758">
        <f t="shared" si="14"/>
        <v>100</v>
      </c>
      <c r="X27" s="1759"/>
      <c r="Y27" s="320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9"/>
      <c r="Q28" s="1803">
        <f t="shared" si="11"/>
        <v>111</v>
      </c>
      <c r="R28" s="1804" t="s">
        <v>18</v>
      </c>
      <c r="S28" s="1805">
        <f t="shared" si="12"/>
        <v>100</v>
      </c>
      <c r="T28" s="1804" t="s">
        <v>18</v>
      </c>
      <c r="U28" s="1805">
        <f t="shared" si="13"/>
        <v>100</v>
      </c>
      <c r="V28" s="1804" t="s">
        <v>18</v>
      </c>
      <c r="W28" s="1805">
        <f t="shared" si="14"/>
        <v>100</v>
      </c>
      <c r="X28" s="1743"/>
      <c r="Y28" s="320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9"/>
      <c r="Q29" s="1803">
        <f t="shared" si="11"/>
        <v>111</v>
      </c>
      <c r="R29" s="1804" t="s">
        <v>18</v>
      </c>
      <c r="S29" s="1805">
        <f t="shared" si="12"/>
        <v>100</v>
      </c>
      <c r="T29" s="1804" t="s">
        <v>18</v>
      </c>
      <c r="U29" s="1805">
        <f t="shared" si="13"/>
        <v>100</v>
      </c>
      <c r="V29" s="1804" t="s">
        <v>18</v>
      </c>
      <c r="W29" s="1805">
        <f t="shared" si="14"/>
        <v>100</v>
      </c>
      <c r="X29" s="1743"/>
      <c r="Y29" s="320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9"/>
      <c r="Q30" s="1803">
        <f t="shared" si="11"/>
        <v>111</v>
      </c>
      <c r="R30" s="1804" t="s">
        <v>18</v>
      </c>
      <c r="S30" s="1805">
        <f t="shared" si="12"/>
        <v>100</v>
      </c>
      <c r="T30" s="1804" t="s">
        <v>18</v>
      </c>
      <c r="U30" s="1805">
        <f t="shared" si="13"/>
        <v>100</v>
      </c>
      <c r="V30" s="1804" t="s">
        <v>18</v>
      </c>
      <c r="W30" s="1805">
        <f t="shared" si="14"/>
        <v>100</v>
      </c>
      <c r="X30" s="1743"/>
      <c r="Y30" s="320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9"/>
      <c r="Q31" s="1803">
        <f t="shared" si="11"/>
        <v>111</v>
      </c>
      <c r="R31" s="1804" t="s">
        <v>18</v>
      </c>
      <c r="S31" s="1805">
        <f t="shared" si="12"/>
        <v>100</v>
      </c>
      <c r="T31" s="1804" t="s">
        <v>18</v>
      </c>
      <c r="U31" s="1805">
        <f t="shared" si="13"/>
        <v>100</v>
      </c>
      <c r="V31" s="1804" t="s">
        <v>18</v>
      </c>
      <c r="W31" s="1805">
        <f t="shared" si="14"/>
        <v>100</v>
      </c>
      <c r="X31" s="1743"/>
      <c r="Y31" s="320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3" t="s">
        <v>1924</v>
      </c>
      <c r="Q32" s="1803" t="str">
        <f t="shared" si="11"/>
        <v>建筑类型</v>
      </c>
      <c r="R32" s="1804" t="s">
        <v>18</v>
      </c>
      <c r="S32" s="1805">
        <f t="shared" si="12"/>
        <v>100</v>
      </c>
      <c r="T32" s="1804" t="s">
        <v>18</v>
      </c>
      <c r="U32" s="1805">
        <f t="shared" si="13"/>
        <v>100</v>
      </c>
      <c r="V32" s="1804" t="s">
        <v>18</v>
      </c>
      <c r="W32" s="1805">
        <f t="shared" si="14"/>
        <v>100</v>
      </c>
      <c r="X32" s="1743"/>
      <c r="Y32" s="320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4"/>
      <c r="Q33" s="1839" t="str">
        <f t="shared" si="11"/>
        <v>项目建筑规模</v>
      </c>
      <c r="R33" s="1840" t="s">
        <v>18</v>
      </c>
      <c r="S33" s="1841" t="e">
        <f t="shared" si="12"/>
        <v>#N/A</v>
      </c>
      <c r="T33" s="1840" t="s">
        <v>18</v>
      </c>
      <c r="U33" s="1841" t="e">
        <f t="shared" si="13"/>
        <v>#N/A</v>
      </c>
      <c r="V33" s="1840" t="s">
        <v>18</v>
      </c>
      <c r="W33" s="1841" t="e">
        <f t="shared" si="14"/>
        <v>#N/A</v>
      </c>
      <c r="X33" s="1842"/>
      <c r="Y33" s="320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4"/>
      <c r="Q34" s="1803" t="str">
        <f t="shared" si="11"/>
        <v>建筑结构</v>
      </c>
      <c r="R34" s="1804" t="s">
        <v>18</v>
      </c>
      <c r="S34" s="1805">
        <f t="shared" si="12"/>
        <v>100</v>
      </c>
      <c r="T34" s="1804" t="s">
        <v>18</v>
      </c>
      <c r="U34" s="1805">
        <f t="shared" si="13"/>
        <v>100</v>
      </c>
      <c r="V34" s="1804" t="s">
        <v>18</v>
      </c>
      <c r="W34" s="1805">
        <f t="shared" si="14"/>
        <v>100</v>
      </c>
      <c r="X34" s="1743"/>
      <c r="Y34" s="320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4"/>
      <c r="Q35" s="1803" t="str">
        <f t="shared" si="11"/>
        <v>建筑品质</v>
      </c>
      <c r="R35" s="1804" t="s">
        <v>18</v>
      </c>
      <c r="S35" s="1805">
        <f t="shared" si="12"/>
        <v>100</v>
      </c>
      <c r="T35" s="1804" t="s">
        <v>18</v>
      </c>
      <c r="U35" s="1805">
        <f t="shared" si="13"/>
        <v>100</v>
      </c>
      <c r="V35" s="1804" t="s">
        <v>18</v>
      </c>
      <c r="W35" s="1805">
        <f t="shared" si="14"/>
        <v>100</v>
      </c>
      <c r="X35" s="1743"/>
      <c r="Y35" s="320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4"/>
      <c r="Q36" s="1803" t="str">
        <f t="shared" si="11"/>
        <v>公共部分装修</v>
      </c>
      <c r="R36" s="1804" t="s">
        <v>18</v>
      </c>
      <c r="S36" s="1805">
        <f t="shared" si="12"/>
        <v>100</v>
      </c>
      <c r="T36" s="1804" t="s">
        <v>18</v>
      </c>
      <c r="U36" s="1805">
        <f t="shared" si="13"/>
        <v>100</v>
      </c>
      <c r="V36" s="1804" t="s">
        <v>18</v>
      </c>
      <c r="W36" s="1805">
        <f t="shared" si="14"/>
        <v>100</v>
      </c>
      <c r="X36" s="1743"/>
      <c r="Y36" s="320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4"/>
      <c r="Q37" s="1769" t="str">
        <f t="shared" si="11"/>
        <v>成新度</v>
      </c>
      <c r="R37" s="463" t="s">
        <v>18</v>
      </c>
      <c r="S37" s="1758" t="e">
        <f t="shared" si="12"/>
        <v>#N/A</v>
      </c>
      <c r="T37" s="463" t="s">
        <v>18</v>
      </c>
      <c r="U37" s="1758" t="e">
        <f t="shared" si="13"/>
        <v>#N/A</v>
      </c>
      <c r="V37" s="463" t="s">
        <v>18</v>
      </c>
      <c r="W37" s="1758" t="e">
        <f t="shared" si="14"/>
        <v>#N/A</v>
      </c>
      <c r="X37" s="1759"/>
      <c r="Y37" s="320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4" t="s">
        <v>1924</v>
      </c>
      <c r="Q38" s="1803" t="str">
        <f t="shared" si="11"/>
        <v>物业管理</v>
      </c>
      <c r="R38" s="1804" t="s">
        <v>18</v>
      </c>
      <c r="S38" s="1805">
        <f t="shared" si="12"/>
        <v>100</v>
      </c>
      <c r="T38" s="1804" t="s">
        <v>18</v>
      </c>
      <c r="U38" s="1805">
        <f t="shared" si="13"/>
        <v>100</v>
      </c>
      <c r="V38" s="1804" t="s">
        <v>18</v>
      </c>
      <c r="W38" s="1805">
        <f t="shared" si="14"/>
        <v>100</v>
      </c>
      <c r="X38" s="1743"/>
      <c r="Y38" s="320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4"/>
      <c r="Q39" s="1803" t="str">
        <f t="shared" si="11"/>
        <v>市政基础设施</v>
      </c>
      <c r="R39" s="1804" t="s">
        <v>18</v>
      </c>
      <c r="S39" s="1805">
        <f t="shared" si="12"/>
        <v>100</v>
      </c>
      <c r="T39" s="1804" t="s">
        <v>18</v>
      </c>
      <c r="U39" s="1805">
        <f t="shared" si="13"/>
        <v>100</v>
      </c>
      <c r="V39" s="1804" t="s">
        <v>18</v>
      </c>
      <c r="W39" s="1805">
        <f t="shared" si="14"/>
        <v>100</v>
      </c>
      <c r="X39" s="1743"/>
      <c r="Y39" s="320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4"/>
      <c r="Q40" s="1803" t="str">
        <f t="shared" si="11"/>
        <v>房型</v>
      </c>
      <c r="R40" s="1804" t="s">
        <v>18</v>
      </c>
      <c r="S40" s="1805">
        <f t="shared" si="12"/>
        <v>100</v>
      </c>
      <c r="T40" s="1804" t="s">
        <v>18</v>
      </c>
      <c r="U40" s="1805">
        <f t="shared" si="13"/>
        <v>100</v>
      </c>
      <c r="V40" s="1804" t="s">
        <v>18</v>
      </c>
      <c r="W40" s="1805">
        <f t="shared" si="14"/>
        <v>100</v>
      </c>
      <c r="X40" s="1743"/>
      <c r="Y40" s="320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4"/>
      <c r="Q41" s="1839" t="str">
        <f t="shared" si="11"/>
        <v>单套/主力户型建筑面积</v>
      </c>
      <c r="R41" s="1840" t="s">
        <v>18</v>
      </c>
      <c r="S41" s="1841">
        <f t="shared" si="12"/>
        <v>100</v>
      </c>
      <c r="T41" s="1840" t="s">
        <v>18</v>
      </c>
      <c r="U41" s="1841">
        <f t="shared" si="13"/>
        <v>100</v>
      </c>
      <c r="V41" s="1840" t="s">
        <v>18</v>
      </c>
      <c r="W41" s="1841">
        <f t="shared" si="14"/>
        <v>100</v>
      </c>
      <c r="X41" s="1842"/>
      <c r="Y41" s="320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4"/>
      <c r="Q42" s="1803" t="str">
        <f t="shared" si="11"/>
        <v>内部装修</v>
      </c>
      <c r="R42" s="1804" t="s">
        <v>18</v>
      </c>
      <c r="S42" s="1805">
        <f t="shared" si="12"/>
        <v>100</v>
      </c>
      <c r="T42" s="1804" t="s">
        <v>18</v>
      </c>
      <c r="U42" s="1805">
        <f t="shared" si="13"/>
        <v>100</v>
      </c>
      <c r="V42" s="1804" t="s">
        <v>18</v>
      </c>
      <c r="W42" s="1805">
        <f t="shared" si="14"/>
        <v>100</v>
      </c>
      <c r="X42" s="1743"/>
      <c r="Y42" s="320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4"/>
      <c r="Q43" s="1803" t="str">
        <f t="shared" si="11"/>
        <v>内部装修维护情况</v>
      </c>
      <c r="R43" s="1804" t="s">
        <v>18</v>
      </c>
      <c r="S43" s="1805">
        <f t="shared" si="12"/>
        <v>100</v>
      </c>
      <c r="T43" s="1804" t="s">
        <v>18</v>
      </c>
      <c r="U43" s="1805">
        <f t="shared" si="13"/>
        <v>100</v>
      </c>
      <c r="V43" s="1804" t="s">
        <v>18</v>
      </c>
      <c r="W43" s="1805">
        <f t="shared" si="14"/>
        <v>100</v>
      </c>
      <c r="X43" s="1743"/>
      <c r="Y43" s="320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4"/>
      <c r="Q44" s="1769">
        <f t="shared" si="11"/>
        <v>111</v>
      </c>
      <c r="R44" s="463" t="s">
        <v>18</v>
      </c>
      <c r="S44" s="1758">
        <f t="shared" si="12"/>
        <v>100</v>
      </c>
      <c r="T44" s="463" t="s">
        <v>18</v>
      </c>
      <c r="U44" s="1758">
        <f t="shared" si="13"/>
        <v>100</v>
      </c>
      <c r="V44" s="463" t="s">
        <v>18</v>
      </c>
      <c r="W44" s="1758">
        <f t="shared" si="14"/>
        <v>100</v>
      </c>
      <c r="X44" s="1759"/>
      <c r="Y44" s="320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4"/>
      <c r="Q45" s="1803">
        <f t="shared" si="11"/>
        <v>111</v>
      </c>
      <c r="R45" s="1804" t="s">
        <v>18</v>
      </c>
      <c r="S45" s="1805">
        <f t="shared" si="12"/>
        <v>100</v>
      </c>
      <c r="T45" s="1804" t="s">
        <v>18</v>
      </c>
      <c r="U45" s="1805">
        <f t="shared" si="13"/>
        <v>100</v>
      </c>
      <c r="V45" s="1804" t="s">
        <v>18</v>
      </c>
      <c r="W45" s="1805">
        <f t="shared" si="14"/>
        <v>100</v>
      </c>
      <c r="X45" s="1743"/>
      <c r="Y45" s="320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5"/>
      <c r="Q46" s="1803">
        <f t="shared" si="11"/>
        <v>111</v>
      </c>
      <c r="R46" s="1804" t="s">
        <v>17</v>
      </c>
      <c r="S46" s="1805">
        <f t="shared" si="12"/>
        <v>100</v>
      </c>
      <c r="T46" s="1804" t="s">
        <v>17</v>
      </c>
      <c r="U46" s="1805">
        <f t="shared" si="13"/>
        <v>100</v>
      </c>
      <c r="V46" s="1804" t="s">
        <v>17</v>
      </c>
      <c r="W46" s="1805">
        <f t="shared" si="14"/>
        <v>100</v>
      </c>
      <c r="X46" s="1743"/>
      <c r="Y46" s="320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2022-12</v>
      </c>
      <c r="D58" s="1890">
        <f>EDATE(C58,-1)</f>
        <v>44866</v>
      </c>
      <c r="E58" s="1890">
        <f>EDATE(D58,-1)</f>
        <v>44835</v>
      </c>
      <c r="F58" s="1890">
        <f t="shared" ref="F58:O58" si="19">EDATE(E58,-1)</f>
        <v>44805</v>
      </c>
      <c r="G58" s="1890">
        <f t="shared" si="19"/>
        <v>44774</v>
      </c>
      <c r="H58" s="1890">
        <f t="shared" si="19"/>
        <v>44743</v>
      </c>
      <c r="I58" s="1890">
        <f t="shared" si="19"/>
        <v>44713</v>
      </c>
      <c r="J58" s="1890">
        <f t="shared" si="19"/>
        <v>44682</v>
      </c>
      <c r="K58" s="1890">
        <f t="shared" si="19"/>
        <v>44652</v>
      </c>
      <c r="L58" s="1890">
        <f t="shared" si="19"/>
        <v>44621</v>
      </c>
      <c r="M58" s="1890">
        <f t="shared" si="19"/>
        <v>44593</v>
      </c>
      <c r="N58" s="1890">
        <f t="shared" si="19"/>
        <v>44562</v>
      </c>
      <c r="O58" s="1890">
        <f t="shared" si="19"/>
        <v>44531</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246055.22499999998</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00"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00"/>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00"/>
      <c r="AC6" s="3213"/>
    </row>
    <row r="7" spans="1:29" s="1760" customFormat="1" ht="15.75" thickBot="1">
      <c r="A7" s="1750" t="s">
        <v>1907</v>
      </c>
      <c r="B7" s="1751"/>
      <c r="C7" s="1752">
        <f>'数据-取费表'!B2</f>
        <v>44900</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8" t="s">
        <v>1919</v>
      </c>
      <c r="Q15" s="1803" t="str">
        <f t="shared" si="6"/>
        <v>商业繁华度</v>
      </c>
      <c r="R15" s="1804" t="s">
        <v>14</v>
      </c>
      <c r="S15" s="1805">
        <f t="shared" si="0"/>
        <v>100</v>
      </c>
      <c r="T15" s="1804" t="s">
        <v>14</v>
      </c>
      <c r="U15" s="1805">
        <f t="shared" si="1"/>
        <v>100</v>
      </c>
      <c r="V15" s="1804" t="s">
        <v>14</v>
      </c>
      <c r="W15" s="1805">
        <f t="shared" si="2"/>
        <v>100</v>
      </c>
      <c r="X15" s="1743"/>
      <c r="Y15" s="320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9"/>
      <c r="Q23" s="1803" t="str">
        <f>B23</f>
        <v>自然及人文环境</v>
      </c>
      <c r="R23" s="1804" t="s">
        <v>14</v>
      </c>
      <c r="S23" s="1805">
        <f>F23</f>
        <v>100</v>
      </c>
      <c r="T23" s="1804" t="s">
        <v>14</v>
      </c>
      <c r="U23" s="1805">
        <f>H23</f>
        <v>100</v>
      </c>
      <c r="V23" s="1804" t="s">
        <v>14</v>
      </c>
      <c r="W23" s="1805">
        <f>J23</f>
        <v>100</v>
      </c>
      <c r="X23" s="1743"/>
      <c r="Y23" s="320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9"/>
      <c r="Q25" s="1803" t="str">
        <f t="shared" ref="Q25:Q46" si="11">B25</f>
        <v>临街状况</v>
      </c>
      <c r="R25" s="1804" t="s">
        <v>14</v>
      </c>
      <c r="S25" s="1805">
        <f>F25</f>
        <v>100</v>
      </c>
      <c r="T25" s="1804" t="s">
        <v>14</v>
      </c>
      <c r="U25" s="1805">
        <f>H25</f>
        <v>100</v>
      </c>
      <c r="V25" s="1804" t="s">
        <v>14</v>
      </c>
      <c r="W25" s="1805">
        <f>J25</f>
        <v>100</v>
      </c>
      <c r="X25" s="1743"/>
      <c r="Y25" s="320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9"/>
      <c r="Q26" s="1803" t="str">
        <f t="shared" si="11"/>
        <v>平面位置/可视性</v>
      </c>
      <c r="R26" s="1804" t="s">
        <v>14</v>
      </c>
      <c r="S26" s="1805">
        <f>F26</f>
        <v>100</v>
      </c>
      <c r="T26" s="1804" t="s">
        <v>14</v>
      </c>
      <c r="U26" s="1805">
        <f>H26</f>
        <v>100</v>
      </c>
      <c r="V26" s="1804" t="s">
        <v>14</v>
      </c>
      <c r="W26" s="1805">
        <f>J26</f>
        <v>100</v>
      </c>
      <c r="X26" s="1743"/>
      <c r="Y26" s="320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9"/>
      <c r="Q27" s="1769" t="str">
        <f t="shared" si="11"/>
        <v>人流量</v>
      </c>
      <c r="R27" s="463" t="s">
        <v>14</v>
      </c>
      <c r="S27" s="1758">
        <f>F27</f>
        <v>100</v>
      </c>
      <c r="T27" s="463" t="s">
        <v>14</v>
      </c>
      <c r="U27" s="1758">
        <f>H27</f>
        <v>100</v>
      </c>
      <c r="V27" s="463" t="s">
        <v>14</v>
      </c>
      <c r="W27" s="1758">
        <f>J27</f>
        <v>100</v>
      </c>
      <c r="X27" s="1759"/>
      <c r="Y27" s="320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9"/>
      <c r="Q29" s="1803">
        <f t="shared" si="11"/>
        <v>111</v>
      </c>
      <c r="R29" s="1804" t="s">
        <v>14</v>
      </c>
      <c r="S29" s="1805">
        <f t="shared" si="12"/>
        <v>100</v>
      </c>
      <c r="T29" s="1804" t="s">
        <v>14</v>
      </c>
      <c r="U29" s="1805">
        <f t="shared" si="13"/>
        <v>100</v>
      </c>
      <c r="V29" s="1804" t="s">
        <v>14</v>
      </c>
      <c r="W29" s="1805">
        <f t="shared" si="14"/>
        <v>100</v>
      </c>
      <c r="X29" s="1743"/>
      <c r="Y29" s="320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3" t="s">
        <v>1924</v>
      </c>
      <c r="Q32" s="1803" t="str">
        <f t="shared" si="11"/>
        <v>商业类型</v>
      </c>
      <c r="R32" s="1804" t="s">
        <v>14</v>
      </c>
      <c r="S32" s="1805">
        <f t="shared" si="12"/>
        <v>100</v>
      </c>
      <c r="T32" s="1804" t="s">
        <v>14</v>
      </c>
      <c r="U32" s="1805">
        <f t="shared" si="13"/>
        <v>100</v>
      </c>
      <c r="V32" s="1804" t="s">
        <v>14</v>
      </c>
      <c r="W32" s="1805">
        <f t="shared" si="14"/>
        <v>100</v>
      </c>
      <c r="X32" s="1743"/>
      <c r="Y32" s="320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4"/>
      <c r="Q33" s="1839" t="str">
        <f t="shared" si="11"/>
        <v>项目建筑规模</v>
      </c>
      <c r="R33" s="1840" t="s">
        <v>14</v>
      </c>
      <c r="S33" s="1841" t="e">
        <f t="shared" si="12"/>
        <v>#N/A</v>
      </c>
      <c r="T33" s="1840" t="s">
        <v>14</v>
      </c>
      <c r="U33" s="1841" t="e">
        <f t="shared" si="13"/>
        <v>#N/A</v>
      </c>
      <c r="V33" s="1840" t="s">
        <v>14</v>
      </c>
      <c r="W33" s="1841" t="e">
        <f t="shared" si="14"/>
        <v>#N/A</v>
      </c>
      <c r="X33" s="1842"/>
      <c r="Y33" s="320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4"/>
      <c r="Q34" s="1803" t="str">
        <f t="shared" si="11"/>
        <v>建筑结构</v>
      </c>
      <c r="R34" s="1804" t="s">
        <v>14</v>
      </c>
      <c r="S34" s="1805">
        <f t="shared" si="12"/>
        <v>100</v>
      </c>
      <c r="T34" s="1804" t="s">
        <v>14</v>
      </c>
      <c r="U34" s="1805">
        <f t="shared" si="13"/>
        <v>100</v>
      </c>
      <c r="V34" s="1804" t="s">
        <v>14</v>
      </c>
      <c r="W34" s="1805">
        <f t="shared" si="14"/>
        <v>100</v>
      </c>
      <c r="X34" s="1743"/>
      <c r="Y34" s="320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4"/>
      <c r="Q35" s="1803" t="str">
        <f t="shared" si="11"/>
        <v>公共部分装修</v>
      </c>
      <c r="R35" s="1804" t="s">
        <v>14</v>
      </c>
      <c r="S35" s="1805">
        <f t="shared" si="12"/>
        <v>100</v>
      </c>
      <c r="T35" s="1804" t="s">
        <v>14</v>
      </c>
      <c r="U35" s="1805">
        <f t="shared" si="13"/>
        <v>100</v>
      </c>
      <c r="V35" s="1804" t="s">
        <v>14</v>
      </c>
      <c r="W35" s="1805">
        <f t="shared" si="14"/>
        <v>100</v>
      </c>
      <c r="X35" s="1743"/>
      <c r="Y35" s="320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4"/>
      <c r="Q36" s="1803" t="str">
        <f t="shared" si="11"/>
        <v>成新度</v>
      </c>
      <c r="R36" s="1804" t="s">
        <v>14</v>
      </c>
      <c r="S36" s="1805" t="e">
        <f t="shared" si="12"/>
        <v>#N/A</v>
      </c>
      <c r="T36" s="1804" t="s">
        <v>14</v>
      </c>
      <c r="U36" s="1805" t="e">
        <f t="shared" si="13"/>
        <v>#N/A</v>
      </c>
      <c r="V36" s="1804" t="s">
        <v>14</v>
      </c>
      <c r="W36" s="1805" t="e">
        <f t="shared" si="14"/>
        <v>#N/A</v>
      </c>
      <c r="X36" s="1743"/>
      <c r="Y36" s="320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4"/>
      <c r="Q37" s="1769" t="str">
        <f t="shared" si="11"/>
        <v>市政基础设施</v>
      </c>
      <c r="R37" s="463" t="s">
        <v>14</v>
      </c>
      <c r="S37" s="1758">
        <f t="shared" si="12"/>
        <v>100</v>
      </c>
      <c r="T37" s="463" t="s">
        <v>14</v>
      </c>
      <c r="U37" s="1758">
        <f t="shared" si="13"/>
        <v>100</v>
      </c>
      <c r="V37" s="463" t="s">
        <v>14</v>
      </c>
      <c r="W37" s="1758">
        <f t="shared" si="14"/>
        <v>100</v>
      </c>
      <c r="X37" s="1759"/>
      <c r="Y37" s="320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4" t="s">
        <v>1924</v>
      </c>
      <c r="Q38" s="1803" t="str">
        <f t="shared" si="11"/>
        <v>业态</v>
      </c>
      <c r="R38" s="1804" t="s">
        <v>14</v>
      </c>
      <c r="S38" s="1805">
        <f t="shared" si="12"/>
        <v>100</v>
      </c>
      <c r="T38" s="1804" t="s">
        <v>14</v>
      </c>
      <c r="U38" s="1805">
        <f t="shared" si="13"/>
        <v>100</v>
      </c>
      <c r="V38" s="1804" t="s">
        <v>14</v>
      </c>
      <c r="W38" s="1805">
        <f t="shared" si="14"/>
        <v>100</v>
      </c>
      <c r="X38" s="1743"/>
      <c r="Y38" s="320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4"/>
      <c r="Q39" s="1803" t="str">
        <f t="shared" si="11"/>
        <v>层高</v>
      </c>
      <c r="R39" s="1804" t="s">
        <v>14</v>
      </c>
      <c r="S39" s="1805">
        <f t="shared" si="12"/>
        <v>100</v>
      </c>
      <c r="T39" s="1804" t="s">
        <v>14</v>
      </c>
      <c r="U39" s="1805">
        <f t="shared" si="13"/>
        <v>100</v>
      </c>
      <c r="V39" s="1804" t="s">
        <v>14</v>
      </c>
      <c r="W39" s="1805">
        <f t="shared" si="14"/>
        <v>100</v>
      </c>
      <c r="X39" s="1743"/>
      <c r="Y39" s="320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4"/>
      <c r="Q40" s="1803" t="str">
        <f t="shared" si="11"/>
        <v>单套建筑面积</v>
      </c>
      <c r="R40" s="1804" t="s">
        <v>14</v>
      </c>
      <c r="S40" s="1805">
        <f t="shared" si="12"/>
        <v>100</v>
      </c>
      <c r="T40" s="1804" t="s">
        <v>14</v>
      </c>
      <c r="U40" s="1805">
        <f t="shared" si="13"/>
        <v>100</v>
      </c>
      <c r="V40" s="1804" t="s">
        <v>14</v>
      </c>
      <c r="W40" s="1805">
        <f t="shared" si="14"/>
        <v>100</v>
      </c>
      <c r="X40" s="1743"/>
      <c r="Y40" s="320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4"/>
      <c r="Q41" s="1839" t="str">
        <f t="shared" si="11"/>
        <v>进深比</v>
      </c>
      <c r="R41" s="1840" t="s">
        <v>14</v>
      </c>
      <c r="S41" s="1841">
        <f t="shared" si="12"/>
        <v>100</v>
      </c>
      <c r="T41" s="1840" t="s">
        <v>14</v>
      </c>
      <c r="U41" s="1841">
        <f t="shared" si="13"/>
        <v>100</v>
      </c>
      <c r="V41" s="1840" t="s">
        <v>14</v>
      </c>
      <c r="W41" s="1841">
        <f t="shared" si="14"/>
        <v>100</v>
      </c>
      <c r="X41" s="1842"/>
      <c r="Y41" s="320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4"/>
      <c r="Q42" s="1803" t="str">
        <f t="shared" si="11"/>
        <v>内部装修</v>
      </c>
      <c r="R42" s="1804" t="s">
        <v>14</v>
      </c>
      <c r="S42" s="1805">
        <f t="shared" si="12"/>
        <v>100</v>
      </c>
      <c r="T42" s="1804" t="s">
        <v>14</v>
      </c>
      <c r="U42" s="1805">
        <f t="shared" si="13"/>
        <v>100</v>
      </c>
      <c r="V42" s="1804" t="s">
        <v>14</v>
      </c>
      <c r="W42" s="1805">
        <f t="shared" si="14"/>
        <v>100</v>
      </c>
      <c r="X42" s="1743"/>
      <c r="Y42" s="320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4"/>
      <c r="Q43" s="1803" t="str">
        <f t="shared" si="11"/>
        <v>内部装修维护情况</v>
      </c>
      <c r="R43" s="1804" t="s">
        <v>14</v>
      </c>
      <c r="S43" s="1805">
        <f t="shared" si="12"/>
        <v>100</v>
      </c>
      <c r="T43" s="1804" t="s">
        <v>14</v>
      </c>
      <c r="U43" s="1805">
        <f t="shared" si="13"/>
        <v>100</v>
      </c>
      <c r="V43" s="1804" t="s">
        <v>14</v>
      </c>
      <c r="W43" s="1805">
        <f t="shared" si="14"/>
        <v>100</v>
      </c>
      <c r="X43" s="1743"/>
      <c r="Y43" s="320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4"/>
      <c r="Q44" s="1769">
        <f t="shared" si="11"/>
        <v>111</v>
      </c>
      <c r="R44" s="463" t="s">
        <v>14</v>
      </c>
      <c r="S44" s="1758">
        <f t="shared" si="12"/>
        <v>100</v>
      </c>
      <c r="T44" s="463" t="s">
        <v>14</v>
      </c>
      <c r="U44" s="1758">
        <f t="shared" si="13"/>
        <v>100</v>
      </c>
      <c r="V44" s="463" t="s">
        <v>14</v>
      </c>
      <c r="W44" s="1758">
        <f t="shared" si="14"/>
        <v>100</v>
      </c>
      <c r="X44" s="1759"/>
      <c r="Y44" s="320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4"/>
      <c r="Q45" s="1803">
        <f t="shared" si="11"/>
        <v>111</v>
      </c>
      <c r="R45" s="1804" t="s">
        <v>14</v>
      </c>
      <c r="S45" s="1805">
        <f t="shared" si="12"/>
        <v>100</v>
      </c>
      <c r="T45" s="1804" t="s">
        <v>14</v>
      </c>
      <c r="U45" s="1805">
        <f t="shared" si="13"/>
        <v>100</v>
      </c>
      <c r="V45" s="1804" t="s">
        <v>14</v>
      </c>
      <c r="W45" s="1805">
        <f t="shared" si="14"/>
        <v>100</v>
      </c>
      <c r="X45" s="1743"/>
      <c r="Y45" s="320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5"/>
      <c r="Q46" s="1803">
        <f t="shared" si="11"/>
        <v>111</v>
      </c>
      <c r="R46" s="1804" t="s">
        <v>14</v>
      </c>
      <c r="S46" s="1805">
        <f t="shared" si="12"/>
        <v>100</v>
      </c>
      <c r="T46" s="1804" t="s">
        <v>14</v>
      </c>
      <c r="U46" s="1805">
        <f t="shared" si="13"/>
        <v>100</v>
      </c>
      <c r="V46" s="1804" t="s">
        <v>14</v>
      </c>
      <c r="W46" s="1805">
        <f t="shared" si="14"/>
        <v>100</v>
      </c>
      <c r="X46" s="1743"/>
      <c r="Y46" s="320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2022-12</v>
      </c>
      <c r="D58" s="1890">
        <f>EDATE(C58,-1)</f>
        <v>44866</v>
      </c>
      <c r="E58" s="1890">
        <f t="shared" ref="E58:N58" si="16">EDATE(D58,-1)</f>
        <v>44835</v>
      </c>
      <c r="F58" s="1890">
        <f t="shared" si="16"/>
        <v>44805</v>
      </c>
      <c r="G58" s="1890">
        <f t="shared" si="16"/>
        <v>44774</v>
      </c>
      <c r="H58" s="1890">
        <f t="shared" si="16"/>
        <v>44743</v>
      </c>
      <c r="I58" s="1890">
        <f t="shared" si="16"/>
        <v>44713</v>
      </c>
      <c r="J58" s="1890">
        <f t="shared" si="16"/>
        <v>44682</v>
      </c>
      <c r="K58" s="1890">
        <f t="shared" si="16"/>
        <v>44652</v>
      </c>
      <c r="L58" s="1890">
        <f t="shared" si="16"/>
        <v>44621</v>
      </c>
      <c r="M58" s="1890">
        <f t="shared" si="16"/>
        <v>44593</v>
      </c>
      <c r="N58" s="1890">
        <f t="shared" si="16"/>
        <v>44562</v>
      </c>
      <c r="O58" s="1890">
        <f>EDATE(N58,-1)</f>
        <v>44531</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246055.22499999998</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51" t="s">
        <v>2006</v>
      </c>
      <c r="S4" s="3252"/>
      <c r="T4" s="3251" t="s">
        <v>2007</v>
      </c>
      <c r="U4" s="3252"/>
      <c r="V4" s="3253" t="s">
        <v>2008</v>
      </c>
      <c r="W4" s="3253"/>
      <c r="X4" s="2078"/>
      <c r="Y4" s="3251" t="s">
        <v>2010</v>
      </c>
      <c r="Z4" s="3252"/>
      <c r="AA4" s="3255" t="s">
        <v>2006</v>
      </c>
      <c r="AB4" s="3255" t="s">
        <v>2007</v>
      </c>
      <c r="AC4" s="3244" t="s">
        <v>2008</v>
      </c>
    </row>
    <row r="5" spans="1:29" ht="15">
      <c r="A5" s="1745"/>
      <c r="B5" s="1746"/>
      <c r="C5" s="3232" t="s">
        <v>1901</v>
      </c>
      <c r="D5" s="3233"/>
      <c r="E5" s="3239" t="s">
        <v>1902</v>
      </c>
      <c r="F5" s="3240"/>
      <c r="G5" s="3232" t="s">
        <v>1903</v>
      </c>
      <c r="H5" s="3233"/>
      <c r="I5" s="3232" t="s">
        <v>1904</v>
      </c>
      <c r="J5" s="3233"/>
      <c r="K5" s="2042"/>
      <c r="L5" s="1741"/>
      <c r="M5" s="1742"/>
      <c r="N5" s="1742"/>
      <c r="O5" s="1742"/>
      <c r="P5" s="3249"/>
      <c r="Q5" s="3221"/>
      <c r="R5" s="3226"/>
      <c r="S5" s="3227"/>
      <c r="T5" s="3226"/>
      <c r="U5" s="3227"/>
      <c r="V5" s="3200"/>
      <c r="W5" s="3200"/>
      <c r="X5" s="1743"/>
      <c r="Y5" s="3226"/>
      <c r="Z5" s="3227"/>
      <c r="AA5" s="3212"/>
      <c r="AB5" s="3212"/>
      <c r="AC5" s="3245"/>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50"/>
      <c r="Q6" s="3223"/>
      <c r="R6" s="3226"/>
      <c r="S6" s="3227"/>
      <c r="T6" s="3228"/>
      <c r="U6" s="3229"/>
      <c r="V6" s="3200"/>
      <c r="W6" s="3200"/>
      <c r="X6" s="1743"/>
      <c r="Y6" s="3228"/>
      <c r="Z6" s="3229"/>
      <c r="AA6" s="3213"/>
      <c r="AB6" s="3213"/>
      <c r="AC6" s="3246"/>
    </row>
    <row r="7" spans="1:29" s="1760" customFormat="1" ht="15.75" thickBot="1">
      <c r="A7" s="1750" t="s">
        <v>1907</v>
      </c>
      <c r="B7" s="1751"/>
      <c r="C7" s="1752">
        <f>'数据-取费表'!B2</f>
        <v>44900</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4" t="s">
        <v>1911</v>
      </c>
      <c r="Q8" s="3235"/>
      <c r="R8" s="463" t="s">
        <v>14</v>
      </c>
      <c r="S8" s="1758">
        <f t="shared" si="0"/>
        <v>0</v>
      </c>
      <c r="T8" s="463" t="s">
        <v>14</v>
      </c>
      <c r="U8" s="1758">
        <f t="shared" si="1"/>
        <v>0</v>
      </c>
      <c r="V8" s="463" t="s">
        <v>14</v>
      </c>
      <c r="W8" s="1758">
        <f t="shared" si="2"/>
        <v>0</v>
      </c>
      <c r="X8" s="1759"/>
      <c r="Y8" s="3234" t="s">
        <v>1911</v>
      </c>
      <c r="Z8" s="3235"/>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8" t="s">
        <v>1919</v>
      </c>
      <c r="Q15" s="1803" t="str">
        <f t="shared" si="6"/>
        <v>办公集聚程度</v>
      </c>
      <c r="R15" s="1804" t="s">
        <v>14</v>
      </c>
      <c r="S15" s="1805">
        <f t="shared" si="0"/>
        <v>100</v>
      </c>
      <c r="T15" s="1804" t="s">
        <v>14</v>
      </c>
      <c r="U15" s="1805">
        <f t="shared" si="1"/>
        <v>100</v>
      </c>
      <c r="V15" s="1804" t="s">
        <v>14</v>
      </c>
      <c r="W15" s="1805">
        <f t="shared" si="2"/>
        <v>100</v>
      </c>
      <c r="X15" s="1743"/>
      <c r="Y15" s="320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9"/>
      <c r="Q22" s="1803"/>
      <c r="R22" s="1804"/>
      <c r="S22" s="1805"/>
      <c r="T22" s="1804"/>
      <c r="U22" s="1805"/>
      <c r="V22" s="1804"/>
      <c r="W22" s="1805"/>
      <c r="X22" s="1743"/>
      <c r="Y22" s="320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9"/>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9"/>
      <c r="Q25" s="1803" t="str">
        <f>B25</f>
        <v>毗邻道路的类型与等级</v>
      </c>
      <c r="R25" s="1804" t="s">
        <v>14</v>
      </c>
      <c r="S25" s="1805">
        <f>F25</f>
        <v>100</v>
      </c>
      <c r="T25" s="1804" t="s">
        <v>14</v>
      </c>
      <c r="U25" s="1805">
        <f>H25</f>
        <v>100</v>
      </c>
      <c r="V25" s="1804" t="s">
        <v>14</v>
      </c>
      <c r="W25" s="1805">
        <f>J25</f>
        <v>100</v>
      </c>
      <c r="X25" s="1743"/>
      <c r="Y25" s="320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9"/>
      <c r="Q26" s="1803"/>
      <c r="R26" s="1804"/>
      <c r="S26" s="1805"/>
      <c r="T26" s="1804"/>
      <c r="U26" s="1805"/>
      <c r="V26" s="1804"/>
      <c r="W26" s="1805"/>
      <c r="X26" s="1743"/>
      <c r="Y26" s="320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9"/>
      <c r="Q27" s="1803" t="str">
        <f t="shared" ref="Q27:Q47" si="11">B27</f>
        <v>楼层</v>
      </c>
      <c r="R27" s="1804" t="s">
        <v>14</v>
      </c>
      <c r="S27" s="1805">
        <f>F27</f>
        <v>100</v>
      </c>
      <c r="T27" s="1804" t="s">
        <v>14</v>
      </c>
      <c r="U27" s="1805">
        <f>H27</f>
        <v>100</v>
      </c>
      <c r="V27" s="1804" t="s">
        <v>14</v>
      </c>
      <c r="W27" s="1805">
        <f>J27</f>
        <v>100</v>
      </c>
      <c r="X27" s="1743"/>
      <c r="Y27" s="320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9"/>
      <c r="Q28" s="1769" t="str">
        <f t="shared" si="11"/>
        <v>朝向</v>
      </c>
      <c r="R28" s="463" t="s">
        <v>14</v>
      </c>
      <c r="S28" s="1758">
        <f>F28</f>
        <v>100</v>
      </c>
      <c r="T28" s="463" t="s">
        <v>14</v>
      </c>
      <c r="U28" s="1758">
        <f>H28</f>
        <v>100</v>
      </c>
      <c r="V28" s="463" t="s">
        <v>14</v>
      </c>
      <c r="W28" s="1758">
        <f>J28</f>
        <v>100</v>
      </c>
      <c r="X28" s="1759"/>
      <c r="Y28" s="320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9"/>
      <c r="Q32" s="1803">
        <f t="shared" si="11"/>
        <v>111</v>
      </c>
      <c r="R32" s="1804" t="s">
        <v>14</v>
      </c>
      <c r="S32" s="1805">
        <f t="shared" si="12"/>
        <v>100</v>
      </c>
      <c r="T32" s="1804" t="s">
        <v>14</v>
      </c>
      <c r="U32" s="1805">
        <f t="shared" si="13"/>
        <v>100</v>
      </c>
      <c r="V32" s="1804" t="s">
        <v>14</v>
      </c>
      <c r="W32" s="1805">
        <f t="shared" si="14"/>
        <v>100</v>
      </c>
      <c r="X32" s="1743"/>
      <c r="Y32" s="320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3" t="s">
        <v>1924</v>
      </c>
      <c r="Q33" s="1803" t="str">
        <f t="shared" si="11"/>
        <v>建筑类型</v>
      </c>
      <c r="R33" s="1804" t="s">
        <v>14</v>
      </c>
      <c r="S33" s="1805">
        <f t="shared" si="12"/>
        <v>100</v>
      </c>
      <c r="T33" s="1804" t="s">
        <v>14</v>
      </c>
      <c r="U33" s="1805">
        <f t="shared" si="13"/>
        <v>100</v>
      </c>
      <c r="V33" s="1804" t="s">
        <v>14</v>
      </c>
      <c r="W33" s="1805">
        <f t="shared" si="14"/>
        <v>100</v>
      </c>
      <c r="X33" s="1743"/>
      <c r="Y33" s="320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4"/>
      <c r="Q34" s="1839" t="str">
        <f t="shared" si="11"/>
        <v>项目建筑规模</v>
      </c>
      <c r="R34" s="1840" t="s">
        <v>14</v>
      </c>
      <c r="S34" s="1841" t="e">
        <f t="shared" si="12"/>
        <v>#N/A</v>
      </c>
      <c r="T34" s="1840" t="s">
        <v>14</v>
      </c>
      <c r="U34" s="1841" t="e">
        <f t="shared" si="13"/>
        <v>#N/A</v>
      </c>
      <c r="V34" s="1840" t="s">
        <v>14</v>
      </c>
      <c r="W34" s="1841" t="e">
        <f t="shared" si="14"/>
        <v>#N/A</v>
      </c>
      <c r="X34" s="1842"/>
      <c r="Y34" s="320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4"/>
      <c r="Q35" s="1803" t="str">
        <f t="shared" si="11"/>
        <v>建筑结构</v>
      </c>
      <c r="R35" s="1804" t="s">
        <v>14</v>
      </c>
      <c r="S35" s="1805">
        <f t="shared" si="12"/>
        <v>100</v>
      </c>
      <c r="T35" s="1804" t="s">
        <v>14</v>
      </c>
      <c r="U35" s="1805">
        <f t="shared" si="13"/>
        <v>100</v>
      </c>
      <c r="V35" s="1804" t="s">
        <v>14</v>
      </c>
      <c r="W35" s="1805">
        <f t="shared" si="14"/>
        <v>100</v>
      </c>
      <c r="X35" s="1743"/>
      <c r="Y35" s="320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4"/>
      <c r="Q36" s="1803" t="str">
        <f t="shared" si="11"/>
        <v>公共部分装修</v>
      </c>
      <c r="R36" s="1804" t="s">
        <v>14</v>
      </c>
      <c r="S36" s="1805">
        <f t="shared" si="12"/>
        <v>100</v>
      </c>
      <c r="T36" s="1804" t="s">
        <v>14</v>
      </c>
      <c r="U36" s="1805">
        <f t="shared" si="13"/>
        <v>100</v>
      </c>
      <c r="V36" s="1804" t="s">
        <v>14</v>
      </c>
      <c r="W36" s="1805">
        <f t="shared" si="14"/>
        <v>100</v>
      </c>
      <c r="X36" s="1743"/>
      <c r="Y36" s="320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4"/>
      <c r="Q37" s="1803" t="str">
        <f t="shared" si="11"/>
        <v>成新度</v>
      </c>
      <c r="R37" s="1804" t="s">
        <v>14</v>
      </c>
      <c r="S37" s="1805" t="e">
        <f t="shared" si="12"/>
        <v>#N/A</v>
      </c>
      <c r="T37" s="1804" t="s">
        <v>14</v>
      </c>
      <c r="U37" s="1805" t="e">
        <f t="shared" si="13"/>
        <v>#N/A</v>
      </c>
      <c r="V37" s="1804" t="s">
        <v>14</v>
      </c>
      <c r="W37" s="1805" t="e">
        <f t="shared" si="14"/>
        <v>#N/A</v>
      </c>
      <c r="X37" s="1743"/>
      <c r="Y37" s="320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4"/>
      <c r="Q38" s="1769" t="str">
        <f t="shared" si="11"/>
        <v>写字楼等级</v>
      </c>
      <c r="R38" s="463" t="s">
        <v>14</v>
      </c>
      <c r="S38" s="1758">
        <f t="shared" si="12"/>
        <v>100</v>
      </c>
      <c r="T38" s="463" t="s">
        <v>14</v>
      </c>
      <c r="U38" s="1758">
        <f t="shared" si="13"/>
        <v>100</v>
      </c>
      <c r="V38" s="463" t="s">
        <v>14</v>
      </c>
      <c r="W38" s="1758">
        <f t="shared" si="14"/>
        <v>100</v>
      </c>
      <c r="X38" s="1759"/>
      <c r="Y38" s="320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4" t="s">
        <v>1924</v>
      </c>
      <c r="Q39" s="1803" t="str">
        <f t="shared" si="11"/>
        <v>物业管理</v>
      </c>
      <c r="R39" s="1804" t="s">
        <v>14</v>
      </c>
      <c r="S39" s="1805">
        <f t="shared" si="12"/>
        <v>100</v>
      </c>
      <c r="T39" s="1804" t="s">
        <v>14</v>
      </c>
      <c r="U39" s="1805">
        <f t="shared" si="13"/>
        <v>100</v>
      </c>
      <c r="V39" s="1804" t="s">
        <v>14</v>
      </c>
      <c r="W39" s="1805">
        <f t="shared" si="14"/>
        <v>100</v>
      </c>
      <c r="X39" s="1743"/>
      <c r="Y39" s="320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4"/>
      <c r="Q40" s="1803" t="str">
        <f t="shared" si="11"/>
        <v>市政基础设施</v>
      </c>
      <c r="R40" s="1804" t="s">
        <v>14</v>
      </c>
      <c r="S40" s="1805">
        <f t="shared" si="12"/>
        <v>100</v>
      </c>
      <c r="T40" s="1804" t="s">
        <v>14</v>
      </c>
      <c r="U40" s="1805">
        <f t="shared" si="13"/>
        <v>100</v>
      </c>
      <c r="V40" s="1804" t="s">
        <v>14</v>
      </c>
      <c r="W40" s="1805">
        <f t="shared" si="14"/>
        <v>100</v>
      </c>
      <c r="X40" s="1743"/>
      <c r="Y40" s="320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4"/>
      <c r="Q41" s="1803" t="str">
        <f t="shared" si="11"/>
        <v>层高</v>
      </c>
      <c r="R41" s="1804" t="s">
        <v>14</v>
      </c>
      <c r="S41" s="1805">
        <f t="shared" si="12"/>
        <v>100</v>
      </c>
      <c r="T41" s="1804" t="s">
        <v>14</v>
      </c>
      <c r="U41" s="1805">
        <f t="shared" si="13"/>
        <v>100</v>
      </c>
      <c r="V41" s="1804" t="s">
        <v>14</v>
      </c>
      <c r="W41" s="1805">
        <f t="shared" si="14"/>
        <v>100</v>
      </c>
      <c r="X41" s="1743"/>
      <c r="Y41" s="320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4"/>
      <c r="Q42" s="1839" t="str">
        <f t="shared" si="11"/>
        <v>单套建筑面积</v>
      </c>
      <c r="R42" s="1840" t="s">
        <v>14</v>
      </c>
      <c r="S42" s="1841">
        <f t="shared" si="12"/>
        <v>100</v>
      </c>
      <c r="T42" s="1840" t="s">
        <v>14</v>
      </c>
      <c r="U42" s="1841">
        <f t="shared" si="13"/>
        <v>100</v>
      </c>
      <c r="V42" s="1840" t="s">
        <v>14</v>
      </c>
      <c r="W42" s="1841">
        <f t="shared" si="14"/>
        <v>100</v>
      </c>
      <c r="X42" s="1842"/>
      <c r="Y42" s="320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4"/>
      <c r="Q43" s="1803" t="str">
        <f t="shared" si="11"/>
        <v>内部装修</v>
      </c>
      <c r="R43" s="1804" t="s">
        <v>14</v>
      </c>
      <c r="S43" s="1805">
        <f t="shared" si="12"/>
        <v>100</v>
      </c>
      <c r="T43" s="1804" t="s">
        <v>14</v>
      </c>
      <c r="U43" s="1805">
        <f t="shared" si="13"/>
        <v>100</v>
      </c>
      <c r="V43" s="1804" t="s">
        <v>14</v>
      </c>
      <c r="W43" s="1805">
        <f t="shared" si="14"/>
        <v>100</v>
      </c>
      <c r="X43" s="1743"/>
      <c r="Y43" s="320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4"/>
      <c r="Q44" s="1803" t="str">
        <f t="shared" si="11"/>
        <v>内部装修维护情况</v>
      </c>
      <c r="R44" s="1804" t="s">
        <v>14</v>
      </c>
      <c r="S44" s="1805">
        <f t="shared" si="12"/>
        <v>100</v>
      </c>
      <c r="T44" s="1804" t="s">
        <v>14</v>
      </c>
      <c r="U44" s="1805">
        <f t="shared" si="13"/>
        <v>100</v>
      </c>
      <c r="V44" s="1804" t="s">
        <v>14</v>
      </c>
      <c r="W44" s="1805">
        <f t="shared" si="14"/>
        <v>100</v>
      </c>
      <c r="X44" s="1743"/>
      <c r="Y44" s="320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4"/>
      <c r="Q45" s="1769">
        <f t="shared" si="11"/>
        <v>111</v>
      </c>
      <c r="R45" s="463" t="s">
        <v>14</v>
      </c>
      <c r="S45" s="1758">
        <f t="shared" si="12"/>
        <v>100</v>
      </c>
      <c r="T45" s="463" t="s">
        <v>14</v>
      </c>
      <c r="U45" s="1758">
        <f t="shared" si="13"/>
        <v>100</v>
      </c>
      <c r="V45" s="463" t="s">
        <v>14</v>
      </c>
      <c r="W45" s="1758">
        <f t="shared" si="14"/>
        <v>100</v>
      </c>
      <c r="X45" s="1759"/>
      <c r="Y45" s="320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5"/>
      <c r="Q47" s="1803">
        <f t="shared" si="11"/>
        <v>111</v>
      </c>
      <c r="R47" s="1804" t="s">
        <v>14</v>
      </c>
      <c r="S47" s="1805">
        <f t="shared" si="12"/>
        <v>100</v>
      </c>
      <c r="T47" s="1804" t="s">
        <v>14</v>
      </c>
      <c r="U47" s="1805">
        <f t="shared" si="13"/>
        <v>100</v>
      </c>
      <c r="V47" s="1804" t="s">
        <v>14</v>
      </c>
      <c r="W47" s="1805">
        <f t="shared" si="14"/>
        <v>100</v>
      </c>
      <c r="X47" s="1743"/>
      <c r="Y47" s="320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0" t="str">
        <f>A48</f>
        <v>成交单价（元/平方米）</v>
      </c>
      <c r="Q48" s="3199"/>
      <c r="R48" s="3200">
        <f>E48</f>
        <v>0</v>
      </c>
      <c r="S48" s="3200"/>
      <c r="T48" s="3200">
        <f>G48</f>
        <v>0</v>
      </c>
      <c r="U48" s="3200"/>
      <c r="V48" s="3200">
        <f>I48</f>
        <v>0</v>
      </c>
      <c r="W48" s="3200"/>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1" t="str">
        <f>A50</f>
        <v>估价对象XX用房的比较价值（楼面单价，元/平方米）</v>
      </c>
      <c r="Q50" s="3242"/>
      <c r="R50" s="3243" t="e">
        <f>IF(F1="售价",ROUND(IF(D49="简单平均",AVERAGE(R49:V49),R49*F49+T49*H49+V49*J49),0),ROUND(IF(D49="简单平均",AVERAGE(R49:V49),R49*F49+T49*H49+V49*J49),1))</f>
        <v>#DIV/0!</v>
      </c>
      <c r="S50" s="3243"/>
      <c r="T50" s="3243"/>
      <c r="U50" s="3243"/>
      <c r="V50" s="3243"/>
      <c r="W50" s="3243"/>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2022-12</v>
      </c>
      <c r="D59" s="1890">
        <f>EDATE(C59,-1)</f>
        <v>44866</v>
      </c>
      <c r="E59" s="1890">
        <f>EDATE(D59,-1)</f>
        <v>44835</v>
      </c>
      <c r="F59" s="1890">
        <f t="shared" ref="F59:O59" si="16">EDATE(E59,-1)</f>
        <v>44805</v>
      </c>
      <c r="G59" s="1890">
        <f t="shared" si="16"/>
        <v>44774</v>
      </c>
      <c r="H59" s="1890">
        <f t="shared" si="16"/>
        <v>44743</v>
      </c>
      <c r="I59" s="1890">
        <f t="shared" si="16"/>
        <v>44713</v>
      </c>
      <c r="J59" s="1890">
        <f t="shared" si="16"/>
        <v>44682</v>
      </c>
      <c r="K59" s="1890">
        <f t="shared" si="16"/>
        <v>44652</v>
      </c>
      <c r="L59" s="1890">
        <f t="shared" si="16"/>
        <v>44621</v>
      </c>
      <c r="M59" s="1890">
        <f t="shared" si="16"/>
        <v>44593</v>
      </c>
      <c r="N59" s="1890">
        <f t="shared" si="16"/>
        <v>44562</v>
      </c>
      <c r="O59" s="1890">
        <f t="shared" si="16"/>
        <v>44531</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246055.22499999998</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2108"/>
      <c r="M5" s="2109"/>
      <c r="N5" s="2109"/>
      <c r="O5" s="2109"/>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2108"/>
      <c r="M6" s="2109"/>
      <c r="N6" s="2109"/>
      <c r="O6" s="2109"/>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44900</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2"/>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2"/>
      <c r="Q18" s="1803"/>
      <c r="R18" s="1804"/>
      <c r="S18" s="1805"/>
      <c r="T18" s="1804"/>
      <c r="U18" s="1805"/>
      <c r="V18" s="1804"/>
      <c r="W18" s="1805"/>
      <c r="X18" s="1743"/>
      <c r="Y18" s="320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2"/>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2"/>
      <c r="Q20" s="1803"/>
      <c r="R20" s="1804"/>
      <c r="S20" s="1805"/>
      <c r="T20" s="1804"/>
      <c r="U20" s="1805"/>
      <c r="V20" s="1804"/>
      <c r="W20" s="1805"/>
      <c r="X20" s="1743"/>
      <c r="Y20" s="320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2"/>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2"/>
      <c r="Q22" s="1803"/>
      <c r="R22" s="1804"/>
      <c r="S22" s="1805"/>
      <c r="T22" s="1804"/>
      <c r="U22" s="1805"/>
      <c r="V22" s="1804"/>
      <c r="W22" s="1805"/>
      <c r="X22" s="1743"/>
      <c r="Y22" s="320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2"/>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2"/>
      <c r="Q24" s="1803"/>
      <c r="R24" s="1804"/>
      <c r="S24" s="1805"/>
      <c r="T24" s="1804"/>
      <c r="U24" s="1805"/>
      <c r="V24" s="1804"/>
      <c r="W24" s="1805"/>
      <c r="X24" s="1743"/>
      <c r="Y24" s="320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2"/>
      <c r="Q25" s="1803">
        <f>B25</f>
        <v>111</v>
      </c>
      <c r="R25" s="1804" t="s">
        <v>14</v>
      </c>
      <c r="S25" s="1805">
        <f>F25</f>
        <v>100</v>
      </c>
      <c r="T25" s="1804" t="s">
        <v>14</v>
      </c>
      <c r="U25" s="1805">
        <f>H25</f>
        <v>100</v>
      </c>
      <c r="V25" s="1804" t="s">
        <v>14</v>
      </c>
      <c r="W25" s="1805">
        <f>J25</f>
        <v>100</v>
      </c>
      <c r="X25" s="1743"/>
      <c r="Y25" s="320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2"/>
      <c r="Q26" s="1803">
        <f t="shared" ref="Q26:Q40" si="11">B26</f>
        <v>111</v>
      </c>
      <c r="R26" s="1804" t="s">
        <v>14</v>
      </c>
      <c r="S26" s="1805">
        <f>F26</f>
        <v>100</v>
      </c>
      <c r="T26" s="1804" t="s">
        <v>14</v>
      </c>
      <c r="U26" s="1805">
        <f>H26</f>
        <v>100</v>
      </c>
      <c r="V26" s="1804" t="s">
        <v>14</v>
      </c>
      <c r="W26" s="1805">
        <f>J26</f>
        <v>100</v>
      </c>
      <c r="X26" s="1743"/>
      <c r="Y26" s="320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2"/>
      <c r="Q27" s="1769">
        <f t="shared" si="11"/>
        <v>111</v>
      </c>
      <c r="R27" s="463" t="s">
        <v>14</v>
      </c>
      <c r="S27" s="1758">
        <f>F27</f>
        <v>100</v>
      </c>
      <c r="T27" s="463" t="s">
        <v>14</v>
      </c>
      <c r="U27" s="1758">
        <f>H27</f>
        <v>100</v>
      </c>
      <c r="V27" s="463" t="s">
        <v>14</v>
      </c>
      <c r="W27" s="1758">
        <f>J27</f>
        <v>100</v>
      </c>
      <c r="X27" s="1759"/>
      <c r="Y27" s="320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2"/>
      <c r="Z28" s="1806">
        <f t="shared" ref="Z28:Z40" si="15">Q28</f>
        <v>111</v>
      </c>
      <c r="AA28" s="1806">
        <f t="shared" si="3"/>
        <v>1</v>
      </c>
      <c r="AB28" s="1806">
        <f t="shared" si="4"/>
        <v>1</v>
      </c>
      <c r="AC28" s="1806">
        <f t="shared" si="5"/>
        <v>1</v>
      </c>
    </row>
    <row r="29" spans="1:29" ht="29.2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0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6"/>
      <c r="Q30" s="1839" t="str">
        <f t="shared" si="11"/>
        <v>项目建筑规模</v>
      </c>
      <c r="R30" s="1840" t="s">
        <v>14</v>
      </c>
      <c r="S30" s="1841" t="e">
        <f t="shared" si="12"/>
        <v>#N/A</v>
      </c>
      <c r="T30" s="1840" t="s">
        <v>14</v>
      </c>
      <c r="U30" s="1841" t="e">
        <f t="shared" si="13"/>
        <v>#N/A</v>
      </c>
      <c r="V30" s="1840" t="s">
        <v>14</v>
      </c>
      <c r="W30" s="1841" t="e">
        <f t="shared" si="14"/>
        <v>#N/A</v>
      </c>
      <c r="X30" s="1842"/>
      <c r="Y30" s="320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6"/>
      <c r="Q31" s="1803" t="str">
        <f t="shared" si="11"/>
        <v>建筑结构</v>
      </c>
      <c r="R31" s="1804" t="s">
        <v>14</v>
      </c>
      <c r="S31" s="1805">
        <f t="shared" si="12"/>
        <v>100</v>
      </c>
      <c r="T31" s="1804" t="s">
        <v>14</v>
      </c>
      <c r="U31" s="1805">
        <f t="shared" si="13"/>
        <v>100</v>
      </c>
      <c r="V31" s="1804" t="s">
        <v>14</v>
      </c>
      <c r="W31" s="1805">
        <f t="shared" si="14"/>
        <v>100</v>
      </c>
      <c r="X31" s="1743"/>
      <c r="Y31" s="320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6"/>
      <c r="Q32" s="1803" t="str">
        <f t="shared" si="11"/>
        <v>公共部分装修</v>
      </c>
      <c r="R32" s="1804" t="s">
        <v>14</v>
      </c>
      <c r="S32" s="1805">
        <f t="shared" si="12"/>
        <v>100</v>
      </c>
      <c r="T32" s="1804" t="s">
        <v>14</v>
      </c>
      <c r="U32" s="1805">
        <f t="shared" si="13"/>
        <v>100</v>
      </c>
      <c r="V32" s="1804" t="s">
        <v>14</v>
      </c>
      <c r="W32" s="1805">
        <f t="shared" si="14"/>
        <v>100</v>
      </c>
      <c r="X32" s="1743"/>
      <c r="Y32" s="320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6"/>
      <c r="Q33" s="1803" t="str">
        <f t="shared" si="11"/>
        <v>成新度</v>
      </c>
      <c r="R33" s="1804" t="s">
        <v>14</v>
      </c>
      <c r="S33" s="1805" t="e">
        <f t="shared" si="12"/>
        <v>#N/A</v>
      </c>
      <c r="T33" s="1804" t="s">
        <v>14</v>
      </c>
      <c r="U33" s="1805" t="e">
        <f t="shared" si="13"/>
        <v>#N/A</v>
      </c>
      <c r="V33" s="1804" t="s">
        <v>14</v>
      </c>
      <c r="W33" s="1805" t="e">
        <f t="shared" si="14"/>
        <v>#N/A</v>
      </c>
      <c r="X33" s="1743"/>
      <c r="Y33" s="320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6"/>
      <c r="Q34" s="1769" t="str">
        <f t="shared" si="11"/>
        <v>物业管理</v>
      </c>
      <c r="R34" s="463" t="s">
        <v>14</v>
      </c>
      <c r="S34" s="1758">
        <f t="shared" si="12"/>
        <v>100</v>
      </c>
      <c r="T34" s="463" t="s">
        <v>14</v>
      </c>
      <c r="U34" s="1758">
        <f t="shared" si="13"/>
        <v>100</v>
      </c>
      <c r="V34" s="463" t="s">
        <v>14</v>
      </c>
      <c r="W34" s="1758">
        <f t="shared" si="14"/>
        <v>100</v>
      </c>
      <c r="X34" s="1759"/>
      <c r="Y34" s="320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6" t="s">
        <v>1924</v>
      </c>
      <c r="Q35" s="1803" t="str">
        <f t="shared" si="11"/>
        <v>市政基础设施</v>
      </c>
      <c r="R35" s="1804" t="s">
        <v>14</v>
      </c>
      <c r="S35" s="1805">
        <f t="shared" si="12"/>
        <v>100</v>
      </c>
      <c r="T35" s="1804" t="s">
        <v>14</v>
      </c>
      <c r="U35" s="1805">
        <f t="shared" si="13"/>
        <v>100</v>
      </c>
      <c r="V35" s="1804" t="s">
        <v>14</v>
      </c>
      <c r="W35" s="1805">
        <f t="shared" si="14"/>
        <v>100</v>
      </c>
      <c r="X35" s="1743"/>
      <c r="Y35" s="320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6"/>
      <c r="Q36" s="1803" t="str">
        <f t="shared" si="11"/>
        <v>内部装修</v>
      </c>
      <c r="R36" s="1804" t="s">
        <v>14</v>
      </c>
      <c r="S36" s="1805">
        <f t="shared" si="12"/>
        <v>100</v>
      </c>
      <c r="T36" s="1804" t="s">
        <v>14</v>
      </c>
      <c r="U36" s="1805">
        <f t="shared" si="13"/>
        <v>100</v>
      </c>
      <c r="V36" s="1804" t="s">
        <v>14</v>
      </c>
      <c r="W36" s="1805">
        <f t="shared" si="14"/>
        <v>100</v>
      </c>
      <c r="X36" s="1743"/>
      <c r="Y36" s="320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6"/>
      <c r="Q37" s="1803" t="str">
        <f t="shared" si="11"/>
        <v>内部装修状况</v>
      </c>
      <c r="R37" s="1804" t="s">
        <v>14</v>
      </c>
      <c r="S37" s="1805">
        <f t="shared" si="12"/>
        <v>100</v>
      </c>
      <c r="T37" s="1804" t="s">
        <v>14</v>
      </c>
      <c r="U37" s="1805">
        <f t="shared" si="13"/>
        <v>100</v>
      </c>
      <c r="V37" s="1804" t="s">
        <v>14</v>
      </c>
      <c r="W37" s="1805">
        <f t="shared" si="14"/>
        <v>100</v>
      </c>
      <c r="X37" s="1743"/>
      <c r="Y37" s="320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6"/>
      <c r="Q38" s="1839">
        <f t="shared" si="11"/>
        <v>111</v>
      </c>
      <c r="R38" s="1840" t="s">
        <v>14</v>
      </c>
      <c r="S38" s="1841">
        <f t="shared" si="12"/>
        <v>100</v>
      </c>
      <c r="T38" s="1840" t="s">
        <v>14</v>
      </c>
      <c r="U38" s="1841">
        <f t="shared" si="13"/>
        <v>100</v>
      </c>
      <c r="V38" s="1840" t="s">
        <v>14</v>
      </c>
      <c r="W38" s="1841">
        <f t="shared" si="14"/>
        <v>100</v>
      </c>
      <c r="X38" s="1842"/>
      <c r="Y38" s="320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6"/>
      <c r="Q39" s="1803">
        <f t="shared" si="11"/>
        <v>111</v>
      </c>
      <c r="R39" s="1804" t="s">
        <v>14</v>
      </c>
      <c r="S39" s="1805">
        <f t="shared" si="12"/>
        <v>100</v>
      </c>
      <c r="T39" s="1804" t="s">
        <v>14</v>
      </c>
      <c r="U39" s="1805">
        <f t="shared" si="13"/>
        <v>100</v>
      </c>
      <c r="V39" s="1804" t="s">
        <v>14</v>
      </c>
      <c r="W39" s="1805">
        <f t="shared" si="14"/>
        <v>100</v>
      </c>
      <c r="X39" s="1743"/>
      <c r="Y39" s="320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7"/>
      <c r="Q40" s="1803">
        <f t="shared" si="11"/>
        <v>111</v>
      </c>
      <c r="R40" s="1804" t="s">
        <v>14</v>
      </c>
      <c r="S40" s="1805">
        <f t="shared" si="12"/>
        <v>100</v>
      </c>
      <c r="T40" s="1804" t="s">
        <v>14</v>
      </c>
      <c r="U40" s="1805">
        <f t="shared" si="13"/>
        <v>100</v>
      </c>
      <c r="V40" s="1804" t="s">
        <v>14</v>
      </c>
      <c r="W40" s="1805">
        <f t="shared" si="14"/>
        <v>100</v>
      </c>
      <c r="X40" s="1743"/>
      <c r="Y40" s="320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9" t="str">
        <f>A41</f>
        <v>成交单价（元/平方米）</v>
      </c>
      <c r="Q41" s="3199"/>
      <c r="R41" s="3200">
        <f>E41</f>
        <v>0</v>
      </c>
      <c r="S41" s="3200"/>
      <c r="T41" s="3200">
        <f>G41</f>
        <v>0</v>
      </c>
      <c r="U41" s="3200"/>
      <c r="V41" s="3200">
        <f>I41</f>
        <v>0</v>
      </c>
      <c r="W41" s="3200"/>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6" t="str">
        <f>A43</f>
        <v>估价对象XX用房的比较价值（楼面单价，元/平方米）</v>
      </c>
      <c r="Q43" s="3197"/>
      <c r="R43" s="3198" t="e">
        <f>IF(F1="售价",ROUND(IF(D42="简单平均",AVERAGE(R42:V42),R42*F42+T42*H42+V42*J42),0),ROUND(IF(D42="简单平均",AVERAGE(R42:V42),R42*F42+T42*H42+V42*J42),1))</f>
        <v>#DIV/0!</v>
      </c>
      <c r="S43" s="3198"/>
      <c r="T43" s="3198"/>
      <c r="U43" s="3198"/>
      <c r="V43" s="3198"/>
      <c r="W43" s="3198"/>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2022-12</v>
      </c>
      <c r="D52" s="1890">
        <f>EDATE(C52,-1)</f>
        <v>44866</v>
      </c>
      <c r="E52" s="1890">
        <f t="shared" ref="E52:O52" si="16">EDATE(D52,-1)</f>
        <v>44835</v>
      </c>
      <c r="F52" s="1890">
        <f t="shared" si="16"/>
        <v>44805</v>
      </c>
      <c r="G52" s="1890">
        <f t="shared" si="16"/>
        <v>44774</v>
      </c>
      <c r="H52" s="1890">
        <f t="shared" si="16"/>
        <v>44743</v>
      </c>
      <c r="I52" s="1890">
        <f t="shared" si="16"/>
        <v>44713</v>
      </c>
      <c r="J52" s="1890">
        <f t="shared" si="16"/>
        <v>44682</v>
      </c>
      <c r="K52" s="1890">
        <f t="shared" si="16"/>
        <v>44652</v>
      </c>
      <c r="L52" s="1890">
        <f t="shared" si="16"/>
        <v>44621</v>
      </c>
      <c r="M52" s="1890">
        <f t="shared" si="16"/>
        <v>44593</v>
      </c>
      <c r="N52" s="1890">
        <f t="shared" si="16"/>
        <v>44562</v>
      </c>
      <c r="O52" s="1890">
        <f t="shared" si="16"/>
        <v>44531</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44900</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2"/>
      <c r="Q15" s="1803"/>
      <c r="R15" s="1804"/>
      <c r="S15" s="1805"/>
      <c r="T15" s="1804"/>
      <c r="U15" s="1805"/>
      <c r="V15" s="1804"/>
      <c r="W15" s="1805"/>
      <c r="X15" s="1743"/>
      <c r="Y15" s="320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2"/>
      <c r="Q17" s="1803"/>
      <c r="R17" s="1804"/>
      <c r="S17" s="1805"/>
      <c r="T17" s="1804"/>
      <c r="U17" s="1805"/>
      <c r="V17" s="1804"/>
      <c r="W17" s="1805"/>
      <c r="X17" s="1743"/>
      <c r="Y17" s="320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2"/>
      <c r="Q19" s="1803"/>
      <c r="R19" s="1804"/>
      <c r="S19" s="1805"/>
      <c r="T19" s="1804"/>
      <c r="U19" s="1805"/>
      <c r="V19" s="1804"/>
      <c r="W19" s="1805"/>
      <c r="X19" s="1743"/>
      <c r="Y19" s="320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2"/>
      <c r="Q21" s="1803"/>
      <c r="R21" s="1804"/>
      <c r="S21" s="1805"/>
      <c r="T21" s="1804"/>
      <c r="U21" s="1805"/>
      <c r="V21" s="1804"/>
      <c r="W21" s="1805"/>
      <c r="X21" s="1743"/>
      <c r="Y21" s="320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2"/>
      <c r="Q24" s="1803">
        <f t="shared" ref="Q24:Q36"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9.2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6"/>
      <c r="Q27" s="1839" t="str">
        <f t="shared" si="11"/>
        <v>项目停车位配比</v>
      </c>
      <c r="R27" s="1840" t="s">
        <v>14</v>
      </c>
      <c r="S27" s="1841">
        <f t="shared" si="12"/>
        <v>100</v>
      </c>
      <c r="T27" s="1840" t="s">
        <v>14</v>
      </c>
      <c r="U27" s="1841">
        <f t="shared" si="13"/>
        <v>100</v>
      </c>
      <c r="V27" s="1840" t="s">
        <v>14</v>
      </c>
      <c r="W27" s="1841">
        <f t="shared" si="14"/>
        <v>100</v>
      </c>
      <c r="X27" s="1842"/>
      <c r="Y27" s="320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6"/>
      <c r="Q28" s="1803" t="str">
        <f t="shared" si="11"/>
        <v>公共部分装修</v>
      </c>
      <c r="R28" s="1804" t="s">
        <v>14</v>
      </c>
      <c r="S28" s="1805">
        <f t="shared" si="12"/>
        <v>100</v>
      </c>
      <c r="T28" s="1804" t="s">
        <v>14</v>
      </c>
      <c r="U28" s="1805">
        <f t="shared" si="13"/>
        <v>100</v>
      </c>
      <c r="V28" s="1804" t="s">
        <v>14</v>
      </c>
      <c r="W28" s="1805">
        <f t="shared" si="14"/>
        <v>100</v>
      </c>
      <c r="X28" s="1743"/>
      <c r="Y28" s="320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6"/>
      <c r="Q29" s="1803" t="str">
        <f t="shared" si="11"/>
        <v>成新率</v>
      </c>
      <c r="R29" s="1804" t="s">
        <v>14</v>
      </c>
      <c r="S29" s="1805" t="e">
        <f t="shared" si="12"/>
        <v>#N/A</v>
      </c>
      <c r="T29" s="1804" t="s">
        <v>14</v>
      </c>
      <c r="U29" s="1805" t="e">
        <f t="shared" si="13"/>
        <v>#N/A</v>
      </c>
      <c r="V29" s="1804" t="s">
        <v>14</v>
      </c>
      <c r="W29" s="1805" t="e">
        <f t="shared" si="14"/>
        <v>#N/A</v>
      </c>
      <c r="X29" s="1743"/>
      <c r="Y29" s="320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6"/>
      <c r="Q30" s="1803" t="str">
        <f t="shared" si="11"/>
        <v>物业等级</v>
      </c>
      <c r="R30" s="1804" t="s">
        <v>14</v>
      </c>
      <c r="S30" s="1805">
        <f t="shared" si="12"/>
        <v>100</v>
      </c>
      <c r="T30" s="1804" t="s">
        <v>14</v>
      </c>
      <c r="U30" s="1805">
        <f t="shared" si="13"/>
        <v>100</v>
      </c>
      <c r="V30" s="1804" t="s">
        <v>14</v>
      </c>
      <c r="W30" s="1805">
        <f t="shared" si="14"/>
        <v>100</v>
      </c>
      <c r="X30" s="1743"/>
      <c r="Y30" s="320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6"/>
      <c r="Q31" s="1769" t="str">
        <f t="shared" si="11"/>
        <v>停车位面积</v>
      </c>
      <c r="R31" s="463" t="s">
        <v>14</v>
      </c>
      <c r="S31" s="1758" t="e">
        <f t="shared" si="12"/>
        <v>#N/A</v>
      </c>
      <c r="T31" s="463" t="s">
        <v>14</v>
      </c>
      <c r="U31" s="1758" t="e">
        <f t="shared" si="13"/>
        <v>#N/A</v>
      </c>
      <c r="V31" s="463" t="s">
        <v>14</v>
      </c>
      <c r="W31" s="1758" t="e">
        <f t="shared" si="14"/>
        <v>#N/A</v>
      </c>
      <c r="X31" s="1759"/>
      <c r="Y31" s="320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6" t="s">
        <v>1924</v>
      </c>
      <c r="Q32" s="1803" t="str">
        <f t="shared" si="11"/>
        <v>车位类型</v>
      </c>
      <c r="R32" s="1804" t="s">
        <v>14</v>
      </c>
      <c r="S32" s="1805">
        <f t="shared" si="12"/>
        <v>100</v>
      </c>
      <c r="T32" s="1804" t="s">
        <v>14</v>
      </c>
      <c r="U32" s="1805">
        <f t="shared" si="13"/>
        <v>100</v>
      </c>
      <c r="V32" s="1804" t="s">
        <v>14</v>
      </c>
      <c r="W32" s="1805">
        <f t="shared" si="14"/>
        <v>100</v>
      </c>
      <c r="X32" s="1743"/>
      <c r="Y32" s="320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6"/>
      <c r="Q33" s="1803" t="str">
        <f t="shared" si="11"/>
        <v>是否直接入户</v>
      </c>
      <c r="R33" s="1804" t="s">
        <v>14</v>
      </c>
      <c r="S33" s="1805">
        <f t="shared" si="12"/>
        <v>100</v>
      </c>
      <c r="T33" s="1804" t="s">
        <v>14</v>
      </c>
      <c r="U33" s="1805">
        <f t="shared" si="13"/>
        <v>100</v>
      </c>
      <c r="V33" s="1804" t="s">
        <v>14</v>
      </c>
      <c r="W33" s="1805">
        <f t="shared" si="14"/>
        <v>100</v>
      </c>
      <c r="X33" s="1743"/>
      <c r="Y33" s="320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6"/>
      <c r="Q35" s="1839">
        <f t="shared" si="11"/>
        <v>111</v>
      </c>
      <c r="R35" s="1840" t="s">
        <v>14</v>
      </c>
      <c r="S35" s="1841">
        <f t="shared" si="12"/>
        <v>100</v>
      </c>
      <c r="T35" s="1840" t="s">
        <v>14</v>
      </c>
      <c r="U35" s="1841">
        <f t="shared" si="13"/>
        <v>100</v>
      </c>
      <c r="V35" s="1840" t="s">
        <v>14</v>
      </c>
      <c r="W35" s="1841">
        <f t="shared" si="14"/>
        <v>100</v>
      </c>
      <c r="X35" s="1842"/>
      <c r="Y35" s="320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6"/>
      <c r="Q36" s="1803">
        <f t="shared" si="11"/>
        <v>111</v>
      </c>
      <c r="R36" s="1804" t="s">
        <v>14</v>
      </c>
      <c r="S36" s="1805">
        <f t="shared" si="12"/>
        <v>100</v>
      </c>
      <c r="T36" s="1804" t="s">
        <v>14</v>
      </c>
      <c r="U36" s="1805">
        <f t="shared" si="13"/>
        <v>100</v>
      </c>
      <c r="V36" s="1804" t="s">
        <v>14</v>
      </c>
      <c r="W36" s="1805">
        <f t="shared" si="14"/>
        <v>100</v>
      </c>
      <c r="X36" s="1743"/>
      <c r="Y36" s="320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9" t="str">
        <f>A37</f>
        <v>成交单价</v>
      </c>
      <c r="Q37" s="3199"/>
      <c r="R37" s="3200">
        <f>E37</f>
        <v>0</v>
      </c>
      <c r="S37" s="3200"/>
      <c r="T37" s="3200">
        <f>G37</f>
        <v>0</v>
      </c>
      <c r="U37" s="3200"/>
      <c r="V37" s="3200">
        <f>I37</f>
        <v>0</v>
      </c>
      <c r="W37" s="3200"/>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6" t="str">
        <f>A39</f>
        <v>估价对象XX用房的比较价值（楼面单价，元/平方米）</v>
      </c>
      <c r="Q39" s="3197"/>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2022-12</v>
      </c>
      <c r="D48" s="1890">
        <f>EDATE(C48,-1)</f>
        <v>44866</v>
      </c>
      <c r="E48" s="1890">
        <f t="shared" ref="E48:O48" si="16">EDATE(D48,-1)</f>
        <v>44835</v>
      </c>
      <c r="F48" s="1890">
        <f t="shared" si="16"/>
        <v>44805</v>
      </c>
      <c r="G48" s="1890">
        <f t="shared" si="16"/>
        <v>44774</v>
      </c>
      <c r="H48" s="1890">
        <f t="shared" si="16"/>
        <v>44743</v>
      </c>
      <c r="I48" s="1890">
        <f t="shared" si="16"/>
        <v>44713</v>
      </c>
      <c r="J48" s="1890">
        <f t="shared" si="16"/>
        <v>44682</v>
      </c>
      <c r="K48" s="1890">
        <f t="shared" si="16"/>
        <v>44652</v>
      </c>
      <c r="L48" s="1890">
        <f t="shared" si="16"/>
        <v>44621</v>
      </c>
      <c r="M48" s="1890">
        <f t="shared" si="16"/>
        <v>44593</v>
      </c>
      <c r="N48" s="1890">
        <f t="shared" si="16"/>
        <v>44562</v>
      </c>
      <c r="O48" s="1890">
        <f t="shared" si="16"/>
        <v>44531</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估价对象为房地产，为所有。根据《国有土地使用证》[]，估价对象（分摊）出让国有建设用地使用权面积为98422.09平方米，建筑面积为246055.225平方米。</v>
      </c>
    </row>
    <row r="8" spans="1:1" ht="57.75">
      <c r="A8" s="181" t="s">
        <v>1118</v>
      </c>
    </row>
    <row r="9" spans="1:1" ht="18.75">
      <c r="A9" s="180" t="s">
        <v>1119</v>
      </c>
    </row>
    <row r="10" spans="1:1" ht="18">
      <c r="A10" s="1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估价对象为房地产,属开发建设的，该项目尚在开发建设中。根据《国有土地使用证》[]，估价对象（分摊）出让国有建设用地使用权面积为98422.09平方米，规划建筑面积为246055.225平方米。</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2022年12月5日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5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44900</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2"/>
      <c r="Q15" s="1803"/>
      <c r="R15" s="1804"/>
      <c r="S15" s="1805"/>
      <c r="T15" s="1804"/>
      <c r="U15" s="1805"/>
      <c r="V15" s="1804"/>
      <c r="W15" s="1805"/>
      <c r="X15" s="1743"/>
      <c r="Y15" s="320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2"/>
      <c r="Q17" s="1803"/>
      <c r="R17" s="1804"/>
      <c r="S17" s="1805"/>
      <c r="T17" s="1804"/>
      <c r="U17" s="1805"/>
      <c r="V17" s="1804"/>
      <c r="W17" s="1805"/>
      <c r="X17" s="1743"/>
      <c r="Y17" s="320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2"/>
      <c r="Q19" s="1803"/>
      <c r="R19" s="1804"/>
      <c r="S19" s="1805"/>
      <c r="T19" s="1804"/>
      <c r="U19" s="1805"/>
      <c r="V19" s="1804"/>
      <c r="W19" s="1805"/>
      <c r="X19" s="1743"/>
      <c r="Y19" s="320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2"/>
      <c r="Q21" s="1803"/>
      <c r="R21" s="1804"/>
      <c r="S21" s="1805"/>
      <c r="T21" s="1804"/>
      <c r="U21" s="1805"/>
      <c r="V21" s="1804"/>
      <c r="W21" s="1805"/>
      <c r="X21" s="1743"/>
      <c r="Y21" s="320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2"/>
      <c r="Q24" s="1803">
        <f t="shared" ref="Q24:Q34"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9.2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6"/>
      <c r="Q27" s="1839" t="str">
        <f t="shared" si="11"/>
        <v>成新率</v>
      </c>
      <c r="R27" s="1840" t="s">
        <v>14</v>
      </c>
      <c r="S27" s="1841" t="e">
        <f t="shared" si="12"/>
        <v>#N/A</v>
      </c>
      <c r="T27" s="1840" t="s">
        <v>14</v>
      </c>
      <c r="U27" s="1841" t="e">
        <f t="shared" si="13"/>
        <v>#N/A</v>
      </c>
      <c r="V27" s="1840" t="s">
        <v>14</v>
      </c>
      <c r="W27" s="1841" t="e">
        <f t="shared" si="14"/>
        <v>#N/A</v>
      </c>
      <c r="X27" s="1842"/>
      <c r="Y27" s="320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6"/>
      <c r="Q28" s="1803" t="str">
        <f t="shared" si="11"/>
        <v>物业等级</v>
      </c>
      <c r="R28" s="1804" t="s">
        <v>14</v>
      </c>
      <c r="S28" s="1805">
        <f t="shared" si="12"/>
        <v>100</v>
      </c>
      <c r="T28" s="1804" t="s">
        <v>14</v>
      </c>
      <c r="U28" s="1805">
        <f t="shared" si="13"/>
        <v>100</v>
      </c>
      <c r="V28" s="1804" t="s">
        <v>14</v>
      </c>
      <c r="W28" s="1805">
        <f t="shared" si="14"/>
        <v>100</v>
      </c>
      <c r="X28" s="1743"/>
      <c r="Y28" s="320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6"/>
      <c r="Q29" s="1803" t="str">
        <f t="shared" si="11"/>
        <v>有无电梯</v>
      </c>
      <c r="R29" s="1804" t="s">
        <v>14</v>
      </c>
      <c r="S29" s="1805">
        <f t="shared" si="12"/>
        <v>100</v>
      </c>
      <c r="T29" s="1804" t="s">
        <v>14</v>
      </c>
      <c r="U29" s="1805">
        <f t="shared" si="13"/>
        <v>100</v>
      </c>
      <c r="V29" s="1804" t="s">
        <v>14</v>
      </c>
      <c r="W29" s="1805">
        <f t="shared" si="14"/>
        <v>100</v>
      </c>
      <c r="X29" s="1743"/>
      <c r="Y29" s="320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6"/>
      <c r="Q30" s="1803" t="str">
        <f t="shared" si="11"/>
        <v>建筑面积</v>
      </c>
      <c r="R30" s="1804" t="s">
        <v>14</v>
      </c>
      <c r="S30" s="1805" t="e">
        <f t="shared" si="12"/>
        <v>#N/A</v>
      </c>
      <c r="T30" s="1804" t="s">
        <v>14</v>
      </c>
      <c r="U30" s="1805" t="e">
        <f t="shared" si="13"/>
        <v>#N/A</v>
      </c>
      <c r="V30" s="1804" t="s">
        <v>14</v>
      </c>
      <c r="W30" s="1805" t="e">
        <f t="shared" si="14"/>
        <v>#N/A</v>
      </c>
      <c r="X30" s="1743"/>
      <c r="Y30" s="320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6"/>
      <c r="Q31" s="1769" t="str">
        <f t="shared" si="11"/>
        <v>是否封闭</v>
      </c>
      <c r="R31" s="463" t="s">
        <v>14</v>
      </c>
      <c r="S31" s="1758">
        <f t="shared" si="12"/>
        <v>100</v>
      </c>
      <c r="T31" s="463" t="s">
        <v>14</v>
      </c>
      <c r="U31" s="1758">
        <f t="shared" si="13"/>
        <v>100</v>
      </c>
      <c r="V31" s="463" t="s">
        <v>14</v>
      </c>
      <c r="W31" s="1758">
        <f t="shared" si="14"/>
        <v>100</v>
      </c>
      <c r="X31" s="1759"/>
      <c r="Y31" s="320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6" t="s">
        <v>1924</v>
      </c>
      <c r="Q32" s="1803">
        <f t="shared" si="11"/>
        <v>111</v>
      </c>
      <c r="R32" s="1804" t="s">
        <v>14</v>
      </c>
      <c r="S32" s="1805">
        <f t="shared" si="12"/>
        <v>100</v>
      </c>
      <c r="T32" s="1804" t="s">
        <v>14</v>
      </c>
      <c r="U32" s="1805">
        <f t="shared" si="13"/>
        <v>100</v>
      </c>
      <c r="V32" s="1804" t="s">
        <v>14</v>
      </c>
      <c r="W32" s="1805">
        <f t="shared" si="14"/>
        <v>100</v>
      </c>
      <c r="X32" s="1743"/>
      <c r="Y32" s="320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6"/>
      <c r="Q33" s="1803">
        <f t="shared" si="11"/>
        <v>111</v>
      </c>
      <c r="R33" s="1804" t="s">
        <v>14</v>
      </c>
      <c r="S33" s="1805">
        <f t="shared" si="12"/>
        <v>100</v>
      </c>
      <c r="T33" s="1804" t="s">
        <v>14</v>
      </c>
      <c r="U33" s="1805">
        <f t="shared" si="13"/>
        <v>100</v>
      </c>
      <c r="V33" s="1804" t="s">
        <v>14</v>
      </c>
      <c r="W33" s="1805">
        <f t="shared" si="14"/>
        <v>100</v>
      </c>
      <c r="X33" s="1743"/>
      <c r="Y33" s="320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9" t="str">
        <f>A35</f>
        <v>成交单价（元/平方米）</v>
      </c>
      <c r="Q35" s="3199"/>
      <c r="R35" s="3200">
        <f>E35</f>
        <v>0</v>
      </c>
      <c r="S35" s="3200"/>
      <c r="T35" s="3200">
        <f>G35</f>
        <v>0</v>
      </c>
      <c r="U35" s="3200"/>
      <c r="V35" s="3200">
        <f>I35</f>
        <v>0</v>
      </c>
      <c r="W35" s="3200"/>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6" t="str">
        <f>A37</f>
        <v>估价对象XX用房的比较价值（楼面单价，元/平方米）</v>
      </c>
      <c r="Q37" s="3197"/>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2022-12</v>
      </c>
      <c r="D46" s="1890">
        <f>EDATE(C46,-1)</f>
        <v>44866</v>
      </c>
      <c r="E46" s="1890">
        <f t="shared" ref="E46:O46" si="16">EDATE(D46,-1)</f>
        <v>44835</v>
      </c>
      <c r="F46" s="1890">
        <f t="shared" si="16"/>
        <v>44805</v>
      </c>
      <c r="G46" s="1890">
        <f t="shared" si="16"/>
        <v>44774</v>
      </c>
      <c r="H46" s="1890">
        <f t="shared" si="16"/>
        <v>44743</v>
      </c>
      <c r="I46" s="1890">
        <f t="shared" si="16"/>
        <v>44713</v>
      </c>
      <c r="J46" s="1890">
        <f t="shared" si="16"/>
        <v>44682</v>
      </c>
      <c r="K46" s="1890">
        <f t="shared" si="16"/>
        <v>44652</v>
      </c>
      <c r="L46" s="1890">
        <f t="shared" si="16"/>
        <v>44621</v>
      </c>
      <c r="M46" s="1890">
        <f t="shared" si="16"/>
        <v>44593</v>
      </c>
      <c r="N46" s="1890">
        <f t="shared" si="16"/>
        <v>44562</v>
      </c>
      <c r="O46" s="1890">
        <f t="shared" si="16"/>
        <v>44531</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30"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30"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30" s="1760" customFormat="1" ht="15.75" thickBot="1">
      <c r="A7" s="1750" t="s">
        <v>1907</v>
      </c>
      <c r="B7" s="1751"/>
      <c r="C7" s="1752">
        <f>'数据-取费表'!B2</f>
        <v>44900</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9"/>
      <c r="Q12" s="1769" t="str">
        <f t="shared" si="6"/>
        <v>配建</v>
      </c>
      <c r="R12" s="463" t="s">
        <v>14</v>
      </c>
      <c r="S12" s="1758">
        <f t="shared" si="0"/>
        <v>100</v>
      </c>
      <c r="T12" s="463" t="s">
        <v>14</v>
      </c>
      <c r="U12" s="1758">
        <f t="shared" si="1"/>
        <v>100</v>
      </c>
      <c r="V12" s="463" t="s">
        <v>14</v>
      </c>
      <c r="W12" s="1758">
        <f t="shared" si="2"/>
        <v>100</v>
      </c>
      <c r="X12" s="1759"/>
      <c r="Y12" s="3079"/>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1" t="s">
        <v>1919</v>
      </c>
      <c r="Q15" s="1803" t="str">
        <f t="shared" si="6"/>
        <v>居住社区成熟度</v>
      </c>
      <c r="R15" s="1804" t="s">
        <v>14</v>
      </c>
      <c r="S15" s="1805">
        <f t="shared" si="0"/>
        <v>100</v>
      </c>
      <c r="T15" s="1804" t="s">
        <v>14</v>
      </c>
      <c r="U15" s="1805">
        <f t="shared" si="1"/>
        <v>100</v>
      </c>
      <c r="V15" s="1804" t="s">
        <v>14</v>
      </c>
      <c r="W15" s="1805">
        <f t="shared" si="2"/>
        <v>100</v>
      </c>
      <c r="X15" s="1743"/>
      <c r="Y15" s="320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2"/>
      <c r="Q17" s="1803" t="str">
        <f>B17</f>
        <v>商业繁华度</v>
      </c>
      <c r="R17" s="1804" t="s">
        <v>14</v>
      </c>
      <c r="S17" s="1805">
        <f>F17</f>
        <v>100</v>
      </c>
      <c r="T17" s="1804" t="s">
        <v>14</v>
      </c>
      <c r="U17" s="1805">
        <f>H17</f>
        <v>100</v>
      </c>
      <c r="V17" s="1804" t="s">
        <v>14</v>
      </c>
      <c r="W17" s="1805">
        <f>J17</f>
        <v>100</v>
      </c>
      <c r="X17" s="1743"/>
      <c r="Y17" s="320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2"/>
      <c r="Q19" s="1803" t="str">
        <f>B19</f>
        <v>办公集聚程度</v>
      </c>
      <c r="R19" s="1804" t="s">
        <v>14</v>
      </c>
      <c r="S19" s="1805">
        <f>F19</f>
        <v>100</v>
      </c>
      <c r="T19" s="1804" t="s">
        <v>14</v>
      </c>
      <c r="U19" s="1805">
        <f>H19</f>
        <v>100</v>
      </c>
      <c r="V19" s="1804" t="s">
        <v>14</v>
      </c>
      <c r="W19" s="1805">
        <f>J19</f>
        <v>100</v>
      </c>
      <c r="X19" s="1743"/>
      <c r="Y19" s="320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2"/>
      <c r="Q20" s="1803"/>
      <c r="R20" s="1804"/>
      <c r="S20" s="1805"/>
      <c r="T20" s="1804"/>
      <c r="U20" s="1805"/>
      <c r="V20" s="1804"/>
      <c r="W20" s="1805"/>
      <c r="X20" s="1743"/>
      <c r="Y20" s="320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2"/>
      <c r="Q21" s="1803" t="str">
        <f>B21</f>
        <v>交通便捷度</v>
      </c>
      <c r="R21" s="1804" t="s">
        <v>14</v>
      </c>
      <c r="S21" s="1805">
        <f>F21</f>
        <v>100</v>
      </c>
      <c r="T21" s="1804" t="s">
        <v>14</v>
      </c>
      <c r="U21" s="1805">
        <f>H21</f>
        <v>100</v>
      </c>
      <c r="V21" s="1804" t="s">
        <v>14</v>
      </c>
      <c r="W21" s="1805">
        <f>J21</f>
        <v>100</v>
      </c>
      <c r="X21" s="1743"/>
      <c r="Y21" s="320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2"/>
      <c r="Q23" s="1803" t="str">
        <f t="shared" ref="Q23:Q37" si="8">B23</f>
        <v>区域土地利用方向</v>
      </c>
      <c r="R23" s="1804" t="s">
        <v>14</v>
      </c>
      <c r="S23" s="1805">
        <f>F23</f>
        <v>100</v>
      </c>
      <c r="T23" s="1804" t="s">
        <v>14</v>
      </c>
      <c r="U23" s="1805">
        <f>H23</f>
        <v>100</v>
      </c>
      <c r="V23" s="1804" t="s">
        <v>14</v>
      </c>
      <c r="W23" s="1805">
        <f>J23</f>
        <v>100</v>
      </c>
      <c r="X23" s="1743"/>
      <c r="Y23" s="320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2"/>
      <c r="Q24" s="1803"/>
      <c r="R24" s="1804"/>
      <c r="S24" s="1805"/>
      <c r="T24" s="1804"/>
      <c r="U24" s="1805"/>
      <c r="V24" s="1804"/>
      <c r="W24" s="1805"/>
      <c r="X24" s="1743"/>
      <c r="Y24" s="320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2"/>
      <c r="Q25" s="1803" t="str">
        <f t="shared" si="8"/>
        <v>自然及人文环境状况</v>
      </c>
      <c r="R25" s="1804" t="s">
        <v>14</v>
      </c>
      <c r="S25" s="1805">
        <f>F25</f>
        <v>100</v>
      </c>
      <c r="T25" s="1804" t="s">
        <v>14</v>
      </c>
      <c r="U25" s="1805">
        <f>H25</f>
        <v>100</v>
      </c>
      <c r="V25" s="1804" t="s">
        <v>14</v>
      </c>
      <c r="W25" s="1805">
        <f>J25</f>
        <v>100</v>
      </c>
      <c r="X25" s="1743"/>
      <c r="Y25" s="320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2"/>
      <c r="Q26" s="1803"/>
      <c r="R26" s="1804"/>
      <c r="S26" s="1805"/>
      <c r="T26" s="1804"/>
      <c r="U26" s="1805"/>
      <c r="V26" s="1804"/>
      <c r="W26" s="1805"/>
      <c r="X26" s="1743"/>
      <c r="Y26" s="320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2"/>
      <c r="Q27" s="1769" t="str">
        <f t="shared" si="8"/>
        <v>公共配套设施</v>
      </c>
      <c r="R27" s="463" t="s">
        <v>14</v>
      </c>
      <c r="S27" s="1758">
        <f>F27</f>
        <v>100</v>
      </c>
      <c r="T27" s="463" t="s">
        <v>14</v>
      </c>
      <c r="U27" s="1758">
        <f>H27</f>
        <v>100</v>
      </c>
      <c r="V27" s="463" t="s">
        <v>14</v>
      </c>
      <c r="W27" s="1758">
        <f>J27</f>
        <v>100</v>
      </c>
      <c r="X27" s="1759"/>
      <c r="Y27" s="320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2"/>
      <c r="Q28" s="1769"/>
      <c r="R28" s="463"/>
      <c r="S28" s="1758"/>
      <c r="T28" s="463"/>
      <c r="U28" s="1758"/>
      <c r="V28" s="463"/>
      <c r="W28" s="1758"/>
      <c r="X28" s="1759"/>
      <c r="Y28" s="320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2"/>
      <c r="Q29" s="1769" t="str">
        <f t="shared" ref="Q29" si="9">B29</f>
        <v>基础设施水平</v>
      </c>
      <c r="R29" s="463" t="s">
        <v>14</v>
      </c>
      <c r="S29" s="1758">
        <f>F29</f>
        <v>100</v>
      </c>
      <c r="T29" s="463" t="s">
        <v>14</v>
      </c>
      <c r="U29" s="1758">
        <f>H29</f>
        <v>100</v>
      </c>
      <c r="V29" s="463" t="s">
        <v>14</v>
      </c>
      <c r="W29" s="1758">
        <f>J29</f>
        <v>100</v>
      </c>
      <c r="X29" s="1759"/>
      <c r="Y29" s="320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2"/>
      <c r="Q30" s="1769"/>
      <c r="R30" s="463"/>
      <c r="S30" s="1758"/>
      <c r="T30" s="463"/>
      <c r="U30" s="1758"/>
      <c r="V30" s="463"/>
      <c r="W30" s="1758"/>
      <c r="X30" s="1759"/>
      <c r="Y30" s="320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2"/>
      <c r="Q32" s="1803" t="str">
        <f t="shared" si="8"/>
        <v>毗邻道路的类型与等级</v>
      </c>
      <c r="R32" s="1804" t="s">
        <v>14</v>
      </c>
      <c r="S32" s="1805">
        <f t="shared" si="10"/>
        <v>100</v>
      </c>
      <c r="T32" s="1804" t="s">
        <v>14</v>
      </c>
      <c r="U32" s="1805">
        <f t="shared" si="11"/>
        <v>100</v>
      </c>
      <c r="V32" s="1804" t="s">
        <v>14</v>
      </c>
      <c r="W32" s="1805">
        <f t="shared" si="12"/>
        <v>100</v>
      </c>
      <c r="X32" s="1743"/>
      <c r="Y32" s="320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2"/>
      <c r="Q33" s="1803"/>
      <c r="R33" s="1804"/>
      <c r="S33" s="1805"/>
      <c r="T33" s="1804"/>
      <c r="U33" s="1805"/>
      <c r="V33" s="1804"/>
      <c r="W33" s="1805"/>
      <c r="X33" s="1743"/>
      <c r="Y33" s="320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2"/>
      <c r="Q34" s="1803" t="str">
        <f t="shared" si="8"/>
        <v>土地级别</v>
      </c>
      <c r="R34" s="1804" t="s">
        <v>14</v>
      </c>
      <c r="S34" s="1805">
        <f t="shared" si="10"/>
        <v>100</v>
      </c>
      <c r="T34" s="1804" t="s">
        <v>14</v>
      </c>
      <c r="U34" s="1805">
        <f t="shared" si="11"/>
        <v>100</v>
      </c>
      <c r="V34" s="1804" t="s">
        <v>14</v>
      </c>
      <c r="W34" s="1805">
        <f t="shared" si="12"/>
        <v>100</v>
      </c>
      <c r="X34" s="1743"/>
      <c r="Y34" s="320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2"/>
      <c r="Q35" s="1803">
        <f t="shared" si="8"/>
        <v>111</v>
      </c>
      <c r="R35" s="1804" t="s">
        <v>14</v>
      </c>
      <c r="S35" s="1805">
        <f t="shared" si="10"/>
        <v>100</v>
      </c>
      <c r="T35" s="1804" t="s">
        <v>14</v>
      </c>
      <c r="U35" s="1805">
        <f t="shared" si="11"/>
        <v>100</v>
      </c>
      <c r="V35" s="1804" t="s">
        <v>14</v>
      </c>
      <c r="W35" s="1805">
        <f t="shared" si="12"/>
        <v>100</v>
      </c>
      <c r="X35" s="1743"/>
      <c r="Y35" s="320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0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6"/>
      <c r="Q37" s="1803">
        <f t="shared" si="8"/>
        <v>111</v>
      </c>
      <c r="R37" s="1840" t="s">
        <v>14</v>
      </c>
      <c r="S37" s="1841">
        <f t="shared" si="10"/>
        <v>100</v>
      </c>
      <c r="T37" s="1840" t="s">
        <v>14</v>
      </c>
      <c r="U37" s="1841">
        <f t="shared" si="11"/>
        <v>100</v>
      </c>
      <c r="V37" s="1840" t="s">
        <v>14</v>
      </c>
      <c r="W37" s="1841">
        <f t="shared" si="12"/>
        <v>100</v>
      </c>
      <c r="X37" s="1842"/>
      <c r="Y37" s="320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6"/>
      <c r="Q38" s="1803" t="str">
        <f>B38</f>
        <v>宗地面积</v>
      </c>
      <c r="R38" s="1804" t="s">
        <v>14</v>
      </c>
      <c r="S38" s="1805" t="e">
        <f t="shared" si="10"/>
        <v>#N/A</v>
      </c>
      <c r="T38" s="1804" t="s">
        <v>14</v>
      </c>
      <c r="U38" s="1805" t="e">
        <f t="shared" si="11"/>
        <v>#N/A</v>
      </c>
      <c r="V38" s="1804" t="s">
        <v>14</v>
      </c>
      <c r="W38" s="1805" t="e">
        <f t="shared" si="12"/>
        <v>#N/A</v>
      </c>
      <c r="X38" s="1743"/>
      <c r="Y38" s="320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6"/>
      <c r="Q39" s="1803" t="str">
        <f t="shared" ref="Q39:Q45" si="14">B39</f>
        <v>宗地形状</v>
      </c>
      <c r="R39" s="1804" t="s">
        <v>14</v>
      </c>
      <c r="S39" s="1805">
        <f t="shared" si="10"/>
        <v>100</v>
      </c>
      <c r="T39" s="1804" t="s">
        <v>14</v>
      </c>
      <c r="U39" s="1805">
        <f t="shared" si="11"/>
        <v>100</v>
      </c>
      <c r="V39" s="1804" t="s">
        <v>14</v>
      </c>
      <c r="W39" s="1805">
        <f t="shared" si="12"/>
        <v>100</v>
      </c>
      <c r="X39" s="1743"/>
      <c r="Y39" s="320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6"/>
      <c r="Q40" s="1803" t="str">
        <f t="shared" si="14"/>
        <v>临街宽度及深度</v>
      </c>
      <c r="R40" s="1804" t="s">
        <v>14</v>
      </c>
      <c r="S40" s="1805">
        <f t="shared" si="10"/>
        <v>100</v>
      </c>
      <c r="T40" s="1804" t="s">
        <v>14</v>
      </c>
      <c r="U40" s="1805">
        <f t="shared" si="11"/>
        <v>100</v>
      </c>
      <c r="V40" s="1804" t="s">
        <v>14</v>
      </c>
      <c r="W40" s="1805">
        <f t="shared" si="12"/>
        <v>100</v>
      </c>
      <c r="X40" s="1743"/>
      <c r="Y40" s="320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6"/>
      <c r="Q41" s="1803" t="str">
        <f t="shared" si="14"/>
        <v>宗地开发程度</v>
      </c>
      <c r="R41" s="463" t="s">
        <v>14</v>
      </c>
      <c r="S41" s="1758">
        <f t="shared" si="10"/>
        <v>100</v>
      </c>
      <c r="T41" s="463" t="s">
        <v>14</v>
      </c>
      <c r="U41" s="1758">
        <f t="shared" si="11"/>
        <v>100</v>
      </c>
      <c r="V41" s="463" t="s">
        <v>14</v>
      </c>
      <c r="W41" s="1758">
        <f t="shared" si="12"/>
        <v>100</v>
      </c>
      <c r="X41" s="1759"/>
      <c r="Y41" s="320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6" t="s">
        <v>1924</v>
      </c>
      <c r="Q42" s="1803" t="str">
        <f t="shared" si="14"/>
        <v>工程地质条件</v>
      </c>
      <c r="R42" s="1804" t="s">
        <v>14</v>
      </c>
      <c r="S42" s="1805">
        <f t="shared" si="10"/>
        <v>100</v>
      </c>
      <c r="T42" s="1804" t="s">
        <v>14</v>
      </c>
      <c r="U42" s="1805">
        <f t="shared" si="11"/>
        <v>100</v>
      </c>
      <c r="V42" s="1804" t="s">
        <v>14</v>
      </c>
      <c r="W42" s="1805">
        <f t="shared" si="12"/>
        <v>100</v>
      </c>
      <c r="X42" s="1743"/>
      <c r="Y42" s="320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6"/>
      <c r="Q43" s="1803">
        <f t="shared" si="14"/>
        <v>111</v>
      </c>
      <c r="R43" s="1804" t="s">
        <v>14</v>
      </c>
      <c r="S43" s="1805">
        <f t="shared" si="10"/>
        <v>100</v>
      </c>
      <c r="T43" s="1804" t="s">
        <v>14</v>
      </c>
      <c r="U43" s="1805">
        <f t="shared" si="11"/>
        <v>100</v>
      </c>
      <c r="V43" s="1804" t="s">
        <v>14</v>
      </c>
      <c r="W43" s="1805">
        <f t="shared" si="12"/>
        <v>100</v>
      </c>
      <c r="X43" s="1743"/>
      <c r="Y43" s="320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6"/>
      <c r="Q44" s="1803">
        <f t="shared" si="14"/>
        <v>111</v>
      </c>
      <c r="R44" s="1804" t="s">
        <v>14</v>
      </c>
      <c r="S44" s="1805">
        <f t="shared" si="10"/>
        <v>100</v>
      </c>
      <c r="T44" s="1804" t="s">
        <v>14</v>
      </c>
      <c r="U44" s="1805">
        <f t="shared" si="11"/>
        <v>100</v>
      </c>
      <c r="V44" s="1804" t="s">
        <v>14</v>
      </c>
      <c r="W44" s="1805">
        <f t="shared" si="12"/>
        <v>100</v>
      </c>
      <c r="X44" s="1743"/>
      <c r="Y44" s="320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6"/>
      <c r="Q45" s="1803">
        <f t="shared" si="14"/>
        <v>111</v>
      </c>
      <c r="R45" s="1840" t="s">
        <v>14</v>
      </c>
      <c r="S45" s="1841">
        <f t="shared" si="10"/>
        <v>100</v>
      </c>
      <c r="T45" s="1840" t="s">
        <v>14</v>
      </c>
      <c r="U45" s="1841">
        <f t="shared" si="11"/>
        <v>100</v>
      </c>
      <c r="V45" s="1840" t="s">
        <v>14</v>
      </c>
      <c r="W45" s="1841">
        <f t="shared" si="12"/>
        <v>100</v>
      </c>
      <c r="X45" s="1842"/>
      <c r="Y45" s="320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9" t="str">
        <f>A46</f>
        <v>成交单价</v>
      </c>
      <c r="Q46" s="3199"/>
      <c r="R46" s="3200">
        <f>E46</f>
        <v>0</v>
      </c>
      <c r="S46" s="3200"/>
      <c r="T46" s="3200">
        <f>G46</f>
        <v>0</v>
      </c>
      <c r="U46" s="3200"/>
      <c r="V46" s="3200">
        <f>I46</f>
        <v>0</v>
      </c>
      <c r="W46" s="3200"/>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9" t="str">
        <f>A47</f>
        <v>比较价值（元/平方米）</v>
      </c>
      <c r="Q47" s="3199"/>
      <c r="R47" s="3200" t="e">
        <f>ROUND(PRODUCT(R46,AA7:AA45),0)</f>
        <v>#DIV/0!</v>
      </c>
      <c r="S47" s="3200"/>
      <c r="T47" s="3200" t="e">
        <f>ROUND(PRODUCT(T46,AB7:AB45),0)</f>
        <v>#DIV/0!</v>
      </c>
      <c r="U47" s="3200"/>
      <c r="V47" s="3200" t="e">
        <f>ROUND(PRODUCT(V46,AC7:AC45),0)</f>
        <v>#DIV/0!</v>
      </c>
      <c r="W47" s="3200"/>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6" t="str">
        <f>A48</f>
        <v>估价对象XX用房的比较价值（楼面单价，元/平方米）</v>
      </c>
      <c r="Q48" s="3197"/>
      <c r="R48" s="3198" t="e">
        <f>ROUND(IF(D47="简单平均",AVERAGE(R47:W47),R47*F47+T47*H47+V47*J47),0)</f>
        <v>#DIV/0!</v>
      </c>
      <c r="S48" s="3198"/>
      <c r="T48" s="3198"/>
      <c r="U48" s="3198"/>
      <c r="V48" s="3198"/>
      <c r="W48" s="3198"/>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246055.22499999998</v>
      </c>
      <c r="F56" s="1196" t="e">
        <f t="shared" ref="F56:F65" si="15">ROUND(B56*E56/10000,0)</f>
        <v>#DIV/0!</v>
      </c>
      <c r="G56" s="3210"/>
      <c r="H56" s="3199"/>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9"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9"/>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9"/>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0.15</v>
      </c>
      <c r="D63" s="2221">
        <v>0.25</v>
      </c>
      <c r="E63" s="1157">
        <f>'数据-汇总表'!E13</f>
        <v>0</v>
      </c>
      <c r="F63" s="1196" t="e">
        <f t="shared" si="15"/>
        <v>#DIV/0!</v>
      </c>
      <c r="G63" s="2225" t="s">
        <v>2137</v>
      </c>
      <c r="H63" s="2222" t="str">
        <f>IF(G63="商业",项目基本情况!B37,IF(G63="办公",项目基本情况!C37,IF(G63="住宅",项目基本情况!D37,项目基本情况!E37)))</f>
        <v>七级</v>
      </c>
      <c r="I63" s="1236">
        <f>SUMIF(修正!A57:A68,H63,修正!G57:G68)</f>
        <v>0.15</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246055.22499999998</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2022-12-1</v>
      </c>
      <c r="D68" s="1860">
        <f>EDATE(C68,-3)</f>
        <v>44805</v>
      </c>
      <c r="E68" s="1860">
        <f>EDATE(D68,-3)</f>
        <v>44713</v>
      </c>
      <c r="F68" s="1860">
        <f t="shared" ref="F68:O68" si="18">EDATE(E68,-3)</f>
        <v>44621</v>
      </c>
      <c r="G68" s="1860">
        <f t="shared" si="18"/>
        <v>44531</v>
      </c>
      <c r="H68" s="1860">
        <f t="shared" si="18"/>
        <v>44440</v>
      </c>
      <c r="I68" s="1860">
        <f t="shared" si="18"/>
        <v>44348</v>
      </c>
      <c r="J68" s="1860">
        <f t="shared" si="18"/>
        <v>44256</v>
      </c>
      <c r="K68" s="1860">
        <f t="shared" si="18"/>
        <v>44166</v>
      </c>
      <c r="L68" s="1860">
        <f t="shared" si="18"/>
        <v>44075</v>
      </c>
      <c r="M68" s="1860">
        <f t="shared" si="18"/>
        <v>43983</v>
      </c>
      <c r="N68" s="1860">
        <f t="shared" si="18"/>
        <v>43891</v>
      </c>
      <c r="O68" s="1860">
        <f t="shared" si="18"/>
        <v>43800</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北京市平均增长率0.92%</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44900</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2"/>
      <c r="Q19" s="1803" t="str">
        <f t="shared" ref="Q19:Q33" si="8">B19</f>
        <v>区域土地利用方向</v>
      </c>
      <c r="R19" s="1804" t="s">
        <v>14</v>
      </c>
      <c r="S19" s="1805">
        <f>F19</f>
        <v>100</v>
      </c>
      <c r="T19" s="1804" t="s">
        <v>14</v>
      </c>
      <c r="U19" s="1805">
        <f>H19</f>
        <v>100</v>
      </c>
      <c r="V19" s="1804" t="s">
        <v>14</v>
      </c>
      <c r="W19" s="1805">
        <f>J19</f>
        <v>100</v>
      </c>
      <c r="X19" s="1743"/>
      <c r="Y19" s="320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2"/>
      <c r="Q20" s="1803"/>
      <c r="R20" s="1804"/>
      <c r="S20" s="1805"/>
      <c r="T20" s="1804"/>
      <c r="U20" s="1805"/>
      <c r="V20" s="1804"/>
      <c r="W20" s="1805"/>
      <c r="X20" s="1743"/>
      <c r="Y20" s="320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2"/>
      <c r="Q21" s="1803" t="str">
        <f t="shared" si="8"/>
        <v>环境状况</v>
      </c>
      <c r="R21" s="1804" t="s">
        <v>14</v>
      </c>
      <c r="S21" s="1805">
        <f>F21</f>
        <v>100</v>
      </c>
      <c r="T21" s="1804" t="s">
        <v>14</v>
      </c>
      <c r="U21" s="1805">
        <f>H21</f>
        <v>100</v>
      </c>
      <c r="V21" s="1804" t="s">
        <v>14</v>
      </c>
      <c r="W21" s="1805">
        <f>J21</f>
        <v>100</v>
      </c>
      <c r="X21" s="1743"/>
      <c r="Y21" s="320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2"/>
      <c r="Q23" s="1769" t="str">
        <f t="shared" si="8"/>
        <v>公共配套设施</v>
      </c>
      <c r="R23" s="463" t="s">
        <v>14</v>
      </c>
      <c r="S23" s="1758">
        <f>F23</f>
        <v>100</v>
      </c>
      <c r="T23" s="463" t="s">
        <v>14</v>
      </c>
      <c r="U23" s="1758">
        <f>H23</f>
        <v>100</v>
      </c>
      <c r="V23" s="463" t="s">
        <v>14</v>
      </c>
      <c r="W23" s="1758">
        <f>J23</f>
        <v>100</v>
      </c>
      <c r="X23" s="1759"/>
      <c r="Y23" s="320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2"/>
      <c r="Q24" s="1769"/>
      <c r="R24" s="463"/>
      <c r="S24" s="1758"/>
      <c r="T24" s="463"/>
      <c r="U24" s="1758"/>
      <c r="V24" s="463"/>
      <c r="W24" s="1758"/>
      <c r="X24" s="1759"/>
      <c r="Y24" s="320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2"/>
      <c r="Q25" s="1769" t="str">
        <f t="shared" ref="Q25" si="9">B25</f>
        <v>基础设施水平</v>
      </c>
      <c r="R25" s="463" t="s">
        <v>14</v>
      </c>
      <c r="S25" s="1758">
        <f>F25</f>
        <v>100</v>
      </c>
      <c r="T25" s="463" t="s">
        <v>14</v>
      </c>
      <c r="U25" s="1758">
        <f>H25</f>
        <v>100</v>
      </c>
      <c r="V25" s="463" t="s">
        <v>14</v>
      </c>
      <c r="W25" s="1758">
        <f>J25</f>
        <v>100</v>
      </c>
      <c r="X25" s="1759"/>
      <c r="Y25" s="320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2"/>
      <c r="Q26" s="1769"/>
      <c r="R26" s="463"/>
      <c r="S26" s="1758"/>
      <c r="T26" s="463"/>
      <c r="U26" s="1758"/>
      <c r="V26" s="463"/>
      <c r="W26" s="1758"/>
      <c r="X26" s="1759"/>
      <c r="Y26" s="320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2"/>
      <c r="Q28" s="1803" t="str">
        <f t="shared" si="8"/>
        <v>毗邻道路的类型与等级</v>
      </c>
      <c r="R28" s="1804" t="s">
        <v>14</v>
      </c>
      <c r="S28" s="1805">
        <f t="shared" si="10"/>
        <v>100</v>
      </c>
      <c r="T28" s="1804" t="s">
        <v>14</v>
      </c>
      <c r="U28" s="1805">
        <f t="shared" si="11"/>
        <v>100</v>
      </c>
      <c r="V28" s="1804" t="s">
        <v>14</v>
      </c>
      <c r="W28" s="1805">
        <f t="shared" si="12"/>
        <v>100</v>
      </c>
      <c r="X28" s="1743"/>
      <c r="Y28" s="320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2"/>
      <c r="Q29" s="1803"/>
      <c r="R29" s="1804"/>
      <c r="S29" s="1805"/>
      <c r="T29" s="1804"/>
      <c r="U29" s="1805"/>
      <c r="V29" s="1804"/>
      <c r="W29" s="1805"/>
      <c r="X29" s="1743"/>
      <c r="Y29" s="320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2"/>
      <c r="Q30" s="1803" t="str">
        <f t="shared" si="8"/>
        <v>土地级别</v>
      </c>
      <c r="R30" s="1804" t="s">
        <v>14</v>
      </c>
      <c r="S30" s="1805">
        <f t="shared" si="10"/>
        <v>100</v>
      </c>
      <c r="T30" s="1804" t="s">
        <v>14</v>
      </c>
      <c r="U30" s="1805">
        <f t="shared" si="11"/>
        <v>100</v>
      </c>
      <c r="V30" s="1804" t="s">
        <v>14</v>
      </c>
      <c r="W30" s="1805">
        <f t="shared" si="12"/>
        <v>100</v>
      </c>
      <c r="X30" s="1743"/>
      <c r="Y30" s="320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2"/>
      <c r="Q31" s="1803">
        <f t="shared" si="8"/>
        <v>111</v>
      </c>
      <c r="R31" s="1804" t="s">
        <v>14</v>
      </c>
      <c r="S31" s="1805">
        <f t="shared" si="10"/>
        <v>100</v>
      </c>
      <c r="T31" s="1804" t="s">
        <v>14</v>
      </c>
      <c r="U31" s="1805">
        <f t="shared" si="11"/>
        <v>100</v>
      </c>
      <c r="V31" s="1804" t="s">
        <v>14</v>
      </c>
      <c r="W31" s="1805">
        <f t="shared" si="12"/>
        <v>100</v>
      </c>
      <c r="X31" s="1743"/>
      <c r="Y31" s="320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0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6"/>
      <c r="Q33" s="1803">
        <f t="shared" si="8"/>
        <v>111</v>
      </c>
      <c r="R33" s="1840" t="s">
        <v>14</v>
      </c>
      <c r="S33" s="1841">
        <f t="shared" si="10"/>
        <v>100</v>
      </c>
      <c r="T33" s="1840" t="s">
        <v>14</v>
      </c>
      <c r="U33" s="1841">
        <f t="shared" si="11"/>
        <v>100</v>
      </c>
      <c r="V33" s="1840" t="s">
        <v>14</v>
      </c>
      <c r="W33" s="1841">
        <f t="shared" si="12"/>
        <v>100</v>
      </c>
      <c r="X33" s="1842"/>
      <c r="Y33" s="320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6"/>
      <c r="Q34" s="1803" t="str">
        <f>B34</f>
        <v>宗地面积</v>
      </c>
      <c r="R34" s="1804" t="s">
        <v>14</v>
      </c>
      <c r="S34" s="1805" t="e">
        <f t="shared" si="10"/>
        <v>#N/A</v>
      </c>
      <c r="T34" s="1804" t="s">
        <v>14</v>
      </c>
      <c r="U34" s="1805" t="e">
        <f t="shared" si="11"/>
        <v>#N/A</v>
      </c>
      <c r="V34" s="1804" t="s">
        <v>14</v>
      </c>
      <c r="W34" s="1805" t="e">
        <f t="shared" si="12"/>
        <v>#N/A</v>
      </c>
      <c r="X34" s="1743"/>
      <c r="Y34" s="320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6"/>
      <c r="Q35" s="1803" t="str">
        <f t="shared" ref="Q35:Q40" si="14">B35</f>
        <v>宗地形状</v>
      </c>
      <c r="R35" s="1804" t="s">
        <v>14</v>
      </c>
      <c r="S35" s="1805">
        <f t="shared" si="10"/>
        <v>100</v>
      </c>
      <c r="T35" s="1804" t="s">
        <v>14</v>
      </c>
      <c r="U35" s="1805">
        <f t="shared" si="11"/>
        <v>100</v>
      </c>
      <c r="V35" s="1804" t="s">
        <v>14</v>
      </c>
      <c r="W35" s="1805">
        <f t="shared" si="12"/>
        <v>100</v>
      </c>
      <c r="X35" s="1743"/>
      <c r="Y35" s="320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6"/>
      <c r="Q36" s="1803" t="str">
        <f t="shared" si="14"/>
        <v>宗地开发程度</v>
      </c>
      <c r="R36" s="463" t="s">
        <v>14</v>
      </c>
      <c r="S36" s="1758">
        <f t="shared" si="10"/>
        <v>100</v>
      </c>
      <c r="T36" s="463" t="s">
        <v>14</v>
      </c>
      <c r="U36" s="1758">
        <f t="shared" si="11"/>
        <v>100</v>
      </c>
      <c r="V36" s="463" t="s">
        <v>14</v>
      </c>
      <c r="W36" s="1758">
        <f t="shared" si="12"/>
        <v>100</v>
      </c>
      <c r="X36" s="1759"/>
      <c r="Y36" s="320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6" t="s">
        <v>1924</v>
      </c>
      <c r="Q37" s="1803" t="str">
        <f t="shared" si="14"/>
        <v>工程地质条件</v>
      </c>
      <c r="R37" s="1804" t="s">
        <v>14</v>
      </c>
      <c r="S37" s="1805">
        <f t="shared" si="10"/>
        <v>100</v>
      </c>
      <c r="T37" s="1804" t="s">
        <v>14</v>
      </c>
      <c r="U37" s="1805">
        <f t="shared" si="11"/>
        <v>100</v>
      </c>
      <c r="V37" s="1804" t="s">
        <v>14</v>
      </c>
      <c r="W37" s="1805">
        <f t="shared" si="12"/>
        <v>100</v>
      </c>
      <c r="X37" s="1743"/>
      <c r="Y37" s="320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6"/>
      <c r="Q38" s="1803">
        <f t="shared" si="14"/>
        <v>111</v>
      </c>
      <c r="R38" s="1804" t="s">
        <v>14</v>
      </c>
      <c r="S38" s="1805">
        <f t="shared" si="10"/>
        <v>100</v>
      </c>
      <c r="T38" s="1804" t="s">
        <v>14</v>
      </c>
      <c r="U38" s="1805">
        <f t="shared" si="11"/>
        <v>100</v>
      </c>
      <c r="V38" s="1804" t="s">
        <v>14</v>
      </c>
      <c r="W38" s="1805">
        <f t="shared" si="12"/>
        <v>100</v>
      </c>
      <c r="X38" s="1743"/>
      <c r="Y38" s="320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6"/>
      <c r="Q39" s="1803">
        <f t="shared" si="14"/>
        <v>111</v>
      </c>
      <c r="R39" s="1804" t="s">
        <v>14</v>
      </c>
      <c r="S39" s="1805">
        <f t="shared" si="10"/>
        <v>100</v>
      </c>
      <c r="T39" s="1804" t="s">
        <v>14</v>
      </c>
      <c r="U39" s="1805">
        <f t="shared" si="11"/>
        <v>100</v>
      </c>
      <c r="V39" s="1804" t="s">
        <v>14</v>
      </c>
      <c r="W39" s="1805">
        <f t="shared" si="12"/>
        <v>100</v>
      </c>
      <c r="X39" s="1743"/>
      <c r="Y39" s="320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6"/>
      <c r="Q40" s="1803">
        <f t="shared" si="14"/>
        <v>111</v>
      </c>
      <c r="R40" s="1840" t="s">
        <v>14</v>
      </c>
      <c r="S40" s="1841">
        <f t="shared" si="10"/>
        <v>100</v>
      </c>
      <c r="T40" s="1840" t="s">
        <v>14</v>
      </c>
      <c r="U40" s="1841">
        <f t="shared" si="11"/>
        <v>100</v>
      </c>
      <c r="V40" s="1840" t="s">
        <v>14</v>
      </c>
      <c r="W40" s="1841">
        <f t="shared" si="12"/>
        <v>100</v>
      </c>
      <c r="X40" s="1842"/>
      <c r="Y40" s="320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9" t="str">
        <f>A41</f>
        <v>成交单价</v>
      </c>
      <c r="Q41" s="3199"/>
      <c r="R41" s="3200">
        <f>E41</f>
        <v>0</v>
      </c>
      <c r="S41" s="3200"/>
      <c r="T41" s="3200">
        <f>G41</f>
        <v>0</v>
      </c>
      <c r="U41" s="3200"/>
      <c r="V41" s="3200">
        <f>I41</f>
        <v>0</v>
      </c>
      <c r="W41" s="3200"/>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9" t="str">
        <f>A42</f>
        <v>比较价值（元/平方米）</v>
      </c>
      <c r="Q42" s="3199"/>
      <c r="R42" s="3200" t="e">
        <f>ROUND(PRODUCT(R41,AA7:AA40),0)</f>
        <v>#DIV/0!</v>
      </c>
      <c r="S42" s="3200"/>
      <c r="T42" s="3200" t="e">
        <f>ROUND(PRODUCT(T41,AB7:AB40),0)</f>
        <v>#DIV/0!</v>
      </c>
      <c r="U42" s="3200"/>
      <c r="V42" s="3200" t="e">
        <f>ROUND(PRODUCT(V41,AC7:AC40),0)</f>
        <v>#DIV/0!</v>
      </c>
      <c r="W42" s="3200"/>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6" t="str">
        <f>A43</f>
        <v>估价对象XX用房的比较价值（楼面单价，元/平方米）</v>
      </c>
      <c r="Q43" s="3197"/>
      <c r="R43" s="3198" t="e">
        <f>ROUND(IF(D42="简单平均",AVERAGE(R42:W42),R42*F42+T42*H42+V42*J42),0)</f>
        <v>#DIV/0!</v>
      </c>
      <c r="S43" s="3198"/>
      <c r="T43" s="3198"/>
      <c r="U43" s="3198"/>
      <c r="V43" s="3198"/>
      <c r="W43" s="3198"/>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246055.22499999998</v>
      </c>
      <c r="F51" s="2249" t="e">
        <f t="shared" ref="F51:F60" si="15">ROUND(B51*E51/10000,0)</f>
        <v>#DIV/0!</v>
      </c>
      <c r="G51" s="3210"/>
      <c r="H51" s="3199"/>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9"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9"/>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9"/>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0.15</v>
      </c>
      <c r="D58" s="2221">
        <v>0.25</v>
      </c>
      <c r="E58" s="1157">
        <f>'数据-汇总表'!E13</f>
        <v>0</v>
      </c>
      <c r="F58" s="2249" t="e">
        <f t="shared" si="15"/>
        <v>#DIV/0!</v>
      </c>
      <c r="G58" s="2225" t="s">
        <v>2137</v>
      </c>
      <c r="H58" s="2222" t="str">
        <f>IF(G58="商业",项目基本情况!B37,IF(G58="办公",项目基本情况!C37,IF(G58="住宅",项目基本情况!D37,项目基本情况!E37)))</f>
        <v>七级</v>
      </c>
      <c r="I58" s="1235">
        <f>SUMIF(修正!A57:A68,H58,修正!G57:G68)</f>
        <v>0.15</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f>IF(B41="楼面地价",SUM(E51:E60),'数据-汇总表'!D3)</f>
        <v>98422.09</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2022-12-1</v>
      </c>
      <c r="D63" s="1860">
        <f>EDATE(C63,-3)</f>
        <v>44805</v>
      </c>
      <c r="E63" s="1860">
        <f>EDATE(D63,-3)</f>
        <v>44713</v>
      </c>
      <c r="F63" s="1860">
        <f t="shared" ref="F63:O63" si="18">EDATE(E63,-3)</f>
        <v>44621</v>
      </c>
      <c r="G63" s="1860">
        <f t="shared" si="18"/>
        <v>44531</v>
      </c>
      <c r="H63" s="1860">
        <f t="shared" si="18"/>
        <v>44440</v>
      </c>
      <c r="I63" s="1860">
        <f t="shared" si="18"/>
        <v>44348</v>
      </c>
      <c r="J63" s="1860">
        <f t="shared" si="18"/>
        <v>44256</v>
      </c>
      <c r="K63" s="1860">
        <f t="shared" si="18"/>
        <v>44166</v>
      </c>
      <c r="L63" s="1860">
        <f t="shared" si="18"/>
        <v>44075</v>
      </c>
      <c r="M63" s="1860">
        <f t="shared" si="18"/>
        <v>43983</v>
      </c>
      <c r="N63" s="1860">
        <f t="shared" si="18"/>
        <v>43891</v>
      </c>
      <c r="O63" s="1860">
        <f t="shared" si="18"/>
        <v>43800</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A13" zoomScale="85" zoomScaleNormal="80" zoomScaleSheetLayoutView="85" workbookViewId="0">
      <selection activeCell="D33" sqref="D33"/>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0</v>
      </c>
      <c r="C2" s="2266" t="s">
        <v>2172</v>
      </c>
      <c r="D2" s="473" t="s">
        <v>2173</v>
      </c>
      <c r="E2" s="2267" t="s">
        <v>3098</v>
      </c>
      <c r="F2" s="473" t="s">
        <v>2174</v>
      </c>
      <c r="G2" s="473" t="str">
        <f>IF(E2="商业",项目基本情况!B37,IF(E2="办公",项目基本情况!C37,IF(E2="住宅",项目基本情况!D37,IF(E2="工业",项目基本情况!E37,项目基本情况!F37))))</f>
        <v>七级</v>
      </c>
      <c r="H2" s="473" t="s">
        <v>2175</v>
      </c>
      <c r="I2" s="473" t="str">
        <f>IF(E2="商业",项目基本情况!B38,IF(E2="办公",项目基本情况!C38,IF(E2="住宅",项目基本情况!D38,IF(E2="工业",项目基本情况!E38,项目基本情况!F38))))</f>
        <v>Ⅶ-顺3</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19930</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t="e">
        <f>ROUND(B2*10000/D1,0)</f>
        <v>#DIV/0!</v>
      </c>
      <c r="C3" s="2266" t="s">
        <v>2178</v>
      </c>
      <c r="D3" s="473" t="s">
        <v>2179</v>
      </c>
      <c r="E3" s="2267" t="s">
        <v>3099</v>
      </c>
      <c r="F3" s="2270" t="s">
        <v>3102</v>
      </c>
      <c r="G3" s="2271">
        <v>2.5</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15709</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6"/>
      <c r="B4" s="3267"/>
      <c r="C4" s="3267"/>
      <c r="D4" s="3268"/>
      <c r="E4" s="3268"/>
      <c r="F4" s="3268"/>
      <c r="G4" s="3268"/>
      <c r="H4" s="3268"/>
      <c r="I4" s="3268"/>
      <c r="J4" s="3269"/>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13276</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12584</v>
      </c>
      <c r="D5" s="2274">
        <f>ROUND(C6*C17+C20,0)</f>
        <v>11440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11709</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11440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11253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3068</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11440</v>
      </c>
      <c r="N7" s="473">
        <f>SUMPRODUCT((因素修正幅度!B190:B233=I2)*(因素修正幅度!C3:G3=E2)*(因素修正幅度!C190:G233))</f>
        <v>0.125</v>
      </c>
      <c r="O7" s="2259"/>
      <c r="P7" s="2259"/>
      <c r="Q7" s="2259"/>
      <c r="R7" s="477">
        <v>6</v>
      </c>
      <c r="S7" s="2269"/>
      <c r="T7" s="477">
        <f t="shared" si="0"/>
        <v>0</v>
      </c>
      <c r="U7" s="2269"/>
      <c r="V7" s="477">
        <f t="shared" si="1"/>
        <v>0</v>
      </c>
      <c r="W7" s="2293" t="s">
        <v>2193</v>
      </c>
      <c r="X7" s="498" t="str">
        <f>G2</f>
        <v>七级</v>
      </c>
      <c r="Y7" s="498" t="s">
        <v>2194</v>
      </c>
      <c r="Z7" s="498">
        <f>G3</f>
        <v>2.5</v>
      </c>
      <c r="AA7" s="2262"/>
      <c r="AB7" s="2262"/>
      <c r="AC7" s="2262"/>
      <c r="AD7" s="2263"/>
      <c r="AE7" s="2263"/>
      <c r="AF7" s="2263"/>
      <c r="AG7" s="2263"/>
      <c r="AH7" s="2263"/>
      <c r="AI7" s="2263"/>
      <c r="AJ7" s="2264"/>
    </row>
    <row r="8" spans="1:36" ht="25.5">
      <c r="A8" s="2294"/>
      <c r="B8" s="473" t="s">
        <v>2195</v>
      </c>
      <c r="C8" s="2267" t="s">
        <v>3104</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4" t="s">
        <v>2198</v>
      </c>
      <c r="X8" s="326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3070</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3069</v>
      </c>
      <c r="B13" s="2316" t="s">
        <v>2220</v>
      </c>
      <c r="C13" s="480">
        <f>ROUND(C16*D16*E16*F16*G16*H16*I16*J16,4)</f>
        <v>1.1000000000000001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t="s">
        <v>3103</v>
      </c>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1.1000000000000001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3075</v>
      </c>
      <c r="E18" s="2344">
        <v>0</v>
      </c>
      <c r="F18" s="481" t="s">
        <v>3076</v>
      </c>
      <c r="G18" s="481">
        <f>ROUND(1-(1/(POWER(1+G24,E18))),4)</f>
        <v>0</v>
      </c>
      <c r="H18" s="481" t="s">
        <v>3077</v>
      </c>
      <c r="I18" s="481">
        <f>ROUND(1-(1/(POWER(1+G24,J24))),4)</f>
        <v>0.96709999999999996</v>
      </c>
      <c r="J18" s="2345"/>
      <c r="K18" s="2259"/>
      <c r="L18" s="2259">
        <f>SUMPRODUCT(('地价-分区'!A22:A30=YEAR(G23)&amp;"-"&amp;ROUNDUP(MONTH(G23)/3,0))*('地价-分区'!S19:W19=E2)*('地价-分区'!S22:W30))</f>
        <v>1.0467</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3078</v>
      </c>
      <c r="E19" s="2333">
        <v>0</v>
      </c>
      <c r="F19" s="2986" t="s">
        <v>3079</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3071</v>
      </c>
      <c r="B20" s="2980" t="s">
        <v>2233</v>
      </c>
      <c r="C20" s="2980">
        <f>ROUND(IF(F21="与级别开发程度一致",0,(G21-E21)/C21),0)</f>
        <v>0</v>
      </c>
      <c r="D20" s="3270" t="s">
        <v>2237</v>
      </c>
      <c r="E20" s="3271"/>
      <c r="F20" s="3270" t="s">
        <v>2234</v>
      </c>
      <c r="G20" s="3271"/>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3105</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1.0545</v>
      </c>
      <c r="D23" s="2359" t="s">
        <v>2241</v>
      </c>
      <c r="E23" s="2843">
        <v>44197</v>
      </c>
      <c r="F23" s="2359" t="s">
        <v>2242</v>
      </c>
      <c r="G23" s="2842">
        <f>项目基本情况!D3</f>
        <v>44900</v>
      </c>
      <c r="H23" s="2361" t="s">
        <v>3106</v>
      </c>
      <c r="I23" s="2360" t="str">
        <f>IF(H23="季度增幅（自定义）",SUMIF(N25:N28,E2,O25:O28),"")</f>
        <v/>
      </c>
      <c r="J23" s="2982" t="s">
        <v>3090</v>
      </c>
      <c r="K23" s="2346"/>
      <c r="L23" s="2362" t="s">
        <v>2243</v>
      </c>
      <c r="M23" s="488">
        <f>ROUND(SUMIF(地价!B2:G2,E2,地价!B13:G13),0)</f>
        <v>718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0.05</v>
      </c>
      <c r="H24" s="2365" t="s">
        <v>2247</v>
      </c>
      <c r="I24" s="2367">
        <f>项目基本情况!D15</f>
        <v>70</v>
      </c>
      <c r="J24" s="494">
        <f>IF(E2="住宅",70,IF(E2="商业",40,50))</f>
        <v>70</v>
      </c>
      <c r="K24" s="2346"/>
      <c r="L24" s="2368" t="s">
        <v>2248</v>
      </c>
      <c r="M24" s="489">
        <f>ROUND(SUMPRODUCT((地价!A4:A13=YEAR(G23)&amp;"-"&amp;ROUNDUP(MONTH(G23)/3,0))*(地价!B2:G2=E2)*(地价!B4:G13)),0)</f>
        <v>758</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3088</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9.1999999999999998E-3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0</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13270</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3318</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3073</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5"/>
      <c r="B37" s="2439" t="s">
        <v>2275</v>
      </c>
      <c r="C37" s="495">
        <f>ROUND(D5*C22*C23*C24*C28*F37,0)</f>
        <v>7238</v>
      </c>
      <c r="D37" s="2420"/>
      <c r="E37" s="473">
        <f>ROUND(C37*D37/10000,0)</f>
        <v>0</v>
      </c>
      <c r="F37" s="473">
        <f>SUMIF(修正!A57:A68,G2,修正!B57:B68)</f>
        <v>0.6</v>
      </c>
      <c r="G37" s="473">
        <f>ROUND(IF(E2="工业",C37*$M$42,C37*$M$41),0)</f>
        <v>1810</v>
      </c>
      <c r="H37" s="473">
        <f>D37</f>
        <v>0</v>
      </c>
      <c r="I37" s="473">
        <f>ROUND(G37*H37/10000,0)</f>
        <v>0</v>
      </c>
      <c r="J37" s="3277"/>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6"/>
      <c r="B38" s="2321" t="s">
        <v>2276</v>
      </c>
      <c r="C38" s="495">
        <f>ROUND(D5*C22*C23*C24*C28*F38,0)</f>
        <v>3619</v>
      </c>
      <c r="D38" s="2420"/>
      <c r="E38" s="473">
        <f t="shared" ref="E38:E42" si="4">ROUND(C38*D38/10000,0)</f>
        <v>0</v>
      </c>
      <c r="F38" s="473">
        <f>SUMIF(修正!A57:A68,G2,修正!C57:C68)</f>
        <v>0.3</v>
      </c>
      <c r="G38" s="473">
        <f>ROUND(IF(E2="工业",C38*$M$42,C38*$M$41),0)</f>
        <v>905</v>
      </c>
      <c r="H38" s="473">
        <f t="shared" ref="H38:H42" si="5">D38</f>
        <v>0</v>
      </c>
      <c r="I38" s="473">
        <f t="shared" ref="I38:I42" si="6">ROUND(G38*H38/10000,0)</f>
        <v>0</v>
      </c>
      <c r="J38" s="327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6"/>
      <c r="B39" s="2321" t="s">
        <v>2940</v>
      </c>
      <c r="C39" s="495">
        <f>ROUND(D5*C22*C23*C24*C28*F39,0)</f>
        <v>3016</v>
      </c>
      <c r="D39" s="2420"/>
      <c r="E39" s="473">
        <f t="shared" si="4"/>
        <v>0</v>
      </c>
      <c r="F39" s="473">
        <f>SUMIF(修正!A57:A68,G2,修正!D57:D68)</f>
        <v>0.25</v>
      </c>
      <c r="G39" s="473">
        <f>ROUND(IF(E2="工业",C39*$M$42,C39*$M$41),0)</f>
        <v>754</v>
      </c>
      <c r="H39" s="473">
        <f t="shared" si="5"/>
        <v>0</v>
      </c>
      <c r="I39" s="473">
        <f t="shared" si="6"/>
        <v>0</v>
      </c>
      <c r="J39" s="327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3016</v>
      </c>
      <c r="D40" s="2420"/>
      <c r="E40" s="473">
        <f t="shared" si="4"/>
        <v>0</v>
      </c>
      <c r="F40" s="495">
        <f>SUMIF(修正!A57:A68,G2,修正!E57:E68)</f>
        <v>0.25</v>
      </c>
      <c r="G40" s="473">
        <f>ROUND(IF(E2="工业",C40*$M$42,C40*$M$41),0)</f>
        <v>754</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f>IF(E2="住宅",SUMIF(L1:L12,G2,N1:N12),"——")</f>
        <v>0.125</v>
      </c>
      <c r="G73" s="2459"/>
      <c r="H73" s="2460">
        <f t="shared" ref="H73:H81" si="18">IFERROR(ROUNDDOWN($F$73*I73/2,4),"——")</f>
        <v>1.2500000000000001E-2</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f t="shared" si="18"/>
        <v>1.6199999999999999E-2</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f t="shared" si="18"/>
        <v>6.1999999999999998E-3</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f t="shared" si="18"/>
        <v>3.0999999999999999E-3</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f t="shared" si="18"/>
        <v>5.0000000000000001E-3</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f t="shared" si="18"/>
        <v>5.5999999999999999E-3</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f t="shared" si="18"/>
        <v>3.0999999999999999E-3</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f t="shared" si="18"/>
        <v>7.4999999999999997E-3</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f t="shared" si="18"/>
        <v>3.0999999999999999E-3</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2" t="s">
        <v>2311</v>
      </c>
      <c r="B104" s="3272"/>
      <c r="C104" s="3272"/>
      <c r="D104" s="3272"/>
      <c r="E104" s="3272"/>
      <c r="F104" s="3272"/>
      <c r="G104" s="3272"/>
      <c r="H104" s="3272"/>
      <c r="I104" s="3272"/>
      <c r="J104" s="3272"/>
      <c r="K104" s="2479"/>
      <c r="L104" s="2479"/>
      <c r="M104" s="2479"/>
      <c r="N104" s="2479"/>
    </row>
    <row r="105" spans="1:25">
      <c r="A105" s="3274" t="s">
        <v>2312</v>
      </c>
      <c r="B105" s="3274" t="s">
        <v>2313</v>
      </c>
      <c r="C105" s="2422" t="s">
        <v>2314</v>
      </c>
      <c r="D105" s="2423"/>
      <c r="E105" s="2423"/>
      <c r="F105" s="2423"/>
      <c r="G105" s="2423"/>
      <c r="H105" s="2423"/>
      <c r="I105" s="2423"/>
      <c r="J105" s="2480"/>
      <c r="K105" s="2481"/>
      <c r="L105" s="2481"/>
      <c r="M105" s="2481"/>
      <c r="N105" s="2481"/>
    </row>
    <row r="106" spans="1:25">
      <c r="A106" s="3274"/>
      <c r="B106" s="3274"/>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8"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9"/>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9"/>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9"/>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9"/>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9"/>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80"/>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3" t="s">
        <v>2316</v>
      </c>
      <c r="B114" s="3273"/>
      <c r="C114" s="3273"/>
      <c r="D114" s="3273"/>
      <c r="E114" s="3273"/>
      <c r="F114" s="3273"/>
      <c r="G114" s="3273"/>
      <c r="H114" s="3273"/>
      <c r="I114" s="3273"/>
      <c r="J114" s="3273"/>
      <c r="K114" s="2483"/>
      <c r="L114" s="2483"/>
      <c r="M114" s="2483"/>
      <c r="N114" s="2483"/>
    </row>
    <row r="116" spans="1:14" ht="13.5" thickBot="1"/>
    <row r="117" spans="1:14" ht="25.5" thickBot="1">
      <c r="A117" s="2382" t="s">
        <v>2317</v>
      </c>
      <c r="B117" s="2484">
        <f>G3</f>
        <v>2.5</v>
      </c>
      <c r="C117" s="2365" t="s">
        <v>2318</v>
      </c>
      <c r="D117" s="500">
        <f>SUMPRODUCT((A119:A123=F117)*(B118:M118=H117)*B119:M123)</f>
        <v>0.90080000000000005</v>
      </c>
      <c r="E117" s="473" t="s">
        <v>2173</v>
      </c>
      <c r="F117" s="501" t="str">
        <f>E2</f>
        <v>住宅</v>
      </c>
      <c r="G117" s="473" t="s">
        <v>2174</v>
      </c>
      <c r="H117" s="501" t="str">
        <f>G2</f>
        <v>七级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6">I119</f>
        <v>0.80359999999999998</v>
      </c>
      <c r="K119" s="502">
        <f t="shared" si="36"/>
        <v>0.80359999999999998</v>
      </c>
      <c r="L119" s="502">
        <f t="shared" si="36"/>
        <v>0.80359999999999998</v>
      </c>
      <c r="M119" s="504">
        <f t="shared" si="36"/>
        <v>0.80359999999999998</v>
      </c>
    </row>
    <row r="120" spans="1:14">
      <c r="A120" s="2413" t="s">
        <v>2230</v>
      </c>
      <c r="B120" s="502">
        <f>ROUND(0.993-0.0112*B117,4)</f>
        <v>0.96499999999999997</v>
      </c>
      <c r="C120" s="502">
        <f>B120</f>
        <v>0.96499999999999997</v>
      </c>
      <c r="D120" s="502">
        <f>ROUND(0.9415-0.0142*B117,4)</f>
        <v>0.90600000000000003</v>
      </c>
      <c r="E120" s="502">
        <f t="shared" ref="E120:H121" si="37">D120</f>
        <v>0.90600000000000003</v>
      </c>
      <c r="F120" s="502">
        <f t="shared" si="37"/>
        <v>0.90600000000000003</v>
      </c>
      <c r="G120" s="502">
        <f t="shared" si="37"/>
        <v>0.90600000000000003</v>
      </c>
      <c r="H120" s="502">
        <f t="shared" si="37"/>
        <v>0.90600000000000003</v>
      </c>
      <c r="I120" s="502">
        <f>ROUND(0.838-0.0182*B117,4)</f>
        <v>0.79249999999999998</v>
      </c>
      <c r="J120" s="502">
        <f t="shared" si="36"/>
        <v>0.79249999999999998</v>
      </c>
      <c r="K120" s="502">
        <f t="shared" si="36"/>
        <v>0.79249999999999998</v>
      </c>
      <c r="L120" s="502">
        <f t="shared" si="36"/>
        <v>0.79249999999999998</v>
      </c>
      <c r="M120" s="504">
        <f t="shared" si="36"/>
        <v>0.79249999999999998</v>
      </c>
    </row>
    <row r="121" spans="1:14">
      <c r="A121" s="2413" t="s">
        <v>2231</v>
      </c>
      <c r="B121" s="502">
        <f>ROUND(0.9448-0.0115*B117,4)</f>
        <v>0.91610000000000003</v>
      </c>
      <c r="C121" s="502">
        <f>B121</f>
        <v>0.91610000000000003</v>
      </c>
      <c r="D121" s="502">
        <f>ROUND(0.937-0.0145*B117,4)</f>
        <v>0.90080000000000005</v>
      </c>
      <c r="E121" s="502">
        <f t="shared" si="37"/>
        <v>0.90080000000000005</v>
      </c>
      <c r="F121" s="502">
        <f t="shared" si="37"/>
        <v>0.90080000000000005</v>
      </c>
      <c r="G121" s="502">
        <f t="shared" si="37"/>
        <v>0.90080000000000005</v>
      </c>
      <c r="H121" s="502">
        <f t="shared" si="37"/>
        <v>0.90080000000000005</v>
      </c>
      <c r="I121" s="502">
        <f>ROUND(0.7965-0.0185*B117,4)</f>
        <v>0.75029999999999997</v>
      </c>
      <c r="J121" s="502">
        <f t="shared" si="36"/>
        <v>0.75029999999999997</v>
      </c>
      <c r="K121" s="502">
        <f t="shared" si="36"/>
        <v>0.75029999999999997</v>
      </c>
      <c r="L121" s="502">
        <f t="shared" si="36"/>
        <v>0.75029999999999997</v>
      </c>
      <c r="M121" s="504">
        <f t="shared" si="36"/>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6"/>
        <v>0.54300000000000004</v>
      </c>
      <c r="K122" s="503">
        <f t="shared" si="36"/>
        <v>0.54300000000000004</v>
      </c>
      <c r="L122" s="503">
        <f t="shared" si="36"/>
        <v>0.54300000000000004</v>
      </c>
      <c r="M122" s="505">
        <f t="shared" si="36"/>
        <v>0.54300000000000004</v>
      </c>
    </row>
    <row r="123" spans="1:14">
      <c r="A123" s="2492" t="s">
        <v>2901</v>
      </c>
      <c r="B123" s="502">
        <f>ROUND(0.9404-0.0106*B117,4)</f>
        <v>0.91390000000000005</v>
      </c>
      <c r="C123" s="502">
        <f>B123</f>
        <v>0.91390000000000005</v>
      </c>
      <c r="D123" s="502">
        <f>ROUND(0.8955-0.0135*B117,4)</f>
        <v>0.86180000000000001</v>
      </c>
      <c r="E123" s="502">
        <f t="shared" ref="E123" si="38">D123</f>
        <v>0.86180000000000001</v>
      </c>
      <c r="F123" s="502">
        <f t="shared" ref="F123" si="39">E123</f>
        <v>0.86180000000000001</v>
      </c>
      <c r="G123" s="502">
        <f t="shared" ref="G123" si="40">F123</f>
        <v>0.86180000000000001</v>
      </c>
      <c r="H123" s="502">
        <f t="shared" ref="H123" si="41">G123</f>
        <v>0.86180000000000001</v>
      </c>
      <c r="I123" s="502">
        <f>ROUND(0.7632-0.0166*B117,4)</f>
        <v>0.72170000000000001</v>
      </c>
      <c r="J123" s="502">
        <f t="shared" ref="J123" si="42">I123</f>
        <v>0.72170000000000001</v>
      </c>
      <c r="K123" s="502">
        <f t="shared" ref="K123" si="43">J123</f>
        <v>0.72170000000000001</v>
      </c>
      <c r="L123" s="502">
        <f t="shared" ref="L123" si="44">K123</f>
        <v>0.72170000000000001</v>
      </c>
      <c r="M123" s="504">
        <f t="shared" ref="M123" si="45">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sqref="A1:XFD1048576"/>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1" t="s">
        <v>156</v>
      </c>
      <c r="B20" s="3291" t="s">
        <v>2893</v>
      </c>
      <c r="C20" s="2522" t="s">
        <v>2823</v>
      </c>
      <c r="D20" s="2523"/>
      <c r="E20" s="513">
        <v>1</v>
      </c>
      <c r="F20" s="2524" t="s">
        <v>2829</v>
      </c>
      <c r="G20" s="2524"/>
    </row>
    <row r="21" spans="1:13">
      <c r="A21" s="3282"/>
      <c r="B21" s="3286"/>
      <c r="C21" s="2525" t="s">
        <v>2824</v>
      </c>
      <c r="D21" s="2526"/>
      <c r="E21" s="514">
        <v>1</v>
      </c>
      <c r="F21" s="2524" t="s">
        <v>2830</v>
      </c>
      <c r="G21" s="2524"/>
    </row>
    <row r="22" spans="1:13">
      <c r="A22" s="3282"/>
      <c r="B22" s="3286"/>
      <c r="C22" s="2525" t="s">
        <v>2825</v>
      </c>
      <c r="D22" s="2526"/>
      <c r="E22" s="514">
        <v>0.9</v>
      </c>
      <c r="F22" s="2524" t="s">
        <v>2831</v>
      </c>
      <c r="G22" s="2524"/>
    </row>
    <row r="23" spans="1:13">
      <c r="A23" s="3282"/>
      <c r="B23" s="3286"/>
      <c r="C23" s="2525" t="s">
        <v>2826</v>
      </c>
      <c r="D23" s="2526"/>
      <c r="E23" s="514">
        <v>0.9</v>
      </c>
      <c r="F23" s="2524" t="s">
        <v>2832</v>
      </c>
      <c r="G23" s="2524"/>
    </row>
    <row r="24" spans="1:13">
      <c r="A24" s="3282"/>
      <c r="B24" s="3286"/>
      <c r="C24" s="2525" t="s">
        <v>2827</v>
      </c>
      <c r="D24" s="2526"/>
      <c r="E24" s="514">
        <v>0.8</v>
      </c>
      <c r="F24" s="2524" t="s">
        <v>2833</v>
      </c>
      <c r="G24" s="2524"/>
    </row>
    <row r="25" spans="1:13" ht="14.25" thickBot="1">
      <c r="A25" s="3283"/>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6"/>
      <c r="C28" s="2525" t="s">
        <v>2839</v>
      </c>
      <c r="D28" s="2526"/>
      <c r="E28" s="514">
        <v>1</v>
      </c>
      <c r="F28" s="2524" t="s">
        <v>2852</v>
      </c>
      <c r="G28" s="2524"/>
    </row>
    <row r="29" spans="1:13">
      <c r="A29" s="3289"/>
      <c r="B29" s="3286"/>
      <c r="C29" s="2525" t="s">
        <v>2840</v>
      </c>
      <c r="D29" s="2526"/>
      <c r="E29" s="514">
        <v>0.8</v>
      </c>
      <c r="F29" s="2524" t="s">
        <v>2853</v>
      </c>
      <c r="G29" s="2524"/>
    </row>
    <row r="30" spans="1:13">
      <c r="A30" s="3289"/>
      <c r="B30" s="3286"/>
      <c r="C30" s="2525" t="s">
        <v>2841</v>
      </c>
      <c r="D30" s="2526"/>
      <c r="E30" s="514">
        <v>0.8</v>
      </c>
      <c r="F30" s="2524" t="s">
        <v>2854</v>
      </c>
      <c r="G30" s="2524"/>
    </row>
    <row r="31" spans="1:13">
      <c r="A31" s="3289"/>
      <c r="B31" s="3286"/>
      <c r="C31" s="2525" t="s">
        <v>2842</v>
      </c>
      <c r="D31" s="2526"/>
      <c r="E31" s="514">
        <v>0.8</v>
      </c>
      <c r="F31" s="2524" t="s">
        <v>2855</v>
      </c>
      <c r="G31" s="2524"/>
    </row>
    <row r="32" spans="1:13">
      <c r="A32" s="3289"/>
      <c r="B32" s="3286"/>
      <c r="C32" s="2525" t="s">
        <v>2843</v>
      </c>
      <c r="D32" s="2526"/>
      <c r="E32" s="514">
        <v>0.7</v>
      </c>
      <c r="F32" s="2524" t="s">
        <v>2856</v>
      </c>
      <c r="G32" s="2524"/>
    </row>
    <row r="33" spans="1:7">
      <c r="A33" s="3289"/>
      <c r="B33" s="3286"/>
      <c r="C33" s="2525" t="s">
        <v>2844</v>
      </c>
      <c r="D33" s="2526"/>
      <c r="E33" s="514">
        <v>0.8</v>
      </c>
      <c r="F33" s="2524" t="s">
        <v>2857</v>
      </c>
      <c r="G33" s="2524"/>
    </row>
    <row r="34" spans="1:7">
      <c r="A34" s="3289"/>
      <c r="B34" s="3286"/>
      <c r="C34" s="2525" t="s">
        <v>2845</v>
      </c>
      <c r="D34" s="2526"/>
      <c r="E34" s="514">
        <v>0.6</v>
      </c>
      <c r="F34" s="2524" t="s">
        <v>2858</v>
      </c>
      <c r="G34" s="2524"/>
    </row>
    <row r="35" spans="1:7">
      <c r="A35" s="3289"/>
      <c r="B35" s="3286"/>
      <c r="C35" s="2525" t="s">
        <v>2846</v>
      </c>
      <c r="D35" s="2526"/>
      <c r="E35" s="514">
        <v>0.2</v>
      </c>
      <c r="F35" s="2524" t="s">
        <v>2859</v>
      </c>
      <c r="G35" s="2524"/>
    </row>
    <row r="36" spans="1:7">
      <c r="A36" s="3289"/>
      <c r="B36" s="3286"/>
      <c r="C36" s="2525" t="s">
        <v>2847</v>
      </c>
      <c r="D36" s="2526"/>
      <c r="E36" s="514">
        <v>0.2</v>
      </c>
      <c r="F36" s="2524" t="s">
        <v>2860</v>
      </c>
      <c r="G36" s="2524"/>
    </row>
    <row r="37" spans="1:7">
      <c r="A37" s="3289"/>
      <c r="B37" s="3285" t="s">
        <v>2894</v>
      </c>
      <c r="C37" s="2525" t="s">
        <v>2848</v>
      </c>
      <c r="D37" s="2526"/>
      <c r="E37" s="514">
        <v>0.6</v>
      </c>
      <c r="F37" s="2524" t="s">
        <v>2861</v>
      </c>
      <c r="G37" s="2524"/>
    </row>
    <row r="38" spans="1:7">
      <c r="A38" s="3289"/>
      <c r="B38" s="3286"/>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1" t="s">
        <v>158</v>
      </c>
      <c r="B41" s="3291" t="s">
        <v>2890</v>
      </c>
      <c r="C41" s="2522" t="s">
        <v>2866</v>
      </c>
      <c r="D41" s="2523"/>
      <c r="E41" s="513">
        <v>1</v>
      </c>
      <c r="F41" s="2524" t="s">
        <v>2878</v>
      </c>
      <c r="G41" s="2524"/>
    </row>
    <row r="42" spans="1:7">
      <c r="A42" s="3282"/>
      <c r="B42" s="3286"/>
      <c r="C42" s="2525" t="s">
        <v>2867</v>
      </c>
      <c r="D42" s="2526"/>
      <c r="E42" s="514">
        <v>1</v>
      </c>
      <c r="F42" s="2524" t="s">
        <v>2879</v>
      </c>
      <c r="G42" s="2524"/>
    </row>
    <row r="43" spans="1:7">
      <c r="A43" s="3282"/>
      <c r="B43" s="3287"/>
      <c r="C43" s="2525" t="s">
        <v>2868</v>
      </c>
      <c r="D43" s="2526"/>
      <c r="E43" s="514">
        <v>1.5</v>
      </c>
      <c r="F43" s="2524" t="s">
        <v>2880</v>
      </c>
      <c r="G43" s="2524"/>
    </row>
    <row r="44" spans="1:7">
      <c r="A44" s="3282"/>
      <c r="B44" s="517" t="s">
        <v>2891</v>
      </c>
      <c r="C44" s="2525" t="s">
        <v>2889</v>
      </c>
      <c r="D44" s="2526"/>
      <c r="E44" s="514">
        <v>2</v>
      </c>
      <c r="F44" s="2524" t="s">
        <v>2881</v>
      </c>
      <c r="G44" s="2524"/>
    </row>
    <row r="45" spans="1:7">
      <c r="A45" s="3282"/>
      <c r="B45" s="3285" t="s">
        <v>2892</v>
      </c>
      <c r="C45" s="2525" t="s">
        <v>2869</v>
      </c>
      <c r="D45" s="2526"/>
      <c r="E45" s="514">
        <v>1</v>
      </c>
      <c r="F45" s="2524" t="s">
        <v>2882</v>
      </c>
      <c r="G45" s="2524"/>
    </row>
    <row r="46" spans="1:7">
      <c r="A46" s="3282"/>
      <c r="B46" s="3286"/>
      <c r="C46" s="2525" t="s">
        <v>2870</v>
      </c>
      <c r="D46" s="2526"/>
      <c r="E46" s="514">
        <v>1</v>
      </c>
      <c r="F46" s="2524" t="s">
        <v>2883</v>
      </c>
      <c r="G46" s="2524"/>
    </row>
    <row r="47" spans="1:7">
      <c r="A47" s="3282"/>
      <c r="B47" s="3286"/>
      <c r="C47" s="2525" t="s">
        <v>2871</v>
      </c>
      <c r="D47" s="2526"/>
      <c r="E47" s="514">
        <v>1</v>
      </c>
      <c r="F47" s="2524" t="s">
        <v>2884</v>
      </c>
      <c r="G47" s="2524"/>
    </row>
    <row r="48" spans="1:7">
      <c r="A48" s="3282"/>
      <c r="B48" s="3286"/>
      <c r="C48" s="2525" t="s">
        <v>2872</v>
      </c>
      <c r="D48" s="2526"/>
      <c r="E48" s="514">
        <v>1</v>
      </c>
      <c r="F48" s="2524" t="s">
        <v>2885</v>
      </c>
      <c r="G48" s="2524"/>
    </row>
    <row r="49" spans="1:7">
      <c r="A49" s="3282"/>
      <c r="B49" s="3286"/>
      <c r="C49" s="2525" t="s">
        <v>2873</v>
      </c>
      <c r="D49" s="2526"/>
      <c r="E49" s="514">
        <v>1</v>
      </c>
      <c r="F49" s="2524" t="s">
        <v>2886</v>
      </c>
      <c r="G49" s="2524"/>
    </row>
    <row r="50" spans="1:7">
      <c r="A50" s="3282"/>
      <c r="B50" s="3286"/>
      <c r="C50" s="2525" t="s">
        <v>2874</v>
      </c>
      <c r="D50" s="2526"/>
      <c r="E50" s="514">
        <v>1</v>
      </c>
      <c r="F50" s="2524" t="s">
        <v>2887</v>
      </c>
      <c r="G50" s="2524"/>
    </row>
    <row r="51" spans="1:7" ht="14.25" thickBot="1">
      <c r="A51" s="3283"/>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5"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7"/>
      <c r="C89" s="508" t="s">
        <v>2749</v>
      </c>
      <c r="D89" s="508" t="s">
        <v>2750</v>
      </c>
      <c r="E89" s="517">
        <v>0.1</v>
      </c>
      <c r="F89" s="517">
        <v>15</v>
      </c>
    </row>
    <row r="90" spans="1:6">
      <c r="A90" s="517">
        <v>18</v>
      </c>
      <c r="B90" s="3285"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7"/>
      <c r="C106" s="508" t="s">
        <v>2777</v>
      </c>
      <c r="D106" s="508" t="s">
        <v>2778</v>
      </c>
      <c r="E106" s="517">
        <v>0.1</v>
      </c>
      <c r="F106" s="517">
        <v>15</v>
      </c>
    </row>
    <row r="107" spans="1:6" ht="24">
      <c r="A107" s="517">
        <v>35</v>
      </c>
      <c r="B107" s="3285"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7"/>
      <c r="C112" s="517" t="s">
        <v>2786</v>
      </c>
      <c r="D112" s="508" t="s">
        <v>2789</v>
      </c>
      <c r="E112" s="517">
        <v>0.1</v>
      </c>
      <c r="F112" s="517">
        <v>15</v>
      </c>
    </row>
    <row r="113" spans="1:6">
      <c r="A113" s="517">
        <v>41</v>
      </c>
      <c r="B113" s="3284" t="s">
        <v>471</v>
      </c>
      <c r="C113" s="517" t="s">
        <v>472</v>
      </c>
      <c r="D113" s="508" t="s">
        <v>473</v>
      </c>
      <c r="E113" s="517">
        <v>0.1</v>
      </c>
      <c r="F113" s="517">
        <v>15</v>
      </c>
    </row>
    <row r="114" spans="1:6">
      <c r="A114" s="517">
        <v>42</v>
      </c>
      <c r="B114" s="3284"/>
      <c r="C114" s="517" t="s">
        <v>474</v>
      </c>
      <c r="D114" s="508" t="s">
        <v>475</v>
      </c>
      <c r="E114" s="517">
        <v>0.1</v>
      </c>
      <c r="F114" s="517">
        <v>15</v>
      </c>
    </row>
    <row r="115" spans="1:6" ht="24">
      <c r="A115" s="517">
        <v>43</v>
      </c>
      <c r="B115" s="3284"/>
      <c r="C115" s="517" t="s">
        <v>2790</v>
      </c>
      <c r="D115" s="508" t="s">
        <v>2791</v>
      </c>
      <c r="E115" s="517">
        <v>0.1</v>
      </c>
      <c r="F115" s="517">
        <v>15</v>
      </c>
    </row>
    <row r="116" spans="1:6">
      <c r="A116" s="517">
        <v>44</v>
      </c>
      <c r="B116" s="3285" t="s">
        <v>476</v>
      </c>
      <c r="C116" s="517" t="s">
        <v>2792</v>
      </c>
      <c r="D116" s="508" t="s">
        <v>2793</v>
      </c>
      <c r="E116" s="517">
        <v>0.1</v>
      </c>
      <c r="F116" s="517">
        <v>15</v>
      </c>
    </row>
    <row r="117" spans="1:6" ht="24">
      <c r="A117" s="517">
        <v>45</v>
      </c>
      <c r="B117" s="3287"/>
      <c r="C117" s="508" t="s">
        <v>2794</v>
      </c>
      <c r="D117" s="508" t="s">
        <v>2795</v>
      </c>
      <c r="E117" s="517">
        <v>0.1</v>
      </c>
      <c r="F117" s="517">
        <v>15</v>
      </c>
    </row>
    <row r="118" spans="1:6" ht="24">
      <c r="A118" s="517">
        <v>46</v>
      </c>
      <c r="B118" s="3285" t="s">
        <v>477</v>
      </c>
      <c r="C118" s="517" t="s">
        <v>2798</v>
      </c>
      <c r="D118" s="508" t="s">
        <v>2796</v>
      </c>
      <c r="E118" s="517">
        <v>0.1</v>
      </c>
      <c r="F118" s="517">
        <v>15</v>
      </c>
    </row>
    <row r="119" spans="1:6" ht="24">
      <c r="A119" s="517">
        <v>47</v>
      </c>
      <c r="B119" s="3287"/>
      <c r="C119" s="517" t="s">
        <v>2797</v>
      </c>
      <c r="D119" s="508" t="s">
        <v>2799</v>
      </c>
      <c r="E119" s="517">
        <v>0.1</v>
      </c>
      <c r="F119" s="517">
        <v>15</v>
      </c>
    </row>
    <row r="120" spans="1:6">
      <c r="A120" s="517">
        <v>48</v>
      </c>
      <c r="B120" s="3285" t="s">
        <v>478</v>
      </c>
      <c r="C120" s="517" t="s">
        <v>479</v>
      </c>
      <c r="D120" s="508" t="s">
        <v>480</v>
      </c>
      <c r="E120" s="517">
        <v>0.1</v>
      </c>
      <c r="F120" s="517">
        <v>15</v>
      </c>
    </row>
    <row r="121" spans="1:6">
      <c r="A121" s="517">
        <v>49</v>
      </c>
      <c r="B121" s="3287"/>
      <c r="C121" s="517" t="s">
        <v>2800</v>
      </c>
      <c r="D121" s="508" t="s">
        <v>2801</v>
      </c>
      <c r="E121" s="517">
        <v>0.1</v>
      </c>
      <c r="F121" s="517">
        <v>15</v>
      </c>
    </row>
    <row r="122" spans="1:6" ht="24">
      <c r="A122" s="517">
        <v>50</v>
      </c>
      <c r="B122" s="3284" t="s">
        <v>481</v>
      </c>
      <c r="C122" s="517" t="s">
        <v>482</v>
      </c>
      <c r="D122" s="508" t="s">
        <v>483</v>
      </c>
      <c r="E122" s="517">
        <v>0.1</v>
      </c>
      <c r="F122" s="517">
        <v>15</v>
      </c>
    </row>
    <row r="123" spans="1:6" ht="24">
      <c r="A123" s="517">
        <v>51</v>
      </c>
      <c r="B123" s="3284"/>
      <c r="C123" s="517" t="s">
        <v>484</v>
      </c>
      <c r="D123" s="508" t="s">
        <v>485</v>
      </c>
      <c r="E123" s="517">
        <v>0.1</v>
      </c>
      <c r="F123" s="517">
        <v>15</v>
      </c>
    </row>
    <row r="124" spans="1:6" ht="24">
      <c r="A124" s="517">
        <v>52</v>
      </c>
      <c r="B124" s="3284" t="s">
        <v>486</v>
      </c>
      <c r="C124" s="517" t="s">
        <v>487</v>
      </c>
      <c r="D124" s="508" t="s">
        <v>2802</v>
      </c>
      <c r="E124" s="517">
        <v>0.1</v>
      </c>
      <c r="F124" s="517">
        <v>15</v>
      </c>
    </row>
    <row r="125" spans="1:6" ht="24">
      <c r="A125" s="517">
        <v>53</v>
      </c>
      <c r="B125" s="3284"/>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4" t="s">
        <v>494</v>
      </c>
      <c r="C127" s="517" t="s">
        <v>497</v>
      </c>
      <c r="D127" s="508" t="s">
        <v>498</v>
      </c>
      <c r="E127" s="517">
        <v>0.1</v>
      </c>
      <c r="F127" s="517">
        <v>15</v>
      </c>
    </row>
    <row r="128" spans="1:6">
      <c r="A128" s="517">
        <v>56</v>
      </c>
      <c r="B128" s="3284"/>
      <c r="C128" s="517" t="s">
        <v>499</v>
      </c>
      <c r="D128" s="508" t="s">
        <v>500</v>
      </c>
      <c r="E128" s="517">
        <v>0.1</v>
      </c>
      <c r="F128" s="517">
        <v>15</v>
      </c>
    </row>
    <row r="129" spans="1:6" ht="24">
      <c r="A129" s="517">
        <v>57</v>
      </c>
      <c r="B129" s="3284"/>
      <c r="C129" s="517" t="s">
        <v>495</v>
      </c>
      <c r="D129" s="508" t="s">
        <v>496</v>
      </c>
      <c r="E129" s="517">
        <v>0.1</v>
      </c>
      <c r="F129" s="517">
        <v>15</v>
      </c>
    </row>
    <row r="130" spans="1:6" ht="24">
      <c r="A130" s="517">
        <v>58</v>
      </c>
      <c r="B130" s="3284" t="s">
        <v>493</v>
      </c>
      <c r="C130" s="517" t="s">
        <v>2803</v>
      </c>
      <c r="D130" s="508" t="s">
        <v>2804</v>
      </c>
      <c r="E130" s="517">
        <v>0.1</v>
      </c>
      <c r="F130" s="517">
        <v>15</v>
      </c>
    </row>
    <row r="131" spans="1:6">
      <c r="A131" s="517">
        <v>59</v>
      </c>
      <c r="B131" s="3284"/>
      <c r="C131" s="517" t="s">
        <v>2805</v>
      </c>
      <c r="D131" s="508" t="s">
        <v>2806</v>
      </c>
      <c r="E131" s="517">
        <v>0.1</v>
      </c>
      <c r="F131" s="517">
        <v>15</v>
      </c>
    </row>
    <row r="132" spans="1:6">
      <c r="A132" s="517">
        <v>60</v>
      </c>
      <c r="B132" s="3285" t="s">
        <v>504</v>
      </c>
      <c r="C132" s="517" t="s">
        <v>505</v>
      </c>
      <c r="D132" s="508" t="s">
        <v>2809</v>
      </c>
      <c r="E132" s="517">
        <v>0.1</v>
      </c>
      <c r="F132" s="517">
        <v>15</v>
      </c>
    </row>
    <row r="133" spans="1:6">
      <c r="A133" s="517">
        <v>61</v>
      </c>
      <c r="B133" s="3287"/>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4" t="s">
        <v>506</v>
      </c>
      <c r="C135" s="517" t="s">
        <v>507</v>
      </c>
      <c r="D135" s="508" t="s">
        <v>2811</v>
      </c>
      <c r="E135" s="517">
        <v>0.1</v>
      </c>
      <c r="F135" s="517">
        <v>15</v>
      </c>
    </row>
    <row r="136" spans="1:6">
      <c r="A136" s="517">
        <v>64</v>
      </c>
      <c r="B136" s="3284"/>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3072</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0</v>
      </c>
      <c r="C2" s="2543" t="s">
        <v>2332</v>
      </c>
      <c r="D2" s="2543" t="s">
        <v>2333</v>
      </c>
      <c r="E2" s="2544">
        <f ca="1">SUMIF(E6:E13,"&lt;&gt;#ref!",E6:E13)</f>
        <v>0</v>
      </c>
      <c r="F2" s="2542"/>
      <c r="G2" s="2542"/>
      <c r="H2" s="2542"/>
      <c r="I2" s="2542"/>
      <c r="J2" s="2542"/>
      <c r="K2" s="2542"/>
      <c r="L2" s="2542"/>
      <c r="M2" s="2542"/>
      <c r="N2" s="2542"/>
      <c r="O2" s="2542"/>
      <c r="P2" s="2542"/>
    </row>
    <row r="3" spans="1:16" ht="15.75">
      <c r="A3" s="2543" t="s">
        <v>2334</v>
      </c>
      <c r="B3" s="1704" t="e">
        <f ca="1">ROUND(B2*10000/E2,0)</f>
        <v>#DIV/0!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0</v>
      </c>
      <c r="C6" s="2543" t="s">
        <v>2332</v>
      </c>
      <c r="D6" s="2542"/>
      <c r="E6" s="2544">
        <f ca="1">SUMIF(INDIRECT("'"&amp;A6&amp;"'"&amp;"!C:C"),"建筑面积",INDIRECT("'"&amp;A6&amp;"'"&amp;"!D:D"))</f>
        <v>0</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33"/>
  <sheetViews>
    <sheetView zoomScale="70" zoomScaleNormal="70" workbookViewId="0">
      <selection sqref="A1:XFD104857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44900</v>
      </c>
      <c r="B1" s="2748" t="s">
        <v>3084</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3080</v>
      </c>
      <c r="E2" s="2555" t="s">
        <v>3081</v>
      </c>
      <c r="F2" s="2555" t="s">
        <v>3082</v>
      </c>
      <c r="G2" s="2555" t="s">
        <v>514</v>
      </c>
      <c r="H2" s="2555" t="s">
        <v>3083</v>
      </c>
      <c r="I2" s="2555" t="s">
        <v>2710</v>
      </c>
      <c r="J2" s="2558"/>
      <c r="K2" s="2554" t="s">
        <v>3080</v>
      </c>
      <c r="L2" s="2555" t="s">
        <v>3081</v>
      </c>
      <c r="M2" s="2555" t="s">
        <v>3082</v>
      </c>
      <c r="N2" s="2555" t="s">
        <v>514</v>
      </c>
      <c r="O2" s="2555" t="s">
        <v>3083</v>
      </c>
      <c r="P2" s="2555" t="s">
        <v>2710</v>
      </c>
      <c r="Q2" s="2558"/>
      <c r="R2" s="2554" t="s">
        <v>3080</v>
      </c>
      <c r="S2" s="2555" t="s">
        <v>3081</v>
      </c>
      <c r="T2" s="2555" t="s">
        <v>3082</v>
      </c>
      <c r="U2" s="2555" t="s">
        <v>514</v>
      </c>
      <c r="V2" s="2555" t="s">
        <v>3083</v>
      </c>
      <c r="W2" s="2555" t="s">
        <v>2710</v>
      </c>
      <c r="X2" s="2558"/>
      <c r="Y2" s="2554" t="s">
        <v>3080</v>
      </c>
      <c r="Z2" s="2555" t="s">
        <v>3081</v>
      </c>
      <c r="AA2" s="2555" t="s">
        <v>3082</v>
      </c>
      <c r="AB2" s="2555" t="s">
        <v>514</v>
      </c>
      <c r="AC2" s="2555" t="s">
        <v>3083</v>
      </c>
      <c r="AD2" s="2555" t="s">
        <v>2710</v>
      </c>
    </row>
    <row r="3" spans="1:30" s="2860" customFormat="1" ht="12.75">
      <c r="A3" s="2848" t="s">
        <v>2372</v>
      </c>
      <c r="B3" s="2849"/>
      <c r="C3" s="2850"/>
      <c r="D3" s="2850">
        <f>ROUND(AVERAGEIF(D4:D13,"&lt;&gt;0"),2)</f>
        <v>0.84</v>
      </c>
      <c r="E3" s="2850">
        <f t="shared" ref="E3:H3" si="0">ROUND(AVERAGEIF(E4:E13,"&lt;&gt;0"),2)</f>
        <v>0.35</v>
      </c>
      <c r="F3" s="2850">
        <f t="shared" si="0"/>
        <v>0.15</v>
      </c>
      <c r="G3" s="2850">
        <f t="shared" si="0"/>
        <v>0.92</v>
      </c>
      <c r="H3" s="2850">
        <f t="shared" si="0"/>
        <v>0.68</v>
      </c>
      <c r="I3" s="2850">
        <f>F3</f>
        <v>0.15</v>
      </c>
      <c r="J3" s="2851"/>
      <c r="K3" s="2852">
        <f>ROUND(AVERAGEIF(K4:K13,"&lt;&gt;0"),4)</f>
        <v>8.3999999999999995E-3</v>
      </c>
      <c r="L3" s="2853">
        <f t="shared" ref="L3:O3" si="1">ROUND(AVERAGEIF(L4:L13,"&lt;&gt;0"),4)</f>
        <v>3.5000000000000001E-3</v>
      </c>
      <c r="M3" s="2853">
        <f t="shared" si="1"/>
        <v>1.5E-3</v>
      </c>
      <c r="N3" s="2853">
        <f t="shared" si="1"/>
        <v>9.1999999999999998E-3</v>
      </c>
      <c r="O3" s="2853">
        <f t="shared" si="1"/>
        <v>6.7999999999999996E-3</v>
      </c>
      <c r="P3" s="2853">
        <f>M3</f>
        <v>1.5E-3</v>
      </c>
      <c r="Q3" s="2851"/>
      <c r="R3" s="2854">
        <f>ROUND(SUMPRODUCT(PRODUCT(1+K4:K13)),4)</f>
        <v>1.0602</v>
      </c>
      <c r="S3" s="2855">
        <f t="shared" ref="S3:V3" si="2">ROUND(SUMPRODUCT(PRODUCT(1+L4:L13)),4)</f>
        <v>1.0246</v>
      </c>
      <c r="T3" s="2855">
        <f t="shared" si="2"/>
        <v>1.0107999999999999</v>
      </c>
      <c r="U3" s="2855">
        <f t="shared" si="2"/>
        <v>1.0662</v>
      </c>
      <c r="V3" s="2855">
        <f t="shared" si="2"/>
        <v>1.0485</v>
      </c>
      <c r="W3" s="2854">
        <f>T3</f>
        <v>1.0107999999999999</v>
      </c>
      <c r="X3" s="2851"/>
      <c r="Y3" s="2856">
        <f>ROUND(AVERAGEIF(Y5:Y13,"&lt;&gt;0"),4)</f>
        <v>8.8000000000000005E-3</v>
      </c>
      <c r="Z3" s="2857">
        <f t="shared" ref="Z3:AC3" si="3">ROUND(AVERAGEIF(Z5:Z13,"&lt;&gt;0"),4)</f>
        <v>3.5999999999999999E-3</v>
      </c>
      <c r="AA3" s="2858">
        <f t="shared" si="3"/>
        <v>8.0000000000000004E-4</v>
      </c>
      <c r="AB3" s="2856">
        <f t="shared" si="3"/>
        <v>9.5999999999999992E-3</v>
      </c>
      <c r="AC3" s="2859">
        <f t="shared" si="3"/>
        <v>6.1000000000000004E-3</v>
      </c>
      <c r="AD3" s="2856">
        <f>AA3</f>
        <v>8.0000000000000004E-4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3067</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1.05</v>
      </c>
      <c r="S5" s="547">
        <f>ROUND(IF(项目基本情况!B8="出让",SUMPRODUCT(PRODUCT(1+L5:L13)),SUMPRODUCT(PRODUCT(1+L5:L12))),4)</f>
        <v>1.0229999999999999</v>
      </c>
      <c r="T5" s="547">
        <f>ROUND(IF(项目基本情况!B8="出让",SUMPRODUCT(PRODUCT(1+M5:M13)),SUMPRODUCT(PRODUCT(1+M5:M12))),4)</f>
        <v>1.0134000000000001</v>
      </c>
      <c r="U5" s="547">
        <f>ROUND(IF(项目基本情况!B8="出让",SUMPRODUCT(PRODUCT(1+N5:N13)),SUMPRODUCT(PRODUCT(1+N5:N12))),4)</f>
        <v>1.0545</v>
      </c>
      <c r="V5" s="547">
        <f>ROUND(IF(项目基本情况!B8="出让",SUMPRODUCT(PRODUCT(1+O5:O13)),SUMPRODUCT(PRODUCT(1+O5:O12))),4)</f>
        <v>1.0447</v>
      </c>
      <c r="W5" s="547">
        <f>T5</f>
        <v>1.0134000000000001</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3066</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1.05</v>
      </c>
      <c r="S6" s="547">
        <f>ROUND(IF(项目基本情况!B8="出让",SUMPRODUCT(PRODUCT(1+L6:L13)),SUMPRODUCT(PRODUCT(1+L6:L12))),4)</f>
        <v>1.0229999999999999</v>
      </c>
      <c r="T6" s="547">
        <f>ROUND(IF(项目基本情况!B8="出让",SUMPRODUCT(PRODUCT(1+M6:M13)),SUMPRODUCT(PRODUCT(1+M6:M12))),4)</f>
        <v>1.0134000000000001</v>
      </c>
      <c r="U6" s="547">
        <f>ROUND(IF(项目基本情况!B8="出让",SUMPRODUCT(PRODUCT(1+N6:N13)),SUMPRODUCT(PRODUCT(1+N6:N12))),4)</f>
        <v>1.0545</v>
      </c>
      <c r="V6" s="547">
        <f>ROUND(IF(项目基本情况!B8="出让",SUMPRODUCT(PRODUCT(1+O6:O13)),SUMPRODUCT(PRODUCT(1+O6:O12))),4)</f>
        <v>1.0447</v>
      </c>
      <c r="W6" s="547">
        <f t="shared" ref="W6:W13" si="12">T6</f>
        <v>1.0134000000000001</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82" customFormat="1" ht="12.75">
      <c r="A7" s="2580" t="s">
        <v>3093</v>
      </c>
      <c r="B7" s="525">
        <v>2022</v>
      </c>
      <c r="C7" s="526">
        <v>3</v>
      </c>
      <c r="D7" s="527">
        <v>0.66</v>
      </c>
      <c r="E7" s="527">
        <v>0.32</v>
      </c>
      <c r="F7" s="527">
        <v>0.23</v>
      </c>
      <c r="G7" s="527">
        <v>0.72</v>
      </c>
      <c r="H7" s="2750">
        <v>0.63</v>
      </c>
      <c r="I7" s="528">
        <f t="shared" si="4"/>
        <v>0.23</v>
      </c>
      <c r="J7" s="555"/>
      <c r="K7" s="428">
        <f t="shared" si="5"/>
        <v>6.6E-3</v>
      </c>
      <c r="L7" s="429">
        <f t="shared" si="6"/>
        <v>3.2000000000000002E-3</v>
      </c>
      <c r="M7" s="429">
        <f t="shared" ref="M7:O7" si="14">F7/100</f>
        <v>2.3E-3</v>
      </c>
      <c r="N7" s="429">
        <f t="shared" si="14"/>
        <v>7.1999999999999998E-3</v>
      </c>
      <c r="O7" s="429">
        <f t="shared" si="14"/>
        <v>6.3E-3</v>
      </c>
      <c r="P7" s="429">
        <f t="shared" si="11"/>
        <v>2.3E-3</v>
      </c>
      <c r="Q7" s="555"/>
      <c r="R7" s="555">
        <f>ROUND(IF(项目基本情况!B8="出让",SUMPRODUCT(PRODUCT(1+K7:K13)),SUMPRODUCT(PRODUCT(1+K7:K12))),4)</f>
        <v>1.05</v>
      </c>
      <c r="S7" s="555">
        <f>ROUND(IF(项目基本情况!B8="出让",SUMPRODUCT(PRODUCT(1+L7:L13)),SUMPRODUCT(PRODUCT(1+L7:L12))),4)</f>
        <v>1.0229999999999999</v>
      </c>
      <c r="T7" s="555">
        <f>ROUND(IF(项目基本情况!B8="出让",SUMPRODUCT(PRODUCT(1+M7:M13)),SUMPRODUCT(PRODUCT(1+M7:M12))),4)</f>
        <v>1.0134000000000001</v>
      </c>
      <c r="U7" s="555">
        <f>ROUND(IF(项目基本情况!B8="出让",SUMPRODUCT(PRODUCT(1+N7:N13)),SUMPRODUCT(PRODUCT(1+N7:N12))),4)</f>
        <v>1.0545</v>
      </c>
      <c r="V7" s="555">
        <f>ROUND(IF(项目基本情况!B8="出让",SUMPRODUCT(PRODUCT(1+O7:O13)),SUMPRODUCT(PRODUCT(1+O7:O12))),4)</f>
        <v>1.0447</v>
      </c>
      <c r="W7" s="555">
        <f t="shared" si="12"/>
        <v>1.0134000000000001</v>
      </c>
      <c r="X7" s="555"/>
      <c r="Y7" s="429">
        <f>IF(D7=0,0,ROUND(AVERAGE(D7:D13)/100,4))</f>
        <v>8.3999999999999995E-3</v>
      </c>
      <c r="Z7" s="429">
        <f t="shared" ref="Z7:AC7" si="15">IF(E7=0,0,ROUND(AVERAGE(E7:E13)/100,4))</f>
        <v>3.5000000000000001E-3</v>
      </c>
      <c r="AA7" s="429">
        <f t="shared" si="15"/>
        <v>1.5E-3</v>
      </c>
      <c r="AB7" s="429">
        <f t="shared" si="15"/>
        <v>9.1999999999999998E-3</v>
      </c>
      <c r="AC7" s="429">
        <f t="shared" si="15"/>
        <v>6.7999999999999996E-3</v>
      </c>
      <c r="AD7" s="429">
        <f t="shared" si="9"/>
        <v>1.5E-3</v>
      </c>
    </row>
    <row r="8" spans="1:30" s="2577" customFormat="1" ht="12.75">
      <c r="A8" s="2574" t="s">
        <v>3094</v>
      </c>
      <c r="B8" s="2990">
        <v>2022</v>
      </c>
      <c r="C8" s="518">
        <v>2</v>
      </c>
      <c r="D8" s="519">
        <v>0.93</v>
      </c>
      <c r="E8" s="519">
        <v>0.15</v>
      </c>
      <c r="F8" s="519">
        <v>0.01</v>
      </c>
      <c r="G8" s="519">
        <v>1.05</v>
      </c>
      <c r="H8" s="2751">
        <v>1.08</v>
      </c>
      <c r="I8" s="520">
        <f t="shared" si="4"/>
        <v>0.01</v>
      </c>
      <c r="J8" s="2575"/>
      <c r="K8" s="422">
        <f t="shared" si="5"/>
        <v>9.300000000000001E-3</v>
      </c>
      <c r="L8" s="418">
        <f t="shared" si="6"/>
        <v>1.5E-3</v>
      </c>
      <c r="M8" s="418">
        <f t="shared" ref="M8:O8" si="16">F8/100</f>
        <v>1E-4</v>
      </c>
      <c r="N8" s="418">
        <f t="shared" si="16"/>
        <v>1.0500000000000001E-2</v>
      </c>
      <c r="O8" s="418">
        <f t="shared" si="16"/>
        <v>1.0800000000000001E-2</v>
      </c>
      <c r="P8" s="418">
        <f t="shared" si="11"/>
        <v>1E-4</v>
      </c>
      <c r="Q8" s="2575"/>
      <c r="R8" s="547">
        <f>ROUND(IF(项目基本情况!B8="出让",SUMPRODUCT(PRODUCT(1+K8:K13)),SUMPRODUCT(PRODUCT(1+K8:K12))),4)</f>
        <v>1.0430999999999999</v>
      </c>
      <c r="S8" s="547">
        <f>ROUND(IF(项目基本情况!B8="出让",SUMPRODUCT(PRODUCT(1+L8:L13)),SUMPRODUCT(PRODUCT(1+L8:L12))),4)</f>
        <v>1.0197000000000001</v>
      </c>
      <c r="T8" s="547">
        <f>ROUND(IF(项目基本情况!B8="出让",SUMPRODUCT(PRODUCT(1+M8:M13)),SUMPRODUCT(PRODUCT(1+M8:M12))),4)</f>
        <v>1.0109999999999999</v>
      </c>
      <c r="U8" s="547">
        <f>ROUND(IF(项目基本情况!B8="出让",SUMPRODUCT(PRODUCT(1+N8:N13)),SUMPRODUCT(PRODUCT(1+N8:N12))),4)</f>
        <v>1.0468999999999999</v>
      </c>
      <c r="V8" s="547">
        <f>ROUND(IF(项目基本情况!B8="出让",SUMPRODUCT(PRODUCT(1+O8:O13)),SUMPRODUCT(PRODUCT(1+O8:O12))),4)</f>
        <v>1.0382</v>
      </c>
      <c r="W8" s="547">
        <f t="shared" si="12"/>
        <v>1.0109999999999999</v>
      </c>
      <c r="X8" s="2575"/>
      <c r="Y8" s="423">
        <f>IF(D8=0,0,ROUND(AVERAGE(D8:D13)/100,4))</f>
        <v>8.6999999999999994E-3</v>
      </c>
      <c r="Z8" s="423">
        <f t="shared" ref="Z8:AC8" si="17">IF(E8=0,0,ROUND(AVERAGE(E8:E13)/100,4))</f>
        <v>3.5000000000000001E-3</v>
      </c>
      <c r="AA8" s="423">
        <f t="shared" si="17"/>
        <v>1.4E-3</v>
      </c>
      <c r="AB8" s="423">
        <f t="shared" si="17"/>
        <v>9.4999999999999998E-3</v>
      </c>
      <c r="AC8" s="423">
        <f t="shared" si="17"/>
        <v>6.8999999999999999E-3</v>
      </c>
      <c r="AD8" s="423">
        <f t="shared" si="9"/>
        <v>1.4E-3</v>
      </c>
    </row>
    <row r="9" spans="1:30" s="2577" customFormat="1" ht="12.75">
      <c r="A9" s="2574" t="s">
        <v>3092</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3074</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3087</v>
      </c>
    </row>
    <row r="18" spans="1:30" s="2551" customFormat="1" ht="12.75">
      <c r="B18" s="2748" t="s">
        <v>3086</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3080</v>
      </c>
      <c r="E19" s="2555" t="s">
        <v>3081</v>
      </c>
      <c r="F19" s="2555" t="s">
        <v>3082</v>
      </c>
      <c r="G19" s="2555" t="s">
        <v>514</v>
      </c>
      <c r="H19" s="2555"/>
      <c r="I19" s="2555" t="s">
        <v>2710</v>
      </c>
      <c r="J19" s="2558"/>
      <c r="K19" s="2554" t="s">
        <v>3080</v>
      </c>
      <c r="L19" s="2555" t="s">
        <v>3081</v>
      </c>
      <c r="M19" s="2555" t="s">
        <v>3082</v>
      </c>
      <c r="N19" s="2555" t="s">
        <v>514</v>
      </c>
      <c r="O19" s="2555"/>
      <c r="P19" s="2555" t="s">
        <v>2710</v>
      </c>
      <c r="Q19" s="2558"/>
      <c r="R19" s="2554" t="s">
        <v>3080</v>
      </c>
      <c r="S19" s="2555" t="s">
        <v>3081</v>
      </c>
      <c r="T19" s="2555" t="s">
        <v>3082</v>
      </c>
      <c r="U19" s="2555" t="s">
        <v>514</v>
      </c>
      <c r="V19" s="2555"/>
      <c r="W19" s="2555" t="s">
        <v>2710</v>
      </c>
      <c r="X19" s="2558"/>
      <c r="Y19" s="2554" t="s">
        <v>3080</v>
      </c>
      <c r="Z19" s="2555" t="s">
        <v>3081</v>
      </c>
      <c r="AA19" s="2555" t="s">
        <v>3082</v>
      </c>
      <c r="AB19" s="2555" t="s">
        <v>514</v>
      </c>
      <c r="AC19" s="2555"/>
      <c r="AD19" s="2555" t="s">
        <v>2710</v>
      </c>
    </row>
    <row r="20" spans="1:30" s="2860" customFormat="1" ht="12.75">
      <c r="A20" s="2848" t="s">
        <v>2372</v>
      </c>
      <c r="B20" s="2849"/>
      <c r="C20" s="2850"/>
      <c r="D20" s="2850"/>
      <c r="E20" s="2850">
        <f t="shared" ref="E20:G20" si="25">ROUND(AVERAGEIF(E21:E30,"&lt;&gt;0"),2)</f>
        <v>0.39</v>
      </c>
      <c r="F20" s="2850">
        <f t="shared" si="25"/>
        <v>0.27</v>
      </c>
      <c r="G20" s="2850">
        <f t="shared" si="25"/>
        <v>0.79</v>
      </c>
      <c r="H20" s="2850"/>
      <c r="I20" s="2850">
        <f>F20</f>
        <v>0.27</v>
      </c>
      <c r="J20" s="2851"/>
      <c r="K20" s="2852"/>
      <c r="L20" s="2853">
        <f t="shared" ref="L20:N20" si="26">ROUND(AVERAGEIF(L21:L30,"&lt;&gt;0"),4)</f>
        <v>3.8999999999999998E-3</v>
      </c>
      <c r="M20" s="2853">
        <f t="shared" si="26"/>
        <v>2.7000000000000001E-3</v>
      </c>
      <c r="N20" s="2853">
        <f t="shared" si="26"/>
        <v>7.9000000000000008E-3</v>
      </c>
      <c r="O20" s="2853"/>
      <c r="P20" s="2853">
        <f>M20</f>
        <v>2.7000000000000001E-3</v>
      </c>
      <c r="Q20" s="2851"/>
      <c r="R20" s="2854"/>
      <c r="S20" s="2855">
        <f>ROUND(SUMPRODUCT(PRODUCT(1+L21:L30)),4)</f>
        <v>1.0277000000000001</v>
      </c>
      <c r="T20" s="2855">
        <f t="shared" ref="T20:U20" si="27">ROUND(SUMPRODUCT(PRODUCT(1+M21:M30)),4)</f>
        <v>1.0192000000000001</v>
      </c>
      <c r="U20" s="2855">
        <f t="shared" si="27"/>
        <v>1.0569</v>
      </c>
      <c r="V20" s="2855"/>
      <c r="W20" s="2854">
        <f>T20</f>
        <v>1.0192000000000001</v>
      </c>
      <c r="X20" s="2851"/>
      <c r="Y20" s="2856"/>
      <c r="Z20" s="2857">
        <f t="shared" ref="Z20:AB20" si="28">ROUND(AVERAGEIF(Z21:Z30,"&lt;&gt;0"),4)</f>
        <v>4.4000000000000003E-3</v>
      </c>
      <c r="AA20" s="2858">
        <f t="shared" si="28"/>
        <v>3.7000000000000002E-3</v>
      </c>
      <c r="AB20" s="2856">
        <f t="shared" si="28"/>
        <v>9.1000000000000004E-3</v>
      </c>
      <c r="AC20" s="2859"/>
      <c r="AD20" s="2856">
        <f>AA20</f>
        <v>3.7000000000000002E-3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3067</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1.0241</v>
      </c>
      <c r="T22" s="547">
        <f>ROUND(IF(项目基本情况!$B$8="出让",SUMPRODUCT(PRODUCT(1+M22:M$30)),SUMPRODUCT(PRODUCT(1+M22:M$29))),4)</f>
        <v>1.0144</v>
      </c>
      <c r="U22" s="547">
        <f>ROUND(IF(项目基本情况!$B$8="出让",SUMPRODUCT(PRODUCT(1+N22:N$30)),SUMPRODUCT(PRODUCT(1+N22:N$29))),4)</f>
        <v>1.0467</v>
      </c>
      <c r="V22" s="547"/>
      <c r="W22" s="547">
        <f>T22</f>
        <v>1.0144</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3066</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1.0241</v>
      </c>
      <c r="T23" s="547">
        <f>ROUND(IF(项目基本情况!$B$8="出让",SUMPRODUCT(PRODUCT(1+M23:M$30)),SUMPRODUCT(PRODUCT(1+M23:M$29))),4)</f>
        <v>1.0144</v>
      </c>
      <c r="U23" s="547">
        <f>ROUND(IF(项目基本情况!$B$8="出让",SUMPRODUCT(PRODUCT(1+N23:N$30)),SUMPRODUCT(PRODUCT(1+N23:N$29))),4)</f>
        <v>1.0467</v>
      </c>
      <c r="V23" s="547"/>
      <c r="W23" s="547">
        <f t="shared" ref="W23:W30" si="34">T23</f>
        <v>1.0144</v>
      </c>
      <c r="X23" s="2575"/>
      <c r="Y23" s="423"/>
      <c r="Z23" s="424">
        <f t="shared" ref="Z23:AD30" si="35">IF(E23=0,0,ROUND(AVERAGE(E23:E31)/100,4))</f>
        <v>0</v>
      </c>
      <c r="AA23" s="425">
        <f t="shared" si="35"/>
        <v>0</v>
      </c>
      <c r="AB23" s="423">
        <f t="shared" si="35"/>
        <v>0</v>
      </c>
      <c r="AC23" s="426"/>
      <c r="AD23" s="423">
        <f t="shared" si="35"/>
        <v>0</v>
      </c>
    </row>
    <row r="24" spans="1:30" s="2582" customFormat="1" ht="12.75">
      <c r="A24" s="2580" t="s">
        <v>3095</v>
      </c>
      <c r="B24" s="525">
        <v>2022</v>
      </c>
      <c r="C24" s="526">
        <v>3</v>
      </c>
      <c r="D24" s="527"/>
      <c r="E24" s="527">
        <v>0.3</v>
      </c>
      <c r="F24" s="527">
        <v>0.28999999999999998</v>
      </c>
      <c r="G24" s="527">
        <v>0.83</v>
      </c>
      <c r="H24" s="2750"/>
      <c r="I24" s="528">
        <f t="shared" si="29"/>
        <v>0.28999999999999998</v>
      </c>
      <c r="J24" s="555"/>
      <c r="K24" s="428"/>
      <c r="L24" s="429">
        <f t="shared" si="30"/>
        <v>3.0000000000000001E-3</v>
      </c>
      <c r="M24" s="429">
        <f t="shared" si="31"/>
        <v>2.8999999999999998E-3</v>
      </c>
      <c r="N24" s="429">
        <f t="shared" si="32"/>
        <v>8.3000000000000001E-3</v>
      </c>
      <c r="O24" s="429"/>
      <c r="P24" s="429">
        <f t="shared" si="33"/>
        <v>2.8999999999999998E-3</v>
      </c>
      <c r="Q24" s="555"/>
      <c r="R24" s="555"/>
      <c r="S24" s="555">
        <f>ROUND(IF(项目基本情况!$B$8="出让",SUMPRODUCT(PRODUCT(1+L24:L$30)),SUMPRODUCT(PRODUCT(1+L24:L$29))),4)</f>
        <v>1.0241</v>
      </c>
      <c r="T24" s="555">
        <f>ROUND(IF(项目基本情况!$B$8="出让",SUMPRODUCT(PRODUCT(1+M24:M$30)),SUMPRODUCT(PRODUCT(1+M24:M$29))),4)</f>
        <v>1.0144</v>
      </c>
      <c r="U24" s="555">
        <f>ROUND(IF(项目基本情况!$B$8="出让",SUMPRODUCT(PRODUCT(1+N24:N$30)),SUMPRODUCT(PRODUCT(1+N24:N$29))),4)</f>
        <v>1.0467</v>
      </c>
      <c r="V24" s="555"/>
      <c r="W24" s="555">
        <f t="shared" si="34"/>
        <v>1.0144</v>
      </c>
      <c r="X24" s="555"/>
      <c r="Y24" s="429"/>
      <c r="Z24" s="430">
        <f t="shared" si="35"/>
        <v>3.8999999999999998E-3</v>
      </c>
      <c r="AA24" s="431">
        <f t="shared" si="35"/>
        <v>2.7000000000000001E-3</v>
      </c>
      <c r="AB24" s="429">
        <f t="shared" si="35"/>
        <v>7.9000000000000008E-3</v>
      </c>
      <c r="AC24" s="432"/>
      <c r="AD24" s="429">
        <f t="shared" si="35"/>
        <v>2.7000000000000001E-3</v>
      </c>
    </row>
    <row r="25" spans="1:30" s="2577" customFormat="1" ht="12.75">
      <c r="A25" s="2574" t="s">
        <v>3096</v>
      </c>
      <c r="B25" s="2990">
        <v>2022</v>
      </c>
      <c r="C25" s="518">
        <v>2</v>
      </c>
      <c r="D25" s="519"/>
      <c r="E25" s="519">
        <v>-0.11</v>
      </c>
      <c r="F25" s="519">
        <v>-0.13</v>
      </c>
      <c r="G25" s="519">
        <v>0.53</v>
      </c>
      <c r="H25" s="2751"/>
      <c r="I25" s="520">
        <f t="shared" si="29"/>
        <v>-0.13</v>
      </c>
      <c r="J25" s="2575"/>
      <c r="K25" s="422"/>
      <c r="L25" s="418">
        <f t="shared" si="30"/>
        <v>-1.1000000000000001E-3</v>
      </c>
      <c r="M25" s="418">
        <f t="shared" si="31"/>
        <v>-1.2999999999999999E-3</v>
      </c>
      <c r="N25" s="418">
        <f t="shared" si="32"/>
        <v>5.3E-3</v>
      </c>
      <c r="O25" s="418"/>
      <c r="P25" s="418">
        <f t="shared" si="33"/>
        <v>-1.2999999999999999E-3</v>
      </c>
      <c r="Q25" s="2575"/>
      <c r="R25" s="547"/>
      <c r="S25" s="547">
        <f>ROUND(IF(项目基本情况!$B$8="出让",SUMPRODUCT(PRODUCT(1+L25:L$30)),SUMPRODUCT(PRODUCT(1+L25:L$29))),4)</f>
        <v>1.0210999999999999</v>
      </c>
      <c r="T25" s="547">
        <f>ROUND(IF(项目基本情况!$B$8="出让",SUMPRODUCT(PRODUCT(1+M25:M$30)),SUMPRODUCT(PRODUCT(1+M25:M$29))),4)</f>
        <v>1.0114000000000001</v>
      </c>
      <c r="U25" s="547">
        <f>ROUND(IF(项目基本情况!$B$8="出让",SUMPRODUCT(PRODUCT(1+N25:N$30)),SUMPRODUCT(PRODUCT(1+N25:N$29))),4)</f>
        <v>1.0381</v>
      </c>
      <c r="V25" s="547"/>
      <c r="W25" s="547">
        <f t="shared" si="34"/>
        <v>1.0114000000000001</v>
      </c>
      <c r="X25" s="2575"/>
      <c r="Y25" s="423"/>
      <c r="Z25" s="424">
        <f t="shared" si="35"/>
        <v>4.1000000000000003E-3</v>
      </c>
      <c r="AA25" s="425">
        <f t="shared" si="35"/>
        <v>2.7000000000000001E-3</v>
      </c>
      <c r="AB25" s="423">
        <f t="shared" si="35"/>
        <v>7.9000000000000008E-3</v>
      </c>
      <c r="AC25" s="426"/>
      <c r="AD25" s="423">
        <f t="shared" si="35"/>
        <v>2.7000000000000001E-3</v>
      </c>
    </row>
    <row r="26" spans="1:30" s="2577" customFormat="1" ht="12.75">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3074</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298" t="s">
        <v>2342</v>
      </c>
      <c r="D1" s="3299"/>
      <c r="E1" s="3299"/>
      <c r="F1" s="3299"/>
      <c r="G1" s="3299"/>
      <c r="H1" s="3299"/>
      <c r="I1" s="3299"/>
      <c r="J1" s="3299"/>
      <c r="K1" s="3299"/>
      <c r="L1" s="3299"/>
      <c r="M1" s="3299"/>
      <c r="N1" s="3299"/>
      <c r="O1" s="3299"/>
      <c r="P1" s="3299"/>
      <c r="Q1" s="3299"/>
      <c r="R1" s="3299"/>
      <c r="S1" s="3300"/>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295" t="s">
        <v>30</v>
      </c>
      <c r="D22" s="3296"/>
      <c r="E22" s="3296"/>
      <c r="F22" s="3296"/>
      <c r="G22" s="3296"/>
      <c r="H22" s="3296"/>
      <c r="I22" s="3296"/>
      <c r="J22" s="3296"/>
      <c r="K22" s="3296"/>
      <c r="L22" s="3296"/>
      <c r="M22" s="3296"/>
      <c r="N22" s="3296"/>
      <c r="O22" s="3296"/>
      <c r="P22" s="3296"/>
      <c r="Q22" s="3297"/>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246055.22499999998</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246055.22499999998</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246055.22499999998</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view="pageBreakPreview" topLeftCell="A136" zoomScale="90" zoomScaleNormal="90" zoomScaleSheetLayoutView="90" workbookViewId="0">
      <selection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1" t="s">
        <v>3039</v>
      </c>
      <c r="B1" s="3301"/>
      <c r="C1" s="3301"/>
      <c r="D1" s="3301"/>
      <c r="E1" s="3301"/>
      <c r="F1" s="3301"/>
      <c r="G1" s="3302"/>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03"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04"/>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34330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36700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34550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32420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36050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zoomScale="70" zoomScaleNormal="70" workbookViewId="0">
      <pane xSplit="9" ySplit="14" topLeftCell="J15" activePane="bottomRight" state="frozen"/>
      <selection sqref="A1:XFD1048576"/>
      <selection pane="topRight" sqref="A1:XFD1048576"/>
      <selection pane="bottomLeft" sqref="A1:XFD1048576"/>
      <selection pane="bottomRight" sqref="A1:XFD1048576"/>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05" t="s">
        <v>601</v>
      </c>
      <c r="B1" s="3305"/>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44900</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zoomScale="70" zoomScaleNormal="70" workbookViewId="0">
      <selection activeCell="J37" sqref="J37"/>
    </sheetView>
  </sheetViews>
  <sheetFormatPr defaultColWidth="13.25" defaultRowHeight="13.5"/>
  <cols>
    <col min="1" max="16384" width="13.25" style="2676"/>
  </cols>
  <sheetData>
    <row r="1" spans="1:6">
      <c r="A1" s="3306" t="s">
        <v>2706</v>
      </c>
      <c r="B1" s="3306"/>
      <c r="C1" s="3306"/>
      <c r="D1" s="3306"/>
      <c r="E1" s="3306"/>
      <c r="F1" s="3307"/>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4"/>
  <sheetViews>
    <sheetView zoomScale="70" zoomScaleNormal="70" workbookViewId="0">
      <pane ySplit="12" topLeftCell="A13" activePane="bottomLeft" state="frozen"/>
      <selection pane="bottomLeft" activeCell="I112" sqref="I11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311" t="s">
        <v>670</v>
      </c>
      <c r="C1" s="3311"/>
      <c r="D1" s="3311"/>
      <c r="E1" s="3311"/>
      <c r="F1" s="3311"/>
      <c r="G1" s="3311"/>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1.53</v>
      </c>
      <c r="K3" s="2567">
        <f>ROUND(AVERAGE($K4:$K41),2)</f>
        <v>0.94</v>
      </c>
      <c r="L3" s="2567">
        <f>ROUND(AVERAGE($L4:$L41),2)</f>
        <v>1.69</v>
      </c>
      <c r="M3" s="2567">
        <f>ROUND(AVERAGE($M4:$M41),2)</f>
        <v>1.1299999999999999</v>
      </c>
      <c r="N3" s="2552"/>
      <c r="O3" s="2565"/>
      <c r="S3" s="2552"/>
      <c r="T3" s="2565"/>
      <c r="X3" s="2569"/>
      <c r="Y3" s="539">
        <f>ROUND(SUMPRODUCT(PRODUCT(1+O3:O$12)),4)</f>
        <v>1.05</v>
      </c>
      <c r="Z3" s="540">
        <f>ROUND(SUMPRODUCT(PRODUCT(1+P3:P$12)),4)</f>
        <v>1.0229999999999999</v>
      </c>
      <c r="AA3" s="541">
        <f t="shared" ref="AA3" si="0">Z3</f>
        <v>1.0229999999999999</v>
      </c>
      <c r="AB3" s="539">
        <f>AA3</f>
        <v>1.0229999999999999</v>
      </c>
      <c r="AC3" s="542">
        <f>ROUND(SUMPRODUCT(PRODUCT(1+Q3:Q$12)),4)</f>
        <v>1.0545</v>
      </c>
      <c r="AD3" s="539">
        <f>ROUND(SUMPRODUCT(PRODUCT(1+R3:R$12)),4)</f>
        <v>1.0447</v>
      </c>
      <c r="AE3" s="2552"/>
      <c r="AF3" s="539">
        <f>ROUND(AVERAGE(J3:J$13)/100,4)</f>
        <v>7.4000000000000003E-3</v>
      </c>
      <c r="AG3" s="540">
        <f>ROUND(AVERAGE(K3:K$13)/100,4)</f>
        <v>3.3999999999999998E-3</v>
      </c>
      <c r="AH3" s="541">
        <f>AG3</f>
        <v>3.3999999999999998E-3</v>
      </c>
      <c r="AI3" s="539">
        <f>AH3</f>
        <v>3.3999999999999998E-3</v>
      </c>
      <c r="AJ3" s="542">
        <f>ROUND(AVERAGE(L3:L$13)/100,4)</f>
        <v>8.0999999999999996E-3</v>
      </c>
      <c r="AK3" s="539">
        <f>ROUND(AVERAGE(M3:M$13)/100,4)</f>
        <v>5.8999999999999999E-3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3067</v>
      </c>
      <c r="B5" s="2861">
        <f t="shared" ref="B5" si="1">B6*(1+O5)</f>
        <v>522.82442175787537</v>
      </c>
      <c r="C5" s="2861">
        <f t="shared" ref="C5" si="2">C6*(1+P5)</f>
        <v>355.77318140840123</v>
      </c>
      <c r="D5" s="2861">
        <f t="shared" ref="D5" si="3">C5</f>
        <v>355.77318140840123</v>
      </c>
      <c r="E5" s="2861">
        <f>D5</f>
        <v>355.77318140840123</v>
      </c>
      <c r="F5" s="2861">
        <f t="shared" ref="F5" si="4">F6*(1+Q5)</f>
        <v>757.58921863191995</v>
      </c>
      <c r="G5" s="2861">
        <f t="shared" ref="G5" si="5">G6*(1+R5)</f>
        <v>343.83620580584301</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1.05</v>
      </c>
      <c r="Z5" s="548">
        <f>ROUND(IF(项目基本情况!$B$8="出让",SUMPRODUCT(PRODUCT(1+P5:P$13)),SUMPRODUCT(PRODUCT(1+P5:P$12))),4)</f>
        <v>1.0229999999999999</v>
      </c>
      <c r="AA5" s="549">
        <f t="shared" ref="AA5" si="10">Z5</f>
        <v>1.0229999999999999</v>
      </c>
      <c r="AB5" s="547">
        <f>AA5</f>
        <v>1.0229999999999999</v>
      </c>
      <c r="AC5" s="550">
        <f>ROUND(IF(项目基本情况!$B$8="出让",SUMPRODUCT(PRODUCT(1+Q5:Q$13)),SUMPRODUCT(PRODUCT(1+Q5:Q$12))),4)</f>
        <v>1.0545</v>
      </c>
      <c r="AD5" s="547">
        <f>ROUND(IF(项目基本情况!$B$8="出让",SUMPRODUCT(PRODUCT(1+R5:R$13)),SUMPRODUCT(PRODUCT(1+R5:R$12))),4)</f>
        <v>1.0447</v>
      </c>
      <c r="AE5" s="2575"/>
      <c r="AF5" s="547">
        <f>ROUND(AVERAGEIF(J5:J$13,"&lt;&gt;0")/100,4)</f>
        <v>8.3999999999999995E-3</v>
      </c>
      <c r="AG5" s="548">
        <f>ROUND(AVERAGEIF(K5:K$13,"&lt;&gt;0")/100,4)</f>
        <v>3.5000000000000001E-3</v>
      </c>
      <c r="AH5" s="549">
        <f>AG5</f>
        <v>3.5000000000000001E-3</v>
      </c>
      <c r="AI5" s="547">
        <f t="shared" ref="AI5:AI13" si="11">AH5</f>
        <v>3.5000000000000001E-3</v>
      </c>
      <c r="AJ5" s="550">
        <f>ROUND(AVERAGEIF(L5:L$13,"&lt;&gt;0")/100,4)</f>
        <v>9.1999999999999998E-3</v>
      </c>
      <c r="AK5" s="547">
        <f>ROUND(AVERAGE(M5:M$13)/100,4)</f>
        <v>5.3E-3</v>
      </c>
    </row>
    <row r="6" spans="1:37" s="2577" customFormat="1">
      <c r="A6" s="2578" t="s">
        <v>3066</v>
      </c>
      <c r="B6" s="2862">
        <f t="shared" ref="B6" si="12">B7*(1+O6)</f>
        <v>522.82442175787537</v>
      </c>
      <c r="C6" s="2862">
        <f t="shared" ref="C6" si="13">C7*(1+P6)</f>
        <v>355.77318140840123</v>
      </c>
      <c r="D6" s="2862">
        <f t="shared" ref="D6" si="14">C6</f>
        <v>355.77318140840123</v>
      </c>
      <c r="E6" s="2862">
        <f t="shared" ref="E6:E13" si="15">B6</f>
        <v>522.82442175787537</v>
      </c>
      <c r="F6" s="2862">
        <f t="shared" ref="F6" si="16">F7*(1+Q6)</f>
        <v>757.58921863191995</v>
      </c>
      <c r="G6" s="2862">
        <f t="shared" ref="G6" si="17">G7*(1+R6)</f>
        <v>343.83620580584301</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1.05</v>
      </c>
      <c r="Z6" s="552">
        <f>ROUND(IF(项目基本情况!$B$8="出让",SUMPRODUCT(PRODUCT(1+P6:P$13)),SUMPRODUCT(PRODUCT(1+P6:P$12))),4)</f>
        <v>1.0229999999999999</v>
      </c>
      <c r="AA6" s="553">
        <f t="shared" ref="AA6" si="22">Z6</f>
        <v>1.0229999999999999</v>
      </c>
      <c r="AB6" s="551">
        <f t="shared" ref="AB6:AB12" si="23">Y6</f>
        <v>1.05</v>
      </c>
      <c r="AC6" s="554">
        <f>ROUND(IF(项目基本情况!$B$8="出让",SUMPRODUCT(PRODUCT(1+Q6:Q$13)),SUMPRODUCT(PRODUCT(1+Q6:Q$12))),4)</f>
        <v>1.0545</v>
      </c>
      <c r="AD6" s="551">
        <f>ROUND(IF(项目基本情况!$B$8="出让",SUMPRODUCT(PRODUCT(1+R6:R$13)),SUMPRODUCT(PRODUCT(1+R6:R$12))),4)</f>
        <v>1.0447</v>
      </c>
      <c r="AE6" s="2552"/>
      <c r="AF6" s="547">
        <f>ROUND(AVERAGEIF(J6:J$13,"&lt;&gt;0")/100,4)</f>
        <v>8.3999999999999995E-3</v>
      </c>
      <c r="AG6" s="552">
        <f>ROUND(AVERAGEIF(K6:K$13,"&lt;&gt;0")/100,4)</f>
        <v>3.5000000000000001E-3</v>
      </c>
      <c r="AH6" s="553">
        <f t="shared" ref="AH6:AH13" si="24">AG6</f>
        <v>3.5000000000000001E-3</v>
      </c>
      <c r="AI6" s="551">
        <f t="shared" si="11"/>
        <v>3.5000000000000001E-3</v>
      </c>
      <c r="AJ6" s="554">
        <f>ROUND(AVERAGEIF(L6:L$13,"&lt;&gt;0")/100,4)</f>
        <v>9.1999999999999998E-3</v>
      </c>
      <c r="AK6" s="551">
        <f>ROUND(AVERAGE(M6:M$13)/100,4)</f>
        <v>5.8999999999999999E-3</v>
      </c>
    </row>
    <row r="7" spans="1:37" s="2582" customFormat="1">
      <c r="A7" s="2580" t="s">
        <v>3097</v>
      </c>
      <c r="B7" s="2863">
        <f t="shared" ref="B7" si="25">B8*(1+O7)</f>
        <v>522.82442175787537</v>
      </c>
      <c r="C7" s="2863">
        <f t="shared" ref="C7" si="26">C8*(1+P7)</f>
        <v>355.77318140840123</v>
      </c>
      <c r="D7" s="2863">
        <f t="shared" ref="D7" si="27">C7</f>
        <v>355.77318140840123</v>
      </c>
      <c r="E7" s="2863">
        <f t="shared" si="15"/>
        <v>522.82442175787537</v>
      </c>
      <c r="F7" s="2863">
        <f t="shared" ref="F7" si="28">F8*(1+Q7)</f>
        <v>757.58921863191995</v>
      </c>
      <c r="G7" s="2863">
        <f t="shared" ref="G7" si="29">G8*(1+R7)</f>
        <v>343.83620580584301</v>
      </c>
      <c r="H7" s="525">
        <v>2022</v>
      </c>
      <c r="I7" s="526">
        <v>3</v>
      </c>
      <c r="J7" s="527">
        <v>0.66</v>
      </c>
      <c r="K7" s="527">
        <v>0.32</v>
      </c>
      <c r="L7" s="527">
        <v>0.72</v>
      </c>
      <c r="M7" s="528">
        <v>0.63</v>
      </c>
      <c r="N7" s="555"/>
      <c r="O7" s="2581">
        <f t="shared" ref="O7" si="30">J7/100</f>
        <v>6.6E-3</v>
      </c>
      <c r="P7" s="555">
        <f t="shared" ref="P7" si="31">K7/100</f>
        <v>3.2000000000000002E-3</v>
      </c>
      <c r="Q7" s="555">
        <f t="shared" ref="Q7" si="32">L7/100</f>
        <v>7.1999999999999998E-3</v>
      </c>
      <c r="R7" s="555">
        <f t="shared" ref="R7" si="33">M7/100</f>
        <v>6.3E-3</v>
      </c>
      <c r="S7" s="555"/>
      <c r="T7" s="2581"/>
      <c r="U7" s="555"/>
      <c r="V7" s="555"/>
      <c r="W7" s="555"/>
      <c r="X7" s="555"/>
      <c r="Y7" s="555">
        <f>ROUND(IF(项目基本情况!$B$8="出让",SUMPRODUCT(PRODUCT(1+O7:O$13)),SUMPRODUCT(PRODUCT(1+O7:O$12))),4)</f>
        <v>1.05</v>
      </c>
      <c r="Z7" s="556">
        <f>ROUND(IF(项目基本情况!$B$8="出让",SUMPRODUCT(PRODUCT(1+P7:P$13)),SUMPRODUCT(PRODUCT(1+P7:P$12))),4)</f>
        <v>1.0229999999999999</v>
      </c>
      <c r="AA7" s="557">
        <f t="shared" ref="AA7" si="34">Z7</f>
        <v>1.0229999999999999</v>
      </c>
      <c r="AB7" s="555">
        <f t="shared" si="23"/>
        <v>1.05</v>
      </c>
      <c r="AC7" s="558">
        <f>ROUND(IF(项目基本情况!$B$8="出让",SUMPRODUCT(PRODUCT(1+Q7:Q$13)),SUMPRODUCT(PRODUCT(1+Q7:Q$12))),4)</f>
        <v>1.0545</v>
      </c>
      <c r="AD7" s="555">
        <f>ROUND(IF(项目基本情况!$B$8="出让",SUMPRODUCT(PRODUCT(1+R7:R$13)),SUMPRODUCT(PRODUCT(1+R7:R$12))),4)</f>
        <v>1.0447</v>
      </c>
      <c r="AE7" s="555"/>
      <c r="AF7" s="555">
        <f>ROUND(AVERAGEIF(J7:J$13,"&lt;&gt;0")/100,4)</f>
        <v>8.3999999999999995E-3</v>
      </c>
      <c r="AG7" s="556">
        <f>ROUND(AVERAGEIF(K7:K$13,"&lt;&gt;0")/100,4)</f>
        <v>3.5000000000000001E-3</v>
      </c>
      <c r="AH7" s="557">
        <f t="shared" si="24"/>
        <v>3.5000000000000001E-3</v>
      </c>
      <c r="AI7" s="555">
        <f t="shared" si="11"/>
        <v>3.5000000000000001E-3</v>
      </c>
      <c r="AJ7" s="558">
        <f>ROUND(AVERAGEIF(L7:L$13,"&lt;&gt;0")/100,4)</f>
        <v>9.1999999999999998E-3</v>
      </c>
      <c r="AK7" s="555">
        <f>ROUND(AVERAGE(M7:M$13)/100,4)</f>
        <v>6.7999999999999996E-3</v>
      </c>
    </row>
    <row r="8" spans="1:37" s="2577" customFormat="1">
      <c r="A8" s="2574" t="s">
        <v>3094</v>
      </c>
      <c r="B8" s="2861">
        <f t="shared" ref="B8" si="35">B9*(1+O8)</f>
        <v>519.39640548169621</v>
      </c>
      <c r="C8" s="2861">
        <f t="shared" ref="C8" si="36">C9*(1+P8)</f>
        <v>354.63833872448288</v>
      </c>
      <c r="D8" s="2861">
        <f t="shared" ref="D8" si="37">C8</f>
        <v>354.63833872448288</v>
      </c>
      <c r="E8" s="2861">
        <f t="shared" si="15"/>
        <v>519.39640548169621</v>
      </c>
      <c r="F8" s="2861">
        <f t="shared" ref="F8" si="38">F9*(1+Q8)</f>
        <v>752.17356893558372</v>
      </c>
      <c r="G8" s="2861">
        <f t="shared" ref="G8" si="39">G9*(1+R8)</f>
        <v>341.6835991313157</v>
      </c>
      <c r="H8" s="2990">
        <v>2022</v>
      </c>
      <c r="I8" s="518">
        <v>2</v>
      </c>
      <c r="J8" s="519">
        <v>0.93</v>
      </c>
      <c r="K8" s="519">
        <v>0.15</v>
      </c>
      <c r="L8" s="519">
        <v>1.05</v>
      </c>
      <c r="M8" s="520">
        <v>1.08</v>
      </c>
      <c r="N8" s="2575"/>
      <c r="O8" s="2576">
        <f t="shared" ref="O8" si="40">J8/100</f>
        <v>9.300000000000001E-3</v>
      </c>
      <c r="P8" s="543">
        <f t="shared" ref="P8" si="41">K8/100</f>
        <v>1.5E-3</v>
      </c>
      <c r="Q8" s="543">
        <f t="shared" ref="Q8" si="42">L8/100</f>
        <v>1.0500000000000001E-2</v>
      </c>
      <c r="R8" s="543">
        <f t="shared" ref="R8" si="43">M8/100</f>
        <v>1.0800000000000001E-2</v>
      </c>
      <c r="S8" s="2575"/>
      <c r="T8" s="2576"/>
      <c r="U8" s="543"/>
      <c r="V8" s="543"/>
      <c r="W8" s="543"/>
      <c r="X8" s="2575"/>
      <c r="Y8" s="547">
        <f>ROUND(IF(项目基本情况!$B$8="出让",SUMPRODUCT(PRODUCT(1+O8:O$13)),SUMPRODUCT(PRODUCT(1+O8:O$12))),4)</f>
        <v>1.0430999999999999</v>
      </c>
      <c r="Z8" s="548">
        <f>ROUND(IF(项目基本情况!$B$8="出让",SUMPRODUCT(PRODUCT(1+P8:P$13)),SUMPRODUCT(PRODUCT(1+P8:P$12))),4)</f>
        <v>1.0197000000000001</v>
      </c>
      <c r="AA8" s="549">
        <f t="shared" ref="AA8" si="44">Z8</f>
        <v>1.0197000000000001</v>
      </c>
      <c r="AB8" s="547">
        <f t="shared" si="23"/>
        <v>1.0430999999999999</v>
      </c>
      <c r="AC8" s="550">
        <f>ROUND(IF(项目基本情况!$B$8="出让",SUMPRODUCT(PRODUCT(1+Q8:Q$13)),SUMPRODUCT(PRODUCT(1+Q8:Q$12))),4)</f>
        <v>1.0468999999999999</v>
      </c>
      <c r="AD8" s="547">
        <f>ROUND(IF(项目基本情况!$B$8="出让",SUMPRODUCT(PRODUCT(1+R8:R$13)),SUMPRODUCT(PRODUCT(1+R8:R$12))),4)</f>
        <v>1.0382</v>
      </c>
      <c r="AE8" s="2575"/>
      <c r="AF8" s="547">
        <f>ROUND(AVERAGEIF(J8:J$13,"&lt;&gt;0")/100,4)</f>
        <v>8.6999999999999994E-3</v>
      </c>
      <c r="AG8" s="548">
        <f>ROUND(AVERAGEIF(K8:K$13,"&lt;&gt;0")/100,4)</f>
        <v>3.5000000000000001E-3</v>
      </c>
      <c r="AH8" s="549">
        <f t="shared" si="24"/>
        <v>3.5000000000000001E-3</v>
      </c>
      <c r="AI8" s="547">
        <f t="shared" si="11"/>
        <v>3.5000000000000001E-3</v>
      </c>
      <c r="AJ8" s="550">
        <f>ROUND(AVERAGEIF(L8:L$13,"&lt;&gt;0")/100,4)</f>
        <v>9.4999999999999998E-3</v>
      </c>
      <c r="AK8" s="547">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3074</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309">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309"/>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309"/>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16"/>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12">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309"/>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309"/>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16"/>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12">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309"/>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309"/>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310"/>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308">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309"/>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309"/>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310"/>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13">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14"/>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14"/>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15"/>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308">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309"/>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309"/>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310"/>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308">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9">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309">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310">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308">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9">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309">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310">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308">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9">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309">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310">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308">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9">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309">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310">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308">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9">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309">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310">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308">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9">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309">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310">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308">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9">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309">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310">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308">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9">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309">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310">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308">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309">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309">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310">
        <v>2003</v>
      </c>
      <c r="I85" s="2633">
        <v>1</v>
      </c>
    </row>
    <row r="86" spans="1:31" ht="13.5" hidden="1" thickBot="1">
      <c r="A86" s="2574" t="s">
        <v>726</v>
      </c>
      <c r="B86" s="2611">
        <v>106</v>
      </c>
      <c r="C86" s="2611">
        <v>107</v>
      </c>
      <c r="D86" s="2611">
        <f t="shared" si="210"/>
        <v>107</v>
      </c>
      <c r="E86" s="2611"/>
      <c r="F86" s="2611">
        <v>105</v>
      </c>
      <c r="G86" s="2612">
        <v>102</v>
      </c>
      <c r="H86" s="3308">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309">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309">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310">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1145</v>
      </c>
      <c r="B2" s="3010" t="s">
        <v>1146</v>
      </c>
      <c r="C2" s="3010" t="s">
        <v>1147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5"/>
      <c r="B3" s="3005"/>
      <c r="C3" s="3005"/>
      <c r="D3" s="2770" t="s">
        <v>1142</v>
      </c>
      <c r="E3" s="2770" t="s">
        <v>1148</v>
      </c>
      <c r="F3" s="2770" t="s">
        <v>1142</v>
      </c>
      <c r="G3" s="2770" t="s">
        <v>1143</v>
      </c>
      <c r="H3" s="2770" t="s">
        <v>1142</v>
      </c>
      <c r="I3" s="2770" t="s">
        <v>1143</v>
      </c>
    </row>
    <row r="4" spans="1:9" ht="15">
      <c r="A4" s="2771" t="str">
        <f>项目基本情况!S2</f>
        <v>房地产</v>
      </c>
      <c r="B4" s="2770">
        <f>项目基本情况!C17</f>
        <v>246055.22499999998</v>
      </c>
      <c r="C4" s="2770">
        <f>项目基本情况!C18</f>
        <v>98422.09</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5" t="s">
        <v>1144</v>
      </c>
      <c r="B5" s="3005"/>
      <c r="C5" s="3005"/>
      <c r="D5" s="3005" t="e">
        <f ca="1">结果表!D119</f>
        <v>#REF!</v>
      </c>
      <c r="E5" s="3005"/>
      <c r="F5" s="3005" t="e">
        <f ca="1">结果表!F119</f>
        <v>#REF!</v>
      </c>
      <c r="G5" s="3005"/>
      <c r="H5" s="3005" t="e">
        <f ca="1">结果表!H119</f>
        <v>#REF!</v>
      </c>
      <c r="I5" s="3005"/>
    </row>
    <row r="6" spans="1:9" ht="15.75">
      <c r="A6" s="3004" t="str">
        <f>结果表!A120</f>
        <v>估价师知悉的法定优先受偿款</v>
      </c>
      <c r="B6" s="3004"/>
      <c r="C6" s="3004"/>
      <c r="D6" s="3004">
        <f>结果表!D120</f>
        <v>0</v>
      </c>
      <c r="E6" s="3004"/>
      <c r="F6" s="3004"/>
      <c r="G6" s="3004"/>
      <c r="H6" s="3004"/>
      <c r="I6" s="3004"/>
    </row>
    <row r="7" spans="1:9" ht="15">
      <c r="A7" s="3005" t="s">
        <v>1144</v>
      </c>
      <c r="B7" s="3005"/>
      <c r="C7" s="3005"/>
      <c r="D7" s="3006" t="str">
        <f>结果表!D121</f>
        <v>零元整</v>
      </c>
      <c r="E7" s="3007"/>
      <c r="F7" s="3007"/>
      <c r="G7" s="3007"/>
      <c r="H7" s="3007"/>
      <c r="I7" s="3008"/>
    </row>
    <row r="8" spans="1:9" ht="15.75">
      <c r="A8" s="3004" t="str">
        <f>结果表!A122</f>
        <v>房地产抵押价值</v>
      </c>
      <c r="B8" s="3004"/>
      <c r="C8" s="3004"/>
      <c r="D8" s="3004" t="e">
        <f ca="1">结果表!D122</f>
        <v>#REF!</v>
      </c>
      <c r="E8" s="3004"/>
      <c r="F8" s="3004"/>
      <c r="G8" s="3004"/>
      <c r="H8" s="3004"/>
      <c r="I8" s="3004"/>
    </row>
    <row r="9" spans="1:9" ht="15">
      <c r="A9" s="3005" t="s">
        <v>1144</v>
      </c>
      <c r="B9" s="3005"/>
      <c r="C9" s="3005"/>
      <c r="D9" s="3005" t="e">
        <f ca="1">结果表!D123</f>
        <v>#REF!</v>
      </c>
      <c r="E9" s="3005"/>
      <c r="F9" s="3005"/>
      <c r="G9" s="3005"/>
      <c r="H9" s="3005"/>
      <c r="I9" s="3005"/>
    </row>
    <row r="10" spans="1:9" ht="15.75">
      <c r="A10" s="3004" t="str">
        <f>结果表!A124</f>
        <v/>
      </c>
      <c r="B10" s="3004"/>
      <c r="C10" s="3004"/>
      <c r="D10" s="3004" t="str">
        <f>结果表!D124</f>
        <v>——</v>
      </c>
      <c r="E10" s="3004"/>
      <c r="F10" s="3004"/>
      <c r="G10" s="3004"/>
      <c r="H10" s="3004"/>
      <c r="I10" s="3004"/>
    </row>
    <row r="11" spans="1:9" ht="15">
      <c r="A11" s="3005" t="s">
        <v>1144</v>
      </c>
      <c r="B11" s="3005"/>
      <c r="C11" s="3005"/>
      <c r="D11" s="3005" t="e">
        <f>结果表!D125</f>
        <v>#VALUE!</v>
      </c>
      <c r="E11" s="3005"/>
      <c r="F11" s="3005"/>
      <c r="G11" s="3005"/>
      <c r="H11" s="3005"/>
      <c r="I11" s="3005"/>
    </row>
    <row r="12" spans="1:9" ht="15.75">
      <c r="A12" s="3004" t="str">
        <f>结果表!A126</f>
        <v/>
      </c>
      <c r="B12" s="3004"/>
      <c r="C12" s="3004"/>
      <c r="D12" s="3004" t="str">
        <f>结果表!D126</f>
        <v>——</v>
      </c>
      <c r="E12" s="3004"/>
      <c r="F12" s="3004"/>
      <c r="G12" s="3004"/>
      <c r="H12" s="3004"/>
      <c r="I12" s="3004"/>
    </row>
    <row r="13" spans="1:9" ht="15.75" thickBot="1">
      <c r="A13" s="3002" t="s">
        <v>1144</v>
      </c>
      <c r="B13" s="3002"/>
      <c r="C13" s="3002"/>
      <c r="D13" s="3002" t="e">
        <f>结果表!D127</f>
        <v>#VALUE!</v>
      </c>
      <c r="E13" s="3002"/>
      <c r="F13" s="3002"/>
      <c r="G13" s="3002"/>
      <c r="H13" s="3002"/>
      <c r="I13" s="3002"/>
    </row>
    <row r="14" spans="1:9" ht="15" thickTop="1">
      <c r="A14" s="3003" t="s">
        <v>1149</v>
      </c>
      <c r="B14" s="3003"/>
      <c r="C14" s="3003"/>
      <c r="D14" s="3003"/>
      <c r="E14" s="3003"/>
      <c r="F14" s="3003"/>
      <c r="G14" s="3003"/>
      <c r="H14" s="3003"/>
      <c r="I14" s="3003"/>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7" t="s">
        <v>1166</v>
      </c>
      <c r="B1" s="3017"/>
      <c r="C1" s="3017"/>
      <c r="D1" s="3017"/>
    </row>
    <row r="2" spans="1:4" ht="18">
      <c r="A2" s="3018" t="s">
        <v>1150</v>
      </c>
      <c r="B2" s="3018"/>
      <c r="C2" s="3018"/>
      <c r="D2" s="3018"/>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8" t="s">
        <v>1156</v>
      </c>
      <c r="B6" s="3018"/>
      <c r="C6" s="3018"/>
      <c r="D6" s="3018"/>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9" t="s">
        <v>1159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6"/>
      <c r="C12" s="3016"/>
      <c r="D12" s="3016"/>
    </row>
    <row r="13" spans="1:4" ht="30" customHeight="1">
      <c r="A13" s="3011" t="str">
        <f>IF(项目基本情况!B8="抵押","3.抵押双方在办理抵押登记手续时，应使用本公司出具的正式《房地产评估报告》，特提醒报告使用者注意。","——")</f>
        <v>——</v>
      </c>
      <c r="B13" s="3016"/>
      <c r="C13" s="3016"/>
      <c r="D13" s="3016"/>
    </row>
    <row r="14" spans="1:4" ht="15.75" customHeight="1">
      <c r="A14" s="3011" t="str">
        <f>IF(项目基本情况!B8="抵押","4.本次评估估价师所知悉的法定优先受偿款情况说明如下：","——")</f>
        <v>——</v>
      </c>
      <c r="B14" s="3016"/>
      <c r="C14" s="3016"/>
      <c r="D14" s="3016"/>
    </row>
    <row r="15" spans="1:4" ht="42" customHeight="1">
      <c r="A15" s="3011" t="str">
        <f>IF(项目基本情况!B8="抵押","（1）"&amp;CONCATENATE(项目基本情况!L20,项目基本情况!L21,项目基本情况!L22),"——")</f>
        <v>——</v>
      </c>
      <c r="B15" s="3011"/>
      <c r="C15" s="3011"/>
      <c r="D15" s="3011"/>
    </row>
    <row r="16" spans="1:4" ht="30" customHeight="1">
      <c r="A16" s="3013" t="s">
        <v>1160</v>
      </c>
      <c r="B16" s="3013"/>
      <c r="C16" s="3013"/>
      <c r="D16" s="3013"/>
    </row>
    <row r="17" spans="1:4" ht="144" customHeight="1">
      <c r="A17" s="3013" t="s">
        <v>1161</v>
      </c>
      <c r="B17" s="3013"/>
      <c r="C17" s="3013"/>
      <c r="D17" s="3013"/>
    </row>
    <row r="18" spans="1:4" ht="15.75" customHeight="1">
      <c r="A18" s="3011" t="str">
        <f>IF(项目基本情况!B8="抵押",结果表!K120,"——")</f>
        <v>——</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1162</v>
      </c>
      <c r="B22" s="3015"/>
      <c r="C22" s="3015"/>
      <c r="D22" s="3015"/>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2">
        <v>42551</v>
      </c>
      <c r="D31" s="3012"/>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44901</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6">
        <v>44876</v>
      </c>
      <c r="D4" s="573" t="str">
        <f ca="1">A4&amp;"（注册号："&amp;B4&amp;"）"</f>
        <v>梁津（注册号：已过期）</v>
      </c>
      <c r="E4" s="574" t="s">
        <v>2406</v>
      </c>
      <c r="F4" s="572">
        <f ca="1">IF(G4&lt;B2,"已过期",96010014)</f>
        <v>96010014</v>
      </c>
      <c r="G4" s="2806">
        <v>47118</v>
      </c>
      <c r="H4" s="575" t="str">
        <f ca="1">E4&amp;"（注册号："&amp;F4&amp;"）"</f>
        <v>梁津（注册号：96010014）</v>
      </c>
    </row>
    <row r="5" spans="1:8" ht="24" customHeight="1">
      <c r="A5" s="572" t="s">
        <v>2407</v>
      </c>
      <c r="B5" s="572" t="str">
        <f ca="1">IF(C5&lt;B2,"已过期",1119970111)</f>
        <v>已过期</v>
      </c>
      <c r="C5" s="2806">
        <v>44876</v>
      </c>
      <c r="D5" s="573" t="str">
        <f t="shared" ref="D5:D15" ca="1" si="0">A5&amp;"（注册号："&amp;B5&amp;"）"</f>
        <v>叶凌（注册号：已过期）</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t="str">
        <f ca="1">IF(C7&lt;B2,"已过期",1120000080)</f>
        <v>已过期</v>
      </c>
      <c r="C7" s="2806">
        <v>44876</v>
      </c>
      <c r="D7" s="573" t="str">
        <f t="shared" ca="1" si="0"/>
        <v>欧红伟（注册号：已过期）</v>
      </c>
      <c r="E7" s="574" t="s">
        <v>2409</v>
      </c>
      <c r="F7" s="572">
        <f ca="1">IF(G7&lt;B2,"已过期",2000110082)</f>
        <v>2000110082</v>
      </c>
      <c r="G7" s="2806">
        <v>46387</v>
      </c>
      <c r="H7" s="575" t="str">
        <f t="shared" ca="1" si="1"/>
        <v>欧红伟（注册号：2000110082）</v>
      </c>
    </row>
    <row r="8" spans="1:8" ht="24" customHeight="1">
      <c r="A8" s="572" t="s">
        <v>2410</v>
      </c>
      <c r="B8" s="572" t="str">
        <f ca="1">IF(C8&lt;B2,"已过期",1419970001)</f>
        <v>已过期</v>
      </c>
      <c r="C8" s="2806">
        <v>44899</v>
      </c>
      <c r="D8" s="573" t="str">
        <f t="shared" ca="1" si="0"/>
        <v>吴薇（注册号：已过期）</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地价-分区</vt:lpstr>
      <vt:lpstr>典型户型修正</vt:lpstr>
      <vt:lpstr>成本法（废）</vt:lpstr>
      <vt:lpstr>区片价</vt:lpstr>
      <vt:lpstr>因素修正幅度</vt:lpstr>
      <vt:lpstr>存贷款利率</vt:lpstr>
      <vt:lpstr>区片价（范围）</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2022-03-25T05:42:40Z</cp:lastPrinted>
  <dcterms:created xsi:type="dcterms:W3CDTF">2015-07-13T07:17:23Z</dcterms:created>
  <dcterms:modified xsi:type="dcterms:W3CDTF">2022-12-06T10:32:34Z</dcterms:modified>
</cp:coreProperties>
</file>