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主语国际华夏门麒询价\"/>
    </mc:Choice>
  </mc:AlternateContent>
  <xr:revisionPtr revIDLastSave="0" documentId="13_ncr:1_{4B0E84DB-66DF-4E8F-BAFA-2EFAC4CD74D5}"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W4" i="43" l="1"/>
  <c r="U5" i="43"/>
  <c r="U4" i="43"/>
  <c r="U3" i="43"/>
  <c r="U2"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9" i="43"/>
  <c r="D58" i="43"/>
  <c r="D57" i="43"/>
  <c r="D56" i="43"/>
  <c r="D55" i="43"/>
  <c r="D54" i="43"/>
  <c r="D53" i="43"/>
  <c r="D52"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C28"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N7" i="43"/>
  <c r="N4" i="43"/>
  <c r="N2" i="43"/>
  <c r="F51" i="43" s="1"/>
  <c r="H55" i="43" s="1"/>
  <c r="G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M55" i="43" l="1"/>
  <c r="N55" i="43" s="1"/>
  <c r="K55" i="43"/>
  <c r="J55" i="43" s="1"/>
  <c r="C31" i="12"/>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G57" i="43" s="1"/>
  <c r="H53" i="43"/>
  <c r="G53" i="43" s="1"/>
  <c r="H58" i="43"/>
  <c r="G58" i="43" s="1"/>
  <c r="H54" i="43"/>
  <c r="G54" i="43" s="1"/>
  <c r="H52" i="43"/>
  <c r="G52" i="43" s="1"/>
  <c r="H59" i="43"/>
  <c r="G59" i="43" s="1"/>
  <c r="H51" i="43"/>
  <c r="G51" i="43" s="1"/>
  <c r="H56" i="43"/>
  <c r="G56" i="43" s="1"/>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M56" i="43" l="1"/>
  <c r="N56" i="43" s="1"/>
  <c r="K56" i="43"/>
  <c r="J56" i="43" s="1"/>
  <c r="M51" i="43"/>
  <c r="N51" i="43" s="1"/>
  <c r="K51" i="43"/>
  <c r="J51" i="43" s="1"/>
  <c r="M59" i="43"/>
  <c r="N59" i="43" s="1"/>
  <c r="K59" i="43"/>
  <c r="J59" i="43" s="1"/>
  <c r="M52" i="43"/>
  <c r="N52" i="43" s="1"/>
  <c r="K52" i="43"/>
  <c r="J52" i="43" s="1"/>
  <c r="M54" i="43"/>
  <c r="N54" i="43" s="1"/>
  <c r="K54" i="43"/>
  <c r="J54" i="43" s="1"/>
  <c r="M58" i="43"/>
  <c r="N58" i="43" s="1"/>
  <c r="K58" i="43"/>
  <c r="J58" i="43" s="1"/>
  <c r="M53" i="43"/>
  <c r="N53" i="43" s="1"/>
  <c r="K53" i="43"/>
  <c r="J53" i="43" s="1"/>
  <c r="M57" i="43"/>
  <c r="N57" i="43" s="1"/>
  <c r="K57" i="43"/>
  <c r="J57" i="43" s="1"/>
  <c r="F46" i="36"/>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E14" i="74" l="1"/>
  <c r="F14" i="74"/>
  <c r="C5" i="74"/>
  <c r="D14" i="74"/>
  <c r="B5" i="74"/>
  <c r="D5" i="74"/>
  <c r="N61" i="9"/>
  <c r="N59" i="9"/>
  <c r="N60" i="9"/>
  <c r="P57" i="9"/>
  <c r="D55" i="9"/>
  <c r="M53" i="9"/>
  <c r="N57" i="9"/>
  <c r="N58" i="9"/>
  <c r="E81" i="9"/>
  <c r="E80" i="9"/>
  <c r="C80" i="9"/>
  <c r="C72" i="9"/>
  <c r="C79" i="9"/>
  <c r="C81" i="9"/>
  <c r="C104" i="9"/>
  <c r="H4" i="52"/>
  <c r="H119" i="9"/>
  <c r="H5" i="52"/>
  <c r="B32" i="72"/>
  <c r="D14" i="53"/>
  <c r="D13" i="53"/>
  <c r="B30" i="72"/>
  <c r="C86" i="9"/>
  <c r="C93" i="9"/>
  <c r="E97" i="9"/>
  <c r="E96" i="9"/>
  <c r="C96" i="9"/>
  <c r="B47" i="72"/>
  <c r="D4" i="52"/>
  <c r="D54" i="9"/>
  <c r="C68" i="9"/>
  <c r="G4" i="52"/>
  <c r="B52" i="72"/>
  <c r="F119" i="9"/>
  <c r="F5" i="52"/>
  <c r="B53" i="72"/>
  <c r="D9" i="52"/>
  <c r="D123" i="9"/>
  <c r="H108" i="9"/>
  <c r="D15" i="53"/>
  <c r="B31" i="72"/>
  <c r="D8" i="52"/>
  <c r="D6" i="74"/>
  <c r="H107" i="9"/>
  <c r="D122" i="9"/>
  <c r="G14" i="74"/>
  <c r="B6" i="74"/>
  <c r="C6" i="74"/>
  <c r="D52" i="9"/>
  <c r="D53" i="9"/>
  <c r="C78" i="9"/>
  <c r="C73" i="9"/>
  <c r="E4" i="52"/>
  <c r="B48" i="72"/>
  <c r="C64" i="9"/>
  <c r="C63" i="9"/>
  <c r="C67" i="9"/>
  <c r="D59" i="9"/>
  <c r="M55" i="9"/>
  <c r="G118" i="9"/>
  <c r="F118" i="9"/>
  <c r="F4" i="52"/>
  <c r="B51" i="72"/>
  <c r="M48" i="9"/>
  <c r="B20" i="72"/>
  <c r="D5" i="53"/>
  <c r="D6" i="53"/>
  <c r="B22" i="72"/>
  <c r="H101" i="9"/>
  <c r="D45" i="9"/>
  <c r="C85" i="9"/>
  <c r="C95" i="9"/>
  <c r="C97" i="9"/>
  <c r="D58" i="9"/>
  <c r="D56" i="9"/>
  <c r="M54" i="9"/>
  <c r="E118" i="9"/>
  <c r="D118" i="9"/>
  <c r="D119" i="9"/>
  <c r="D5" i="52"/>
  <c r="B49" i="7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<sst xmlns="http://schemas.openxmlformats.org/spreadsheetml/2006/main" count="7678" uniqueCount="3119">
  <si>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</si>
  <si>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</si>
  <si>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</si>
  <si>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</si>
  <si>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</si>
  <si>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</si>
  <si>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</si>
  <si>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</si>
  <si>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</si>
  <si>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</si>
  <si>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</si>
  <si>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</si>
  <si>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</si>
  <si>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</si>
  <si>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</si>
  <si>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</si>
  <si>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</si>
  <si>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</si>
  <si>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</si>
  <si>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</si>
  <si>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</si>
  <si>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</si>
  <si>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</si>
  <si>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</si>
  <si>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</si>
  <si>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</si>
  <si>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</si>
  <si>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</si>
  <si>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</si>
  <si>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</si>
  <si>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</si>
  <si>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</si>
  <si>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</si>
  <si>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</si>
  <si>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</si>
  <si>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</si>
  <si>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</si>
  <si>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</si>
  <si>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</si>
  <si>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</si>
  <si>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</si>
  <si>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</si>
  <si>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</si>
  <si>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</si>
  <si>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</si>
  <si>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</si>
  <si>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</si>
  <si>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</si>
  <si>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</si>
  <si>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</si>
  <si>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</si>
  <si>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</si>
  <si>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</si>
  <si>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</si>
  <si>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</si>
  <si>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</si>
  <si>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</si>
  <si>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</si>
  <si>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</si>
  <si>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</si>
  <si>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</si>
  <si>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</si>
  <si>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</si>
  <si>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</si>
  <si>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</si>
  <si>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</si>
  <si>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</si>
  <si>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</si>
  <si>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</si>
  <si>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</si>
  <si>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</si>
  <si>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</si>
  <si>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</si>
  <si>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</si>
  <si>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</si>
  <si>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</si>
  <si>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</si>
  <si>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</si>
  <si>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</si>
  <si>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</si>
  <si>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</si>
  <si>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</si>
  <si>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</si>
  <si>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</si>
  <si>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</si>
  <si>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</si>
  <si>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</si>
  <si>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</si>
  <si>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</si>
  <si>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</si>
  <si>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</si>
  <si>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</si>
  <si>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</si>
  <si>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</si>
  <si>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</si>
  <si>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</si>
  <si>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</si>
  <si>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</si>
  <si>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</si>
  <si>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</si>
  <si>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</si>
  <si>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</si>
  <si>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</si>
  <si>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</si>
  <si>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</si>
  <si>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</si>
  <si>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</si>
  <si>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</si>
  <si>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</si>
  <si>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</si>
  <si>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</si>
  <si>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</si>
  <si>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</si>
  <si>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</si>
  <si>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</si>
  <si>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</si>
  <si>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</si>
  <si>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</si>
  <si>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</si>
  <si>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</si>
  <si>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</si>
  <si>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</si>
  <si>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</si>
  <si>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</si>
  <si>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</si>
  <si>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</si>
  <si>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</si>
  <si>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</si>
  <si>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</si>
  <si>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</si>
  <si>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</si>
  <si>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</si>
  <si>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</si>
  <si>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</si>
  <si>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</si>
  <si>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</si>
  <si>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</si>
  <si>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</si>
  <si>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</si>
  <si>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</si>
  <si>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</si>
  <si>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</si>
  <si>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</si>
  <si>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</si>
  <si>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</si>
  <si>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</si>
  <si>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</si>
  <si>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</si>
  <si>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</si>
  <si>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</si>
  <si>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</si>
  <si>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</si>
  <si>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</si>
  <si>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</si>
  <si>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</si>
  <si>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</si>
  <si>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</si>
  <si>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</si>
  <si>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</si>
  <si>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</si>
  <si>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</si>
  <si>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</si>
  <si>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</si>
  <si>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</si>
  <si>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</si>
  <si>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</si>
  <si>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</si>
  <si>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</si>
  <si>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</si>
  <si>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</si>
  <si>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</si>
  <si>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</si>
  <si>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</si>
  <si>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</si>
  <si>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</si>
  <si>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</si>
  <si>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</si>
  <si>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</si>
  <si>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</si>
  <si>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</si>
  <si>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</si>
  <si>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</si>
  <si>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</si>
  <si>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</si>
  <si>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</si>
  <si>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</si>
  <si>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</si>
  <si>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</si>
  <si>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</si>
  <si>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</si>
  <si>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</si>
  <si>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</si>
  <si>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</si>
  <si>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</si>
  <si>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</si>
  <si>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</si>
  <si>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</si>
  <si>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</si>
  <si>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</si>
  <si>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</si>
  <si>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</si>
  <si>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</si>
  <si>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</si>
  <si>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</si>
  <si>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</si>
  <si>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</si>
  <si>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</si>
  <si>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</si>
  <si>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</si>
  <si>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</si>
  <si>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</si>
  <si>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</si>
  <si>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</si>
  <si>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</si>
  <si>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</si>
  <si>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</si>
  <si>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</si>
  <si>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</si>
  <si>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</si>
  <si>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</si>
  <si>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</si>
  <si>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</si>
  <si>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</si>
  <si>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</si>
  <si>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</si>
  <si>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</si>
  <si>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</si>
  <si>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</si>
  <si>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</si>
  <si>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</si>
  <si>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</si>
  <si>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</si>
  <si>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</si>
  <si>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</si>
  <si>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</si>
  <si>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</si>
  <si>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</si>
  <si>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</si>
  <si>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</si>
  <si>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</si>
  <si>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</si>
  <si>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</si>
  <si>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</si>
  <si>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</si>
  <si>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</si>
  <si>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</si>
  <si>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</si>
  <si>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</si>
  <si>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</si>
  <si>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</si>
  <si>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</si>
  <si>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</si>
  <si>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</si>
  <si>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</si>
  <si>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</si>
  <si>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</si>
  <si>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</si>
  <si>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</si>
  <si>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</si>
  <si>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</si>
  <si>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</si>
  <si>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</si>
  <si>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</si>
  <si>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</si>
  <si>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</si>
  <si>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</si>
  <si>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</si>
  <si>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</si>
  <si>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</si>
  <si>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</si>
  <si>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</si>
  <si>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</si>
  <si>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</si>
  <si>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</si>
  <si>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</si>
  <si>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</si>
  <si>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</si>
  <si>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</si>
  <si>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</si>
  <si>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</si>
  <si>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</si>
  <si>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</si>
  <si>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</si>
  <si>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</si>
  <si>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</si>
  <si>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</si>
  <si>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</si>
  <si>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</si>
  <si>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</si>
  <si>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</si>
  <si>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</si>
  <si>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</si>
  <si>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</si>
  <si>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</si>
  <si>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</si>
  <si>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</si>
  <si>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</si>
  <si>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</si>
  <si>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</si>
  <si>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</si>
  <si>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</si>
  <si>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</si>
  <si>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</si>
  <si>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</si>
  <si>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</si>
  <si>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</si>
  <si>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</si>
  <si>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</si>
  <si>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</si>
  <si>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</si>
  <si>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</si>
  <si>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</si>
  <si>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</si>
  <si>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</si>
  <si>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</si>
  <si>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</si>
  <si>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</si>
  <si>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</si>
  <si>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</si>
  <si>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</si>
  <si>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</si>
  <si>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</si>
  <si>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</si>
  <si>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</si>
  <si>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</si>
  <si>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</si>
  <si>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</si>
  <si>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</si>
  <si>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</si>
  <si>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</si>
  <si>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</si>
  <si>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</si>
  <si>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</si>
  <si>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</si>
  <si>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</si>
  <si>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</si>
  <si>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</si>
  <si>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</si>
  <si>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</si>
  <si>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</si>
  <si>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</si>
  <si>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</si>
  <si>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</si>
  <si>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</si>
  <si>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</si>
  <si>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</si>
  <si>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</si>
  <si>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</si>
  <si>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</si>
  <si>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</si>
  <si>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</si>
  <si>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</si>
  <si>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</si>
  <si>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</si>
  <si>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</si>
  <si>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</si>
  <si>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</si>
  <si>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</si>
  <si>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</si>
  <si>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</si>
  <si>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</si>
  <si>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</si>
  <si>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</si>
  <si>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</si>
  <si>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</si>
  <si>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</si>
  <si>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</si>
  <si>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</si>
  <si>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</si>
  <si>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</si>
  <si>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</si>
  <si>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</si>
  <si>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</si>
  <si>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</si>
  <si>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</si>
  <si>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</si>
  <si>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</si>
  <si>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</si>
  <si>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</si>
  <si>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</si>
  <si>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</si>
  <si>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</si>
  <si>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</si>
  <si>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</si>
  <si>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</si>
  <si>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</si>
  <si>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</si>
  <si>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</si>
  <si>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</si>
  <si>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</si>
  <si>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</si>
  <si>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</si>
  <si>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</si>
  <si>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</si>
  <si>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</si>
  <si>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</si>
  <si>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</si>
  <si>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</si>
  <si>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</si>
  <si>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</si>
  <si>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</si>
  <si>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</si>
  <si>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</si>
  <si>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</si>
  <si>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</si>
  <si>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</si>
  <si>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</si>
  <si>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</si>
  <si>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</si>
  <si>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</si>
  <si>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</si>
  <si>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</si>
  <si>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</si>
  <si>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</si>
  <si>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</si>
  <si>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</si>
  <si>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</si>
  <si>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</si>
  <si>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</si>
  <si>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</si>
  <si>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</si>
  <si>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</si>
  <si>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</si>
  <si>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</si>
  <si>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</si>
  <si>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</si>
  <si>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</si>
  <si>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</si>
  <si>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</si>
  <si>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</si>
  <si>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</si>
  <si>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</si>
  <si>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</si>
  <si>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</si>
  <si>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</si>
  <si>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</si>
  <si>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</si>
  <si>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</si>
  <si>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</si>
  <si>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</si>
  <si>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</si>
  <si>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</si>
  <si>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</si>
  <si>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</si>
  <si>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</si>
  <si>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</si>
  <si>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</si>
  <si>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</si>
  <si>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</si>
  <si>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</si>
  <si>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</si>
  <si>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</si>
  <si>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</si>
  <si>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</si>
  <si>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</si>
  <si>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</si>
  <si>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</si>
  <si>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</si>
  <si>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</si>
  <si>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</si>
  <si>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</si>
  <si>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</si>
  <si>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</si>
  <si>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</si>
  <si>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</si>
  <si>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</si>
  <si>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</si>
  <si>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</si>
  <si>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</si>
  <si>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</si>
  <si>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</si>
  <si>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</si>
  <si>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</si>
  <si>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</si>
  <si>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</si>
  <si>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</si>
  <si>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</si>
  <si>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</si>
  <si>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</si>
  <si>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</si>
  <si>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</si>
  <si>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</si>
  <si>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</si>
  <si>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</si>
  <si>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</si>
  <si>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</si>
  <si>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</si>
  <si>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</si>
  <si>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</si>
  <si>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</si>
  <si>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</si>
  <si>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</si>
  <si>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</si>
  <si>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</si>
  <si>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</si>
  <si>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</si>
  <si>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</si>
  <si>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</si>
  <si>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</si>
  <si>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</si>
  <si>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</si>
  <si>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</si>
  <si>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</si>
  <si>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</si>
  <si>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</si>
  <si>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</si>
  <si>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</si>
  <si>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</si>
  <si>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</si>
  <si>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</si>
  <si>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</si>
  <si>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</si>
  <si>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</si>
  <si>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</si>
  <si>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</si>
  <si>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</si>
  <si>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</si>
  <si>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</si>
  <si>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</si>
  <si>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</si>
  <si>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</si>
  <si>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</si>
  <si>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</si>
  <si>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</si>
  <si>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</si>
  <si>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</si>
  <si>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</si>
  <si>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</si>
  <si>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</si>
  <si>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</si>
  <si>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</si>
  <si>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</si>
  <si>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</si>
  <si>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</si>
  <si>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</si>
  <si>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</si>
  <si>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</si>
  <si>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</si>
  <si>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</si>
  <si>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</si>
  <si>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</si>
  <si>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</si>
  <si>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</si>
  <si>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</si>
  <si>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</si>
  <si>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</si>
  <si>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</si>
  <si>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</si>
  <si>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</si>
  <si>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</si>
  <si>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</si>
  <si>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</si>
  <si>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</si>
  <si>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</si>
  <si>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</si>
  <si>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</si>
  <si>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</si>
  <si>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</si>
  <si>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</si>
  <si>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</si>
  <si>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</si>
  <si>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</si>
  <si>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</si>
  <si>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</si>
  <si>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</si>
  <si>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</si>
  <si>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</si>
  <si>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</si>
  <si>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</si>
  <si>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</si>
  <si>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</si>
  <si>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</si>
  <si>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</si>
  <si>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</si>
  <si>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</si>
  <si>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</si>
  <si>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</si>
  <si>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</si>
  <si>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</si>
  <si>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</si>
  <si>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</si>
  <si>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</si>
  <si>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</si>
  <si>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</si>
  <si>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</si>
  <si>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</si>
  <si>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</si>
  <si>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</si>
  <si>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</si>
  <si>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</si>
  <si>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</si>
  <si>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</si>
  <si>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</si>
  <si>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</si>
  <si>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</si>
  <si>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</si>
  <si>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</si>
  <si>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</si>
  <si>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</si>
  <si>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</si>
  <si>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</si>
  <si>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</si>
  <si>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</si>
  <si>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</si>
  <si>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</si>
  <si>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</si>
  <si>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</si>
  <si>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</si>
  <si>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</si>
  <si>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</si>
  <si>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</si>
  <si>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</si>
  <si>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</si>
  <si>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</si>
  <si>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</si>
  <si>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</si>
  <si>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</si>
  <si>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</si>
  <si>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</si>
  <si>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</si>
  <si>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</si>
  <si>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</si>
  <si>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</si>
  <si>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</si>
  <si>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</si>
  <si>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</si>
  <si>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</si>
  <si>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</si>
  <si>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</si>
  <si>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</si>
  <si>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</si>
  <si>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</si>
  <si>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</si>
  <si>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</si>
  <si>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</si>
  <si>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</si>
  <si>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</si>
  <si>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</si>
  <si>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</si>
  <si>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</si>
  <si>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</si>
  <si>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</si>
  <si>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</si>
  <si>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</si>
  <si>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</si>
  <si>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</si>
  <si>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</si>
  <si>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</si>
  <si>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</si>
  <si>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</si>
  <si>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</si>
  <si>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</si>
  <si>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</si>
  <si>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</si>
  <si>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</si>
  <si>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</si>
  <si>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</si>
  <si>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</si>
  <si>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</si>
  <si>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</si>
  <si>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</si>
  <si>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</si>
  <si>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</si>
  <si>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</si>
  <si>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</si>
  <si>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</si>
  <si>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</si>
  <si>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</si>
  <si>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</si>
  <si>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</si>
  <si>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</si>
  <si>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</si>
  <si>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</si>
  <si>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</si>
  <si>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</si>
  <si>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</si>
  <si>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</si>
  <si>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</si>
  <si>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</si>
  <si>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</si>
  <si>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</si>
  <si>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</si>
  <si>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</si>
  <si>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</si>
  <si>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</si>
  <si>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</si>
  <si>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</si>
  <si>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</si>
  <si>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</si>
  <si>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</si>
  <si>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</si>
  <si>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</si>
  <si>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</si>
  <si>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</si>
  <si>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</si>
  <si>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</si>
  <si>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</si>
  <si>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</si>
  <si>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</si>
  <si>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</si>
  <si>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</si>
  <si>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</si>
  <si>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</si>
  <si>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</si>
  <si>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</si>
  <si>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</si>
  <si>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</si>
  <si>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</si>
  <si>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</si>
  <si>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</si>
  <si>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</si>
  <si>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</si>
  <si>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</si>
  <si>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</si>
  <si>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</si>
  <si>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</si>
  <si>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</si>
  <si>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</si>
  <si>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</si>
  <si>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</si>
  <si>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</si>
  <si>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</si>
  <si>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</si>
  <si>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</si>
  <si>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</si>
  <si>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</si>
  <si>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</si>
  <si>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</si>
  <si>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</si>
  <si>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</si>
  <si>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</si>
  <si>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</si>
  <si>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</si>
  <si>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</si>
  <si>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</si>
  <si>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</si>
  <si>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</si>
  <si>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</si>
  <si>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</si>
  <si>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</si>
  <si>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</si>
  <si>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</si>
  <si>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</si>
  <si>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</si>
  <si>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</si>
  <si>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</si>
  <si>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</si>
  <si>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</si>
  <si>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</si>
  <si>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</si>
  <si>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</si>
  <si>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</si>
  <si>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</si>
  <si>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</si>
  <si>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</si>
  <si>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</si>
  <si>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</si>
  <si>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</si>
  <si>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</si>
  <si>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</si>
  <si>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</si>
  <si>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</si>
  <si>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</si>
  <si>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</si>
  <si>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</si>
  <si>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</si>
  <si>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</si>
  <si>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</si>
  <si>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</si>
  <si>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</si>
  <si>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</si>
  <si>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</si>
  <si>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</si>
  <si>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</si>
  <si>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</si>
  <si>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</si>
  <si>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</si>
  <si>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</si>
  <si>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</si>
  <si>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</si>
  <si>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</si>
  <si>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</si>
  <si>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</si>
  <si>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</si>
  <si>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</si>
  <si>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</si>
  <si>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</si>
  <si>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</si>
  <si>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</si>
  <si>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</si>
  <si>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</si>
  <si>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</si>
  <si>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</si>
  <si>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</si>
  <si>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</si>
  <si>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</si>
  <si>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</si>
  <si>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</si>
  <si>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</si>
  <si>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</si>
  <si>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</si>
  <si>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</si>
  <si>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</si>
  <si>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</si>
  <si>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</si>
  <si>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</si>
  <si>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</si>
  <si>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</si>
  <si>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</si>
  <si>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</si>
  <si>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</si>
  <si>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</si>
  <si>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</si>
  <si>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</si>
  <si>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</si>
  <si>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</si>
  <si>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</si>
  <si>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</si>
  <si>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</si>
  <si>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</si>
  <si>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</si>
  <si>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</si>
  <si>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</si>
  <si>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</si>
  <si>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</si>
  <si>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</si>
  <si>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</si>
  <si>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</si>
  <si>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</si>
  <si>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</si>
  <si>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</si>
  <si>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</si>
  <si>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</si>
  <si>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</si>
  <si>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</si>
  <si>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</si>
  <si>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</si>
  <si>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</si>
  <si>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</si>
  <si>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</si>
  <si>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</si>
  <si>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</si>
  <si>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</si>
  <si>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</si>
  <si>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</si>
  <si>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</si>
  <si>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</si>
  <si>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</si>
  <si>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</si>
  <si>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</si>
  <si>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</si>
  <si>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</si>
  <si>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</si>
  <si>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</si>
  <si>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</si>
  <si>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</si>
  <si>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</si>
  <si>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</si>
  <si>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</si>
  <si>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</si>
  <si>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</si>
  <si>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</si>
  <si>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</si>
  <si>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</si>
  <si>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</si>
  <si>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</si>
  <si>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</si>
  <si>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</si>
  <si>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</si>
  <si>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</si>
  <si>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</si>
  <si>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</si>
  <si>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</si>
  <si>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</si>
  <si>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</si>
  <si>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</si>
  <si>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</si>
  <si>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</si>
  <si>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</si>
  <si>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</si>
  <si>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</si>
  <si>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</si>
  <si>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</si>
  <si>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</si>
  <si>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</si>
  <si>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</si>
  <si>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</si>
  <si>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</si>
  <si>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</si>
  <si>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</si>
  <si>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</si>
  <si>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</si>
  <si>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</si>
  <si>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</si>
  <si>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</si>
  <si>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</si>
  <si>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</si>
  <si>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</si>
  <si>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</si>
  <si>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</si>
  <si>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</si>
  <si>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</si>
  <si>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</si>
  <si>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</si>
  <si>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</si>
  <si>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</si>
  <si>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</si>
  <si>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</si>
  <si>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</si>
  <si>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</si>
  <si>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</si>
  <si>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</si>
  <si>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</si>
  <si>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</si>
  <si>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</si>
  <si>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</si>
  <si>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</si>
  <si>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</si>
  <si>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</si>
  <si>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</si>
  <si>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</si>
  <si>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</si>
  <si>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</si>
  <si>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</si>
  <si>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</si>
  <si>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</si>
  <si>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</si>
  <si>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</si>
  <si>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</si>
  <si>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</si>
  <si>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</si>
  <si>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</si>
  <si>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</si>
  <si>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</si>
  <si>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</si>
  <si>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</si>
  <si>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</si>
  <si>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</si>
  <si>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</si>
  <si>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</si>
  <si>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</si>
  <si>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</si>
  <si>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</si>
  <si>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</si>
  <si>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</si>
  <si>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</si>
  <si>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</si>
  <si>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</si>
  <si>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</si>
  <si>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</si>
  <si>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</si>
  <si>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</si>
  <si>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</si>
  <si>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</si>
  <si>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</si>
  <si>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</si>
  <si>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</si>
  <si>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</si>
  <si>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</si>
  <si>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</si>
  <si>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</si>
  <si>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</si>
  <si>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</si>
  <si>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</si>
  <si>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</si>
  <si>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</si>
  <si>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</si>
  <si>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</si>
  <si>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</si>
  <si>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</si>
  <si>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</si>
  <si>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</si>
  <si>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</si>
  <si>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</si>
  <si>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</si>
  <si>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</si>
  <si>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</si>
  <si>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</si>
  <si>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</si>
  <si>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</si>
  <si>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</si>
  <si>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</si>
  <si>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</si>
  <si>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</si>
  <si>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</si>
  <si>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</si>
  <si>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</si>
  <si>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</si>
  <si>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</si>
  <si>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</si>
  <si>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</si>
  <si>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</si>
  <si>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</si>
  <si>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</si>
  <si>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</si>
  <si>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</si>
  <si>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</si>
  <si>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</si>
  <si>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</si>
  <si>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</si>
  <si>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</si>
  <si>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</si>
  <si>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</si>
  <si>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</si>
  <si>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</si>
  <si>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</si>
  <si>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</si>
  <si>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</si>
  <si>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</si>
  <si>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</si>
  <si>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</si>
  <si>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</si>
  <si>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</si>
  <si>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</si>
  <si>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</si>
  <si>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</si>
  <si>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</si>
  <si>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</si>
  <si>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</si>
  <si>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</si>
  <si>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</si>
  <si>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</si>
  <si>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</si>
  <si>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</si>
  <si>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</si>
  <si>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</si>
  <si>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</si>
  <si>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</si>
  <si>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</si>
  <si>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</si>
  <si>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</si>
  <si>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</si>
  <si>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</si>
  <si>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</si>
  <si>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</si>
  <si>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</si>
  <si>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</si>
  <si>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</si>
  <si>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</si>
  <si>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</si>
  <si>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</si>
  <si>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</si>
  <si>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</si>
  <si>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</si>
  <si>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</si>
  <si>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</si>
  <si>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</si>
  <si>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</si>
  <si>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</si>
  <si>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</si>
  <si>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</si>
  <si>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</si>
  <si>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</si>
  <si>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</si>
  <si>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</si>
  <si>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</si>
  <si>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</si>
  <si>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</si>
  <si>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</si>
  <si>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</si>
  <si>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</si>
  <si>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</si>
  <si>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</si>
  <si>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</si>
  <si>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</si>
  <si>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</si>
  <si>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</si>
  <si>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</si>
  <si>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</si>
  <si>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</si>
  <si>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</si>
  <si>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</si>
  <si>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</si>
  <si>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</si>
  <si>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</si>
  <si>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</si>
  <si>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</si>
  <si>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</si>
  <si>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</si>
  <si>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</si>
  <si>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</si>
  <si>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</si>
  <si>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</si>
  <si>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</si>
  <si>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</si>
  <si>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</si>
  <si>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</si>
  <si>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</si>
  <si>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</si>
  <si>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</si>
  <si>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</si>
  <si>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</si>
  <si>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</si>
  <si>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</si>
  <si>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</si>
  <si>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</si>
  <si>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</si>
  <si>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</si>
  <si>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</si>
  <si>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</si>
  <si>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</si>
  <si>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</si>
  <si>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</si>
  <si>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</si>
  <si>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</si>
  <si>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</si>
  <si>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</si>
  <si>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</si>
  <si>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</si>
  <si>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</si>
  <si>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</si>
  <si>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</si>
  <si>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</si>
  <si>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</si>
  <si>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</si>
  <si>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</si>
  <si>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</si>
  <si>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</si>
  <si>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</si>
  <si>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</si>
  <si>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</si>
  <si>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</si>
  <si>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</si>
  <si>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</si>
  <si>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</si>
  <si>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</si>
  <si>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</si>
  <si>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</si>
  <si>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</si>
  <si>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</si>
  <si>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</si>
  <si>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</si>
  <si>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</si>
  <si>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</si>
  <si>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</si>
  <si>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</si>
  <si>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</si>
  <si>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</si>
  <si>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</si>
  <si>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</si>
  <si>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</si>
  <si>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</si>
  <si>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</si>
  <si>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</si>
  <si>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</si>
  <si>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</si>
  <si>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</si>
  <si>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</si>
  <si>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</si>
  <si>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</si>
  <si>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</si>
  <si>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</si>
  <si>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</si>
  <si>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</si>
  <si>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</si>
  <si>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</si>
  <si>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</si>
  <si>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</si>
  <si>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</si>
  <si>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</si>
  <si>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</si>
  <si>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</si>
  <si>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</si>
  <si>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</si>
  <si>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</si>
  <si>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</si>
  <si>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</si>
  <si>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</si>
  <si>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</si>
  <si>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</si>
  <si>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</si>
  <si>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</si>
  <si>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</si>
  <si>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</si>
  <si>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</si>
  <si>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</si>
  <si>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</si>
  <si>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</si>
  <si>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</si>
  <si>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</si>
  <si>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</si>
  <si>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</si>
  <si>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</si>
  <si>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</si>
  <si>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</si>
  <si>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</si>
  <si>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</si>
  <si>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</si>
  <si>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</si>
  <si>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</si>
  <si>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</si>
  <si>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</si>
  <si>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</si>
  <si>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</si>
  <si>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</si>
  <si>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</si>
  <si>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</si>
  <si>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</si>
  <si>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</si>
  <si>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</si>
  <si>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</si>
  <si>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</si>
  <si>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</si>
  <si>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</si>
  <si>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</si>
  <si>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</si>
  <si>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</si>
  <si>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</si>
  <si>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</si>
  <si>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</si>
  <si>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</si>
  <si>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</si>
  <si>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</si>
  <si>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</si>
  <si>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</si>
  <si>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</si>
  <si>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</si>
  <si>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</si>
  <si>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</si>
  <si>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</si>
  <si>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</si>
  <si>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</si>
  <si>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</si>
  <si>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</si>
  <si>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</si>
  <si>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</si>
  <si>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</si>
  <si>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</si>
  <si>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</si>
  <si>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</si>
  <si>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</si>
  <si>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</si>
  <si>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</si>
  <si>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</si>
  <si>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</si>
  <si>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</si>
  <si>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</si>
  <si>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</si>
  <si>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</si>
  <si>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</si>
  <si>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</si>
  <si>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</si>
  <si>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</si>
  <si>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</si>
  <si>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</si>
  <si>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</si>
  <si>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</si>
  <si>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</si>
  <si>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</si>
  <si>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</si>
  <si>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</si>
  <si>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</si>
  <si>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</si>
  <si>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</si>
  <si>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</si>
  <si>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</si>
  <si>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</si>
  <si>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</si>
  <si>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</si>
  <si>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</si>
  <si>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</si>
  <si>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</si>
  <si>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</si>
  <si>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</si>
  <si>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</si>
  <si>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</si>
  <si>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</si>
  <si>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</si>
  <si>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</si>
  <si>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</si>
  <si>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</si>
  <si>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</si>
  <si>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</si>
  <si>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</si>
  <si>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</si>
  <si>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</si>
  <si>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</si>
  <si>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</si>
  <si>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</si>
  <si>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</si>
  <si>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</si>
  <si>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</si>
  <si>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</si>
  <si>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</si>
  <si>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</si>
  <si>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</si>
  <si>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</si>
  <si>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</si>
  <si>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</si>
  <si>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</si>
  <si>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</si>
  <si>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</si>
  <si>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</si>
  <si>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</si>
  <si>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</si>
  <si>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</si>
  <si>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</si>
  <si>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</si>
  <si>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</si>
  <si>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</si>
  <si>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</si>
  <si>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</si>
  <si>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</si>
  <si>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</si>
  <si>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</si>
  <si>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</si>
  <si>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</si>
  <si>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</si>
  <si>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</si>
  <si>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</si>
  <si>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</si>
  <si>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</si>
  <si>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</si>
  <si>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</si>
  <si>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</si>
  <si>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</si>
  <si>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</si>
  <si>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</si>
  <si>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</si>
  <si>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</si>
  <si>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</si>
  <si>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</si>
  <si>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</si>
  <si>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</si>
  <si>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</si>
  <si>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</si>
  <si>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</si>
  <si>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</si>
  <si>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</si>
  <si>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</si>
  <si>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</si>
  <si>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</si>
  <si>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</si>
  <si>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</si>
  <si>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</si>
  <si>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</si>
  <si>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</si>
  <si>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</si>
  <si>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</si>
  <si>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</si>
  <si>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</si>
  <si>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</si>
  <si>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</si>
  <si>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</si>
  <si>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</si>
  <si>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</si>
  <si>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</si>
  <si>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</si>
  <si>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</si>
  <si>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</si>
  <si>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</si>
  <si>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</si>
  <si>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</si>
  <si>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</si>
  <si>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</si>
  <si>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</si>
  <si>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</si>
  <si>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</si>
  <si>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</si>
  <si>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</si>
  <si>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</si>
  <si>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</si>
  <si>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</si>
  <si>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</si>
  <si>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</si>
  <si>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</si>
  <si>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</si>
  <si>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</si>
  <si>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</si>
  <si>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</si>
  <si>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</si>
  <si>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</si>
  <si>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</si>
  <si>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</si>
  <si>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</si>
  <si>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</si>
  <si>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</si>
  <si>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</si>
  <si>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</si>
  <si>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</si>
  <si>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</si>
  <si>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</si>
  <si>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</si>
  <si>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</si>
  <si>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</si>
  <si>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</si>
  <si>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</si>
  <si>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</si>
  <si>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</si>
  <si>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</si>
  <si>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</si>
  <si>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</si>
  <si>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</si>
  <si>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</si>
  <si>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</si>
  <si>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</si>
  <si>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</si>
  <si>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</si>
  <si>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</si>
  <si>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</si>
  <si>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</si>
  <si>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</si>
  <si>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</si>
  <si>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</si>
  <si>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</si>
  <si>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</si>
  <si>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</si>
  <si>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</si>
  <si>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</si>
  <si>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</si>
  <si>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</si>
  <si>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</si>
  <si>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</si>
  <si>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</si>
  <si>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</si>
  <si>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</si>
  <si>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</si>
  <si>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</si>
  <si>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</si>
  <si>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</si>
  <si>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</si>
  <si>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</si>
  <si>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</si>
  <si>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</si>
  <si>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</si>
  <si>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</si>
  <si>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</si>
  <si>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</si>
  <si>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</si>
  <si>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</si>
  <si>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</si>
  <si>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</si>
  <si>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</si>
  <si>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</si>
  <si>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</si>
  <si>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</si>
  <si>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</si>
  <si>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</si>
  <si>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</si>
  <si>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</si>
  <si>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</si>
  <si>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</si>
  <si>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</si>
  <si>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</si>
  <si>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</si>
  <si>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</si>
  <si>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</si>
  <si>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</si>
  <si>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</si>
  <si>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</si>
  <si>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</si>
  <si>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</si>
  <si>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</si>
  <si>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</si>
  <si>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</si>
  <si>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</si>
  <si>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</si>
  <si>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</si>
  <si>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</si>
  <si>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</si>
  <si>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</si>
  <si>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</si>
  <si>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</si>
  <si>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</si>
  <si>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</si>
  <si>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</si>
  <si>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</si>
  <si>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</si>
  <si>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</si>
  <si>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</si>
  <si>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</si>
  <si>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</si>
  <si>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</si>
  <si>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</si>
  <si>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</si>
  <si>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</si>
  <si>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</si>
  <si>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</si>
  <si>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</si>
  <si>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</si>
  <si>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</si>
  <si>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</si>
  <si>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</si>
  <si>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</si>
  <si>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</si>
  <si>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</si>
  <si>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</si>
  <si>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</si>
  <si>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</si>
  <si>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</si>
  <si>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</si>
  <si>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</si>
  <si>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</si>
  <si>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</si>
  <si>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</si>
  <si>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</si>
  <si>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</si>
  <si>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</si>
  <si>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</si>
  <si>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</si>
  <si>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</si>
  <si>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</si>
  <si>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</si>
  <si>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</si>
  <si>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</si>
  <si>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</si>
  <si>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</si>
  <si>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</si>
  <si>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</si>
  <si>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</si>
  <si>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</si>
  <si>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</si>
  <si>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</si>
  <si>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</si>
  <si>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</si>
  <si>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</si>
  <si>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</si>
  <si>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</si>
  <si>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</si>
  <si>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</si>
  <si>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</si>
  <si>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</si>
  <si>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</si>
  <si>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</si>
  <si>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</si>
  <si>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</si>
  <si>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</si>
  <si>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</si>
  <si>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</si>
  <si>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</si>
  <si>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</si>
  <si>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</si>
  <si>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</si>
  <si>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</si>
  <si>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</si>
  <si>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</si>
  <si>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</si>
  <si>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</si>
  <si>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</si>
  <si>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</si>
  <si>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</si>
  <si>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</si>
  <si>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</si>
  <si>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</si>
  <si>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</si>
  <si>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</si>
  <si>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</si>
  <si>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</si>
  <si>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</si>
  <si>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</si>
  <si>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</si>
  <si>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</si>
  <si>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</si>
  <si>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</si>
  <si>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</si>
  <si>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</si>
  <si>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</si>
  <si>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</si>
  <si>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</si>
  <si>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</si>
  <si>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</si>
  <si>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</si>
  <si>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</si>
  <si>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</si>
  <si>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</si>
  <si>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</si>
  <si>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</si>
  <si>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</si>
  <si>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</si>
  <si>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</si>
  <si>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</si>
  <si>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</si>
  <si>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</si>
  <si>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</si>
  <si>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</si>
  <si>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</si>
  <si>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</si>
  <si>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</si>
  <si>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</si>
  <si>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</si>
  <si>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</si>
  <si>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</si>
  <si>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</si>
  <si>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</si>
  <si>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</si>
  <si>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</si>
  <si>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</si>
  <si>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</si>
  <si>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</si>
  <si>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</si>
  <si>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</si>
  <si>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</si>
  <si>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</si>
  <si>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</si>
  <si>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</si>
  <si>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</si>
  <si>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</si>
  <si>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</si>
  <si>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</si>
  <si>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</si>
  <si>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</si>
  <si>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</si>
  <si>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</si>
  <si>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</si>
  <si>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</si>
  <si>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</si>
  <si>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</si>
  <si>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</si>
  <si>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</si>
  <si>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</si>
  <si>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</si>
  <si>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</si>
  <si>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</si>
  <si>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</si>
  <si>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</si>
  <si>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</si>
  <si>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</si>
  <si>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</si>
  <si>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</si>
  <si>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</si>
  <si>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</si>
  <si>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</si>
  <si>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</si>
  <si>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</si>
  <si>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</si>
  <si>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</si>
  <si>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</si>
  <si>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</si>
  <si>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</si>
  <si>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</si>
  <si>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</si>
  <si>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</si>
  <si>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</si>
  <si>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</si>
  <si>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</si>
  <si>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</si>
  <si>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</si>
  <si>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</si>
  <si>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</si>
  <si>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</si>
  <si>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</si>
  <si>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</si>
  <si>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</si>
  <si>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</si>
  <si>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</si>
  <si>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</si>
  <si>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</si>
  <si>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</si>
  <si>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</si>
  <si>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</si>
  <si>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</si>
  <si>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</si>
  <si>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</si>
  <si>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</si>
  <si>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</si>
  <si>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</si>
  <si>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</si>
  <si>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</si>
  <si>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</si>
  <si>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</si>
  <si>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</si>
  <si>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</si>
  <si>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</si>
  <si>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</si>
  <si>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</si>
  <si>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</si>
  <si>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</si>
  <si>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</si>
  <si>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</si>
  <si>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</si>
  <si>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</si>
  <si>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</si>
  <si>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</si>
  <si>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</si>
  <si>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</si>
  <si>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</si>
  <si>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</si>
  <si>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</si>
  <si>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</si>
  <si>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</si>
  <si>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</si>
  <si>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</si>
  <si>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</si>
  <si>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</si>
  <si>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</si>
  <si>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</si>
  <si>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</si>
  <si>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</si>
  <si>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</si>
  <si>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</si>
  <si>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</si>
  <si>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</si>
  <si>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</si>
  <si>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</si>
  <si>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</si>
  <si>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</si>
  <si>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</si>
  <si>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</si>
  <si>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</si>
  <si>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</si>
  <si>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</si>
  <si>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</si>
  <si>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</si>
  <si>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</si>
  <si>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</si>
  <si>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</si>
  <si>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</si>
  <si>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</si>
  <si>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</si>
  <si>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</si>
  <si>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</si>
  <si>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</si>
  <si>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</si>
  <si>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</si>
  <si>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</si>
  <si>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</si>
  <si>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</si>
  <si>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</si>
  <si>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</si>
  <si>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</si>
  <si>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</si>
  <si>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</si>
  <si>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</si>
  <si>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</si>
  <si>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</si>
  <si>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</si>
  <si>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</si>
  <si>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</si>
  <si>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</si>
  <si>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</si>
  <si>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</si>
  <si>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</si>
  <si>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</si>
  <si>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</si>
  <si>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</si>
  <si>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</si>
  <si>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</si>
  <si>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</si>
  <si>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</si>
  <si>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</si>
  <si>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</si>
  <si>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</si>
  <si>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</si>
  <si>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</si>
  <si>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</si>
  <si>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</si>
  <si>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</si>
  <si>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</si>
  <si>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</si>
  <si>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</si>
  <si>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</si>
  <si>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</si>
  <si>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</si>
  <si>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</si>
  <si>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</si>
  <si>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</si>
  <si>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</si>
  <si>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</si>
  <si>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</si>
  <si>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</si>
  <si>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</si>
  <si>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</si>
  <si>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</si>
  <si>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</si>
  <si>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</si>
  <si>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</si>
  <si>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</si>
  <si>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</si>
  <si>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</si>
  <si>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</si>
  <si>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</si>
  <si>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</si>
  <si>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</si>
  <si>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</si>
  <si>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</si>
  <si>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</si>
  <si>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</si>
  <si>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</si>
  <si>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</si>
  <si>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</si>
  <si>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</si>
  <si>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</si>
  <si>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</si>
  <si>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</si>
  <si>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</si>
  <si>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</si>
  <si>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</si>
  <si>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</si>
  <si>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</si>
  <si>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</si>
  <si>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</si>
  <si>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</si>
  <si>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</si>
  <si>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</si>
  <si>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</si>
  <si>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</si>
  <si>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</si>
  <si>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</si>
  <si>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</si>
  <si>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</si>
  <si>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</si>
  <si>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</si>
  <si>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</si>
  <si>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</si>
  <si>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</si>
  <si>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</si>
  <si>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</si>
  <si>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</si>
  <si>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</si>
  <si>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</si>
  <si>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</si>
  <si>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</si>
  <si>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</si>
  <si>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</si>
  <si>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</si>
  <si>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</si>
  <si>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</si>
  <si>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</si>
  <si>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</si>
  <si>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</si>
  <si>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</si>
  <si>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</si>
  <si>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</si>
  <si>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</si>
  <si>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</si>
  <si>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</si>
  <si>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</si>
  <si>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</si>
  <si>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</si>
  <si>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</si>
  <si>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</si>
  <si>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</si>
  <si>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</si>
  <si>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</si>
  <si>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</si>
  <si>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</si>
  <si>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</si>
  <si>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</si>
  <si>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</si>
  <si>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</si>
  <si>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</si>
  <si>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</si>
  <si>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</si>
  <si>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</si>
  <si>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</si>
  <si>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</si>
  <si>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</si>
  <si>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</si>
  <si>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</si>
  <si>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</si>
  <si>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</si>
  <si>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</si>
  <si>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</si>
  <si>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</si>
  <si>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</si>
  <si>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</si>
  <si>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</si>
  <si>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</si>
  <si>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</si>
  <si>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</si>
  <si>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</si>
  <si>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</si>
  <si>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</si>
  <si>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</si>
  <si>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</si>
  <si>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</si>
  <si>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</si>
  <si>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</si>
  <si>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</si>
  <si>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</si>
  <si>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</si>
  <si>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</si>
  <si>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</si>
  <si>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</si>
  <si>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</si>
  <si>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</si>
  <si>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</si>
  <si>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</si>
  <si>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</si>
  <si>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</si>
  <si>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</si>
  <si>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</si>
  <si>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</si>
  <si>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</si>
  <si>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</si>
  <si>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</si>
  <si>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</si>
  <si>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</si>
  <si>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</si>
  <si>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</si>
  <si>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</si>
  <si>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</si>
  <si>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</si>
  <si>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</si>
  <si>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</si>
  <si>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</si>
  <si>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</si>
  <si>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</si>
  <si>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</si>
  <si>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</si>
  <si>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</si>
  <si>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</si>
  <si>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</si>
  <si>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</si>
  <si>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</si>
  <si>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</si>
  <si>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</si>
  <si>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</si>
  <si>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</si>
  <si>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</si>
  <si>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</si>
  <si>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</si>
  <si>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</si>
  <si>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</si>
  <si>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</si>
  <si>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</si>
  <si>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</si>
  <si>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</si>
  <si>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</si>
  <si>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</si>
  <si>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</si>
  <si>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</si>
  <si>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</si>
  <si>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</si>
  <si>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</si>
  <si>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</si>
  <si>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</si>
  <si>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</si>
  <si>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</si>
  <si>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</si>
  <si>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</si>
  <si>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</si>
  <si>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</si>
  <si>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</si>
  <si>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</si>
  <si>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</si>
  <si>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</si>
  <si>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</si>
  <si>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</si>
  <si>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</si>
  <si>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</si>
  <si>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</si>
  <si>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</si>
  <si>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</si>
  <si>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</si>
  <si>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</si>
  <si>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</si>
  <si>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</si>
  <si>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</si>
  <si>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</si>
  <si>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</si>
  <si>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</si>
  <si>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</si>
  <si>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</si>
  <si>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</si>
  <si>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</si>
  <si>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</si>
  <si>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</si>
  <si>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</si>
  <si>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</si>
  <si>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</si>
  <si>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</si>
  <si>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</si>
  <si>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</si>
  <si>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</si>
  <si>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</si>
  <si>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</si>
  <si>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</si>
  <si>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</si>
  <si>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</si>
  <si>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</si>
  <si>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</si>
  <si>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</si>
  <si>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</si>
  <si>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</si>
  <si>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</si>
  <si>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</si>
  <si>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</si>
  <si>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</si>
  <si>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</si>
  <si>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</si>
  <si>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</si>
  <si>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</si>
  <si>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</si>
  <si>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</si>
  <si>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</si>
  <si>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</si>
  <si>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</si>
  <si>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</si>
  <si>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</si>
  <si>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</si>
  <si>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</si>
  <si>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</si>
  <si>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</si>
  <si>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</si>
  <si>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</si>
  <si>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</si>
  <si>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</si>
  <si>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</si>
  <si>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</si>
  <si>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</si>
  <si>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</si>
  <si>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</si>
  <si>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</si>
  <si>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</si>
  <si>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</si>
  <si>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</si>
  <si>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</si>
  <si>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</si>
  <si>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</si>
  <si>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</si>
  <si>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</si>
  <si>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</si>
  <si>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</si>
  <si>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</si>
  <si>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</si>
  <si>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</si>
  <si>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</si>
  <si>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</si>
  <si>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</si>
  <si>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</si>
  <si>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</si>
  <si>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</si>
  <si>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</si>
  <si>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</si>
  <si>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</si>
  <si>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</si>
  <si>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</si>
  <si>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</si>
  <si>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</si>
  <si>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</si>
  <si>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</si>
  <si>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</si>
  <si>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</si>
  <si>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</si>
  <si>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</si>
  <si>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</si>
  <si>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</si>
  <si>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</si>
  <si>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</si>
  <si>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</si>
  <si>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</si>
  <si>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</si>
  <si>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</si>
  <si>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</si>
  <si>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</si>
  <si>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</si>
  <si>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</si>
  <si>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</si>
  <si>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</si>
  <si>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</si>
  <si>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</si>
  <si>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</si>
  <si>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</si>
  <si>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</si>
  <si>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</si>
  <si>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</si>
  <si>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</si>
  <si>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</si>
  <si>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</si>
  <si>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</si>
  <si>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</si>
  <si>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</si>
  <si>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</si>
  <si>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</si>
  <si>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</si>
  <si>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</si>
  <si>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</si>
  <si>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</si>
  <si>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</si>
  <si>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</si>
  <si>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</si>
  <si>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</si>
  <si>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</si>
  <si>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</si>
  <si>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</si>
  <si>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</si>
  <si>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</si>
  <si>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</si>
  <si>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</si>
  <si>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</si>
  <si>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</si>
  <si>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</si>
  <si>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</si>
  <si>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</si>
  <si>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</si>
  <si>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</si>
  <si>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</si>
  <si>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</si>
  <si>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</si>
  <si>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</si>
  <si>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</si>
  <si>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</si>
  <si>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</si>
  <si>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</si>
  <si>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</si>
  <si>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</si>
  <si>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</si>
  <si>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</si>
  <si>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</si>
  <si>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</si>
  <si>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</si>
  <si>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</si>
  <si>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</si>
  <si>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</si>
  <si>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</si>
  <si>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</si>
  <si>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</si>
  <si>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</si>
  <si>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</si>
  <si>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</si>
  <si>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</si>
  <si>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</si>
  <si>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</si>
  <si>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</si>
  <si>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</si>
  <si>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</si>
  <si>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</si>
  <si>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</si>
  <si>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</si>
  <si>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</si>
  <si>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</si>
  <si>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</si>
  <si>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</si>
  <si>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</si>
  <si>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</si>
  <si>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</si>
  <si>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</si>
  <si>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</si>
  <si>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</si>
  <si>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</si>
  <si>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</si>
  <si>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</si>
  <si>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</si>
  <si>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</si>
  <si>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</si>
  <si>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</si>
  <si>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</si>
  <si>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</si>
  <si>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</si>
  <si>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</si>
  <si>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</si>
  <si>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</si>
  <si>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</si>
  <si>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</si>
  <si>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</si>
  <si>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</si>
  <si>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</si>
  <si>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</si>
  <si>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</si>
  <si>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</si>
  <si>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</si>
  <si>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</si>
  <si>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</si>
  <si>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</si>
  <si>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</si>
  <si>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</si>
  <si>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</si>
  <si>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</si>
  <si>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</si>
  <si>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</si>
  <si>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</si>
  <si>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</si>
  <si>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</si>
  <si>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</si>
  <si>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</si>
  <si>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</si>
  <si>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</si>
  <si>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</si>
  <si>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</si>
  <si>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</si>
  <si>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</si>
  <si>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</si>
  <si>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</si>
  <si>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</si>
  <si>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</si>
  <si>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</si>
  <si>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</si>
  <si>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</si>
  <si>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</si>
  <si>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</si>
  <si>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</si>
  <si>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</si>
  <si>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</si>
  <si>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</si>
  <si>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</si>
  <si>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</si>
  <si>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</si>
  <si>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</si>
  <si>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</si>
  <si>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</si>
  <si>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</si>
  <si>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</si>
  <si>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</si>
  <si>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</si>
  <si>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</si>
  <si>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</si>
  <si>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</si>
  <si>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</si>
  <si>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</si>
  <si>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</si>
  <si>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</si>
  <si>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</si>
  <si>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</si>
  <si>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</si>
  <si>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</si>
  <si>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</si>
  <si>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</si>
  <si>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</si>
  <si>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</si>
  <si>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</si>
  <si>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</si>
  <si>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</si>
  <si>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</si>
  <si>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</si>
  <si>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</si>
  <si>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</si>
  <si>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</si>
  <si>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</si>
  <si>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</si>
  <si>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</si>
  <si>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</si>
  <si>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</si>
  <si>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</si>
  <si>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</si>
  <si>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</si>
  <si>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</si>
  <si>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</si>
  <si>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</si>
  <si>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</si>
  <si>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</si>
  <si>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</si>
  <si>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</si>
  <si>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</si>
  <si>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</si>
  <si>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</si>
  <si>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</si>
  <si>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</si>
  <si>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</si>
  <si>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</si>
  <si>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</si>
  <si>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</si>
  <si>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</si>
  <si>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</si>
  <si>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</si>
  <si>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</si>
  <si>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</si>
  <si>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</si>
  <si>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</si>
  <si>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</si>
  <si>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</si>
  <si>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</si>
  <si>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</si>
  <si>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</si>
  <si>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</si>
  <si>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</si>
  <si>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</si>
  <si>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</si>
  <si>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</si>
  <si>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</si>
  <si>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</si>
  <si>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</si>
  <si>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</si>
  <si>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</si>
  <si>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</si>
  <si>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</si>
  <si>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</si>
  <si>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</si>
  <si>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</si>
  <si>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</si>
  <si>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</si>
  <si>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</si>
  <si>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</si>
  <si>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</si>
  <si>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</si>
  <si>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</si>
  <si>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</si>
  <si>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</si>
  <si>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</si>
  <si>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</si>
  <si>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</si>
  <si>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</si>
  <si>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</si>
  <si>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</si>
  <si>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</si>
  <si>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</si>
  <si>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</si>
  <si>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</si>
  <si>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</si>
  <si>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</si>
  <si>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</si>
  <si>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</si>
  <si>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</si>
  <si>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</si>
  <si>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</si>
  <si>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</si>
  <si>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</si>
  <si>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</si>
  <si>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</si>
  <si>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</si>
  <si>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</si>
  <si>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</si>
  <si>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</si>
  <si>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</si>
  <si>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</si>
  <si>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</si>
  <si>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</si>
  <si>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</si>
  <si>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</si>
  <si>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</si>
  <si>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</si>
  <si>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</si>
  <si>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</si>
  <si>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</si>
  <si>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</si>
  <si>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</si>
  <si>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</si>
  <si>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</si>
  <si>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</si>
  <si>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</si>
  <si>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</si>
  <si>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</si>
  <si>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</si>
  <si>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</si>
  <si>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</si>
  <si>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</si>
  <si>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</si>
  <si>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</si>
  <si>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</si>
  <si>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</si>
  <si>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</si>
  <si>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</si>
  <si>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</si>
  <si>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</si>
  <si>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</si>
  <si>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</si>
  <si>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</si>
  <si>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</si>
  <si>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</si>
  <si>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</si>
  <si>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</si>
  <si>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</si>
  <si>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</si>
  <si>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</si>
  <si>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</si>
  <si>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</si>
  <si>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</si>
  <si>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</si>
  <si>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</si>
  <si>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</si>
  <si>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</si>
  <si>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</si>
  <si>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</si>
  <si>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</si>
  <si>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</si>
  <si>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</si>
  <si>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</si>
  <si>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</si>
  <si>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</si>
  <si>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</si>
  <si>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</si>
  <si>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</si>
  <si>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</si>
  <si>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</si>
  <si>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</si>
  <si>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</si>
  <si>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</si>
  <si>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</si>
  <si>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</si>
  <si>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</si>
  <si>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</si>
  <si>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</si>
  <si>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</si>
  <si>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</si>
  <si>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</si>
  <si>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</si>
  <si>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</si>
  <si>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</si>
  <si>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</si>
  <si>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</si>
  <si>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</si>
  <si>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</si>
  <si>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</si>
  <si>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</si>
  <si>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</si>
  <si>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</si>
  <si>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</si>
  <si>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</si>
  <si>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</si>
  <si>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</si>
  <si>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</si>
  <si>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</si>
  <si>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</si>
  <si>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</si>
  <si>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</si>
  <si>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</si>
  <si>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</si>
  <si>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</si>
  <si>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</si>
  <si>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</si>
  <si>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</si>
  <si>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</si>
  <si>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</si>
  <si>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</si>
  <si>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</si>
  <si>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</si>
  <si>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</si>
  <si>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</si>
  <si>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</si>
  <si>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</si>
  <si>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</si>
  <si>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</si>
  <si>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</si>
  <si>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</si>
  <si>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</si>
  <si>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</si>
  <si>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</si>
  <si>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</si>
  <si>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</si>
  <si>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</si>
  <si>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</si>
  <si>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</si>
  <si>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</si>
  <si>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</si>
  <si>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</si>
  <si>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</si>
  <si>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</si>
  <si>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</si>
  <si>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</si>
  <si>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</si>
  <si>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</si>
  <si>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</si>
  <si>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</si>
  <si>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</si>
  <si>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</si>
  <si>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</si>
  <si>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</si>
  <si>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</si>
  <si>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</si>
  <si>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</si>
  <si>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</si>
  <si>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</si>
  <si>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</si>
  <si>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</si>
  <si>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</si>
  <si>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</si>
  <si>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</si>
  <si>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</si>
  <si>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</si>
  <si>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</si>
  <si>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</si>
  <si>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</si>
  <si>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</si>
  <si>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</si>
  <si>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</si>
  <si>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</si>
  <si>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</si>
  <si>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</si>
  <si>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</si>
  <si>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</si>
  <si>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</si>
  <si>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</si>
  <si>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</si>
  <si>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</si>
  <si>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</si>
  <si>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</si>
  <si>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</si>
  <si>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</si>
  <si>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</si>
  <si>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</si>
  <si>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</si>
  <si>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</si>
  <si>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</si>
  <si>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</si>
  <si>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</si>
  <si>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</si>
  <si>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</si>
  <si>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</si>
  <si>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</si>
  <si>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</si>
  <si>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</si>
  <si>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</si>
  <si>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</si>
  <si>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</si>
  <si>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</si>
  <si>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</si>
  <si>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</si>
  <si>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</si>
  <si>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</si>
  <si>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</si>
  <si>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</si>
  <si>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</si>
  <si>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</si>
  <si>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</si>
  <si>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</si>
  <si>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</si>
  <si>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</si>
  <si>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</si>
  <si>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</si>
  <si>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</si>
  <si>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</si>
  <si>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</si>
  <si>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</si>
  <si>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</si>
  <si>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</si>
  <si>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</si>
  <si>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</si>
  <si>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</si>
  <si>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</si>
  <si>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</si>
  <si>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</si>
  <si>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</si>
  <si>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</si>
  <si>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</si>
  <si>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</si>
  <si>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</si>
  <si>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</si>
  <si>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</si>
  <si>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</si>
  <si>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</si>
  <si>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</si>
  <si>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</si>
  <si>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</si>
  <si>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</si>
  <si>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</si>
  <si>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</si>
  <si>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</si>
  <si>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</si>
  <si>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</si>
  <si>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</si>
  <si>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</si>
  <si>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</si>
  <si>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</si>
  <si>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</si>
  <si>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</si>
  <si>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</si>
  <si>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</si>
  <si>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</si>
  <si>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</si>
  <si>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</si>
  <si>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</si>
  <si>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</si>
  <si>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</si>
  <si>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</si>
  <si>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</si>
  <si>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</si>
  <si>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</si>
  <si>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</si>
  <si>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</si>
  <si>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</si>
  <si>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</si>
  <si>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</si>
  <si>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</si>
  <si>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</si>
  <si>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</si>
  <si>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</si>
  <si>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</si>
  <si>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</si>
  <si>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</si>
  <si>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</si>
  <si>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</si>
  <si>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</si>
  <si>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</si>
  <si>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</si>
  <si>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</si>
  <si>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</si>
  <si>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</si>
  <si>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</si>
  <si>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</si>
  <si>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</si>
  <si>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</si>
  <si>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</si>
  <si>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</si>
  <si>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</si>
  <si>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</si>
  <si>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</si>
  <si>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</si>
  <si>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</si>
  <si>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</si>
  <si>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</si>
  <si>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</si>
  <si>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</si>
  <si>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</si>
  <si>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</si>
  <si>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</si>
  <si>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</si>
  <si>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</si>
  <si>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</si>
  <si>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</si>
  <si>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</si>
  <si>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</si>
  <si>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</si>
  <si>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</si>
  <si>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</si>
  <si>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</si>
  <si>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</si>
  <si>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</si>
  <si>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</si>
  <si>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</si>
  <si>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</si>
  <si>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</si>
  <si>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</si>
  <si>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</si>
  <si>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</si>
  <si>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</si>
  <si>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</si>
  <si>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</si>
  <si>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</si>
  <si>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</si>
  <si>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</si>
  <si>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</si>
  <si>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</si>
  <si>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</si>
  <si>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</si>
  <si>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</si>
  <si>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</si>
  <si>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</si>
  <si>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</si>
  <si>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</si>
  <si>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</si>
  <si>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</si>
  <si>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</si>
  <si>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</si>
  <si>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</si>
  <si>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</si>
  <si>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</si>
  <si>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</si>
  <si>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</si>
  <si>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</si>
  <si>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</si>
  <si>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</si>
  <si>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</si>
  <si>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</si>
  <si>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</si>
  <si>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</si>
  <si>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</si>
  <si>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</si>
  <si>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</si>
  <si>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</si>
  <si>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</si>
  <si>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</si>
  <si>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</si>
  <si>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</si>
  <si>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</si>
  <si>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</si>
  <si>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</si>
  <si>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</si>
  <si>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</si>
  <si>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</si>
  <si>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</si>
  <si>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</si>
  <si>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</si>
  <si>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</si>
  <si>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</si>
  <si>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</si>
  <si>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</si>
  <si>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</si>
  <si>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</si>
  <si>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</si>
  <si>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</si>
  <si>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</si>
  <si>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</si>
  <si>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</si>
  <si>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</si>
  <si>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</si>
  <si>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</si>
  <si>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</si>
  <si>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</si>
  <si>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</si>
  <si>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</si>
  <si>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</si>
  <si>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</si>
  <si>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</si>
  <si>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</si>
  <si>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</si>
  <si>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</si>
  <si>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</si>
  <si>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</si>
  <si>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</si>
  <si>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</si>
  <si>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</si>
  <si>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</si>
  <si>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</si>
  <si>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</si>
  <si>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</si>
  <si>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</si>
  <si>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</si>
  <si>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</si>
  <si>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</si>
  <si>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</si>
  <si>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</si>
  <si>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</si>
  <si>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</si>
  <si>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</si>
  <si>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</si>
  <si>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</si>
  <si>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</si>
  <si>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</si>
  <si>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</si>
  <si>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</si>
  <si>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</si>
  <si>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</si>
  <si>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</si>
  <si>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</si>
  <si>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</si>
  <si>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</si>
  <si>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</si>
  <si>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</si>
  <si>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</si>
  <si>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</si>
  <si>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</si>
  <si>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</si>
  <si>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</si>
  <si>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</si>
  <si>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</si>
  <si>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</si>
  <si>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</si>
  <si>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</si>
  <si>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</si>
  <si>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</si>
  <si>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</si>
  <si>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</si>
  <si>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</si>
  <si>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</si>
  <si>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</si>
  <si>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</si>
  <si>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</si>
  <si>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</si>
  <si>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</si>
  <si>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</si>
  <si>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</si>
  <si>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</si>
  <si>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</si>
  <si>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</si>
  <si>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</si>
  <si>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</si>
  <si>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</si>
  <si>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</si>
  <si>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</si>
  <si>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</si>
  <si>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</si>
  <si>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</si>
  <si>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</si>
  <si>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</si>
  <si>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</si>
  <si>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</si>
  <si>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</si>
  <si>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</si>
  <si>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</si>
  <si>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</si>
  <si>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</si>
  <si>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</si>
  <si>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</si>
  <si>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</si>
  <si>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</si>
  <si>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</si>
  <si>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</si>
  <si>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</si>
  <si>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</si>
  <si>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</si>
  <si>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</si>
  <si>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</si>
  <si>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</si>
  <si>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</si>
  <si>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</si>
  <si>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</si>
  <si>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</si>
  <si>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</si>
  <si>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</si>
  <si>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</si>
  <si>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</si>
  <si>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</si>
  <si>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</si>
  <si>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</si>
  <si>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</si>
  <si>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</si>
  <si>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</si>
  <si>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</si>
  <si>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</si>
  <si>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</si>
  <si>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</si>
  <si>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</si>
  <si>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</si>
  <si>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</si>
  <si>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</si>
  <si>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</si>
  <si>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</si>
  <si>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</si>
  <si>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</si>
  <si>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</si>
  <si>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</si>
  <si>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</si>
  <si>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</si>
  <si>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</si>
  <si>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</si>
  <si>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</si>
  <si>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</si>
  <si>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</si>
  <si>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</si>
  <si>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</si>
  <si>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</si>
  <si>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</si>
  <si>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</si>
  <si>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</si>
  <si>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</si>
  <si>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</si>
  <si>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</si>
  <si>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</si>
  <si>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</si>
  <si>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</si>
  <si>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</si>
  <si>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</si>
  <si>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</si>
  <si>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</si>
  <si>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</si>
  <si>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</si>
  <si>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</si>
  <si>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</si>
  <si>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</si>
  <si>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</si>
  <si>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</si>
  <si>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</si>
  <si>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</si>
  <si>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</si>
  <si>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</si>
  <si>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</si>
  <si>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</si>
  <si>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</si>
  <si>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</si>
  <si>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</si>
  <si>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</si>
  <si>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</si>
  <si>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</si>
  <si>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</si>
  <si>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</si>
  <si>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</si>
  <si>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</si>
  <si>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</si>
  <si>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</si>
  <si>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</si>
  <si>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</si>
  <si>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</si>
  <si>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</si>
  <si>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</si>
  <si>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</si>
  <si>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</si>
  <si>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</si>
  <si>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</si>
  <si>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</si>
  <si>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</si>
  <si>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</si>
  <si>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</si>
  <si>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</si>
  <si>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</si>
  <si>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</si>
  <si>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</si>
  <si>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</si>
  <si>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</si>
  <si>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</si>
  <si>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</si>
  <si>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</si>
  <si>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</si>
  <si>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</si>
  <si>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</si>
  <si>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</si>
  <si>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</si>
  <si>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</si>
  <si>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</si>
  <si>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</si>
  <si>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</si>
  <si>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</si>
  <si>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</si>
  <si>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</si>
  <si>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</si>
  <si>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</si>
  <si>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</si>
  <si>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</si>
  <si>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</si>
  <si>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</si>
  <si>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</si>
  <si>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</si>
  <si>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</si>
  <si>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</si>
  <si>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</si>
  <si>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</si>
  <si>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</si>
  <si>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</si>
  <si>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</si>
  <si>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</si>
  <si>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</si>
  <si>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</si>
  <si>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</si>
  <si>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</si>
  <si>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</si>
  <si>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</si>
  <si>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</si>
  <si>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</si>
  <si>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</si>
  <si>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</si>
  <si>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</si>
  <si>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</si>
  <si>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</si>
  <si>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</si>
  <si>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</si>
  <si>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</si>
  <si>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</si>
  <si>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</si>
  <si>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</si>
  <si>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</si>
  <si>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</si>
  <si>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</si>
  <si>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</si>
  <si>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</si>
  <si>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</si>
  <si>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</si>
  <si>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</si>
  <si>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</si>
  <si>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</si>
  <si>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</si>
  <si>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</si>
  <si>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</si>
  <si>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</si>
  <si>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</si>
  <si>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</si>
  <si>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</si>
  <si>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</si>
  <si>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</si>
  <si>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</si>
  <si>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</si>
  <si>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</si>
  <si>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</si>
  <si>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</si>
  <si>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</si>
  <si>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</si>
  <si>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</si>
  <si>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</si>
  <si>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</si>
  <si>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</si>
  <si>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</si>
  <si>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</si>
  <si>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</si>
  <si>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</si>
  <si>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</si>
  <si>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</si>
  <si>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</si>
  <si>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</si>
  <si>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</si>
  <si>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</si>
  <si>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</si>
  <si>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</si>
  <si>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</si>
  <si>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</si>
  <si>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</si>
  <si>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</si>
  <si>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</si>
  <si>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</si>
  <si>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</si>
  <si>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</si>
  <si>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</si>
  <si>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</si>
  <si>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</si>
  <si>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</si>
  <si>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</si>
  <si>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</si>
  <si>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</si>
  <si>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</si>
  <si>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</si>
  <si>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</si>
  <si>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</si>
  <si>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</si>
  <si>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</si>
  <si>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</si>
  <si>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</si>
  <si>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</si>
  <si>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</si>
  <si>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</si>
  <si>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</si>
  <si>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</si>
  <si>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</si>
  <si>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</si>
  <si>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</si>
  <si>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</si>
  <si>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</si>
  <si>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</si>
  <si>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</si>
  <si>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</si>
  <si>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</si>
  <si>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</si>
  <si>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</si>
  <si>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</si>
  <si>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</si>
  <si>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</si>
  <si>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</si>
  <si>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</si>
  <si>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</si>
  <si>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</si>
  <si>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</si>
  <si>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</si>
  <si>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</si>
  <si>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</si>
  <si>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</si>
  <si>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</si>
  <si>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</si>
  <si>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</si>
  <si>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</si>
  <si>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</si>
  <si>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</si>
  <si>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</si>
  <si>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</si>
  <si>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</si>
  <si>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</si>
  <si>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</si>
  <si>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</si>
  <si>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</si>
  <si>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</si>
  <si>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</si>
  <si>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</si>
  <si>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</si>
  <si>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</si>
  <si>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</si>
  <si>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</si>
  <si>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</si>
  <si>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</si>
  <si>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</si>
  <si>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</si>
  <si>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</si>
  <si>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</si>
  <si>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</si>
  <si>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</si>
  <si>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</si>
  <si>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</si>
  <si>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</si>
  <si>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</si>
  <si>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</si>
  <si>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</si>
  <si>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</si>
  <si>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</si>
  <si>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</si>
  <si>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</si>
  <si>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</si>
  <si>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</si>
  <si>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</si>
  <si>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</si>
  <si>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</si>
  <si>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</si>
  <si>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</si>
  <si>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</si>
  <si>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</si>
  <si>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</si>
  <si>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</si>
  <si>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</si>
  <si>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</si>
  <si>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</si>
  <si>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</si>
  <si>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</si>
  <si>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</si>
  <si>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</si>
  <si>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</si>
  <si>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</si>
  <si>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</si>
  <si>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</si>
  <si>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</si>
  <si>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</si>
  <si>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</si>
  <si>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</si>
  <si>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</si>
  <si>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</si>
  <si>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</si>
  <si>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</si>
  <si>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</si>
  <si>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</si>
  <si>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</si>
  <si>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</si>
  <si>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</si>
  <si>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</si>
  <si>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</si>
  <si>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</si>
  <si>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</si>
  <si>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</si>
  <si>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</si>
  <si>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</si>
  <si>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</si>
  <si>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</si>
  <si>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</si>
  <si>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</si>
  <si>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</si>
  <si>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</si>
  <si>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</si>
  <si>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</si>
  <si>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</si>
  <si>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</si>
  <si>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</si>
  <si>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</si>
  <si>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</si>
  <si>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</si>
  <si>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</si>
  <si>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</si>
  <si>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</si>
  <si>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</si>
  <si>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</si>
  <si>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</si>
  <si>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</si>
  <si>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</si>
  <si>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</si>
  <si>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</si>
  <si>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</si>
  <si>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</si>
  <si>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</si>
  <si>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</si>
  <si>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</si>
  <si>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</si>
  <si>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出让</t>
  </si>
  <si>
    <t>宗地容积率</t>
  </si>
  <si>
    <t>不临65条商业街</t>
  </si>
  <si>
    <t>与级别开发程度一致</t>
  </si>
  <si>
    <t>容积率修正</t>
  </si>
  <si>
    <t>好</t>
  </si>
  <si>
    <t>较好</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</si>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</sst>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7;&#35821;&#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5">
          <cell r="H5">
            <v>1073.96</v>
          </cell>
        </row>
        <row r="6">
          <cell r="H6">
            <v>1592.6000000000001</v>
          </cell>
        </row>
        <row r="7">
          <cell r="H7">
            <v>1592.5999999999997</v>
          </cell>
        </row>
        <row r="8">
          <cell r="H8">
            <v>1414.23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2022年6月22日（评估专业人员实地查勘之日）</v>
      </c>
    </row>
    <row r="13" spans="1:2" s="1157" customFormat="1">
      <c r="A13" s="1155" t="s">
        <v>766</v>
      </c>
      <c r="B13" s="1156" t="str">
        <f>'预评函-1'!A18</f>
        <v>本次估价的“房地产价值”是指在正常市场情况下，在价值时点2022年6月22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80" zoomScaleNormal="100" zoomScaleSheetLayoutView="80" workbookViewId="0">
      <selection activeCell="D43" sqref="D43"/>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44734</v>
      </c>
      <c r="C3" s="2051" t="s">
        <v>2458</v>
      </c>
      <c r="D3" s="2050">
        <f>B3</f>
        <v>44734</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t="s">
        <v>3111</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t="s">
        <v>403</v>
      </c>
      <c r="C37" s="2110"/>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t="s">
        <v>231</v>
      </c>
      <c r="C38" s="2111"/>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44734</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44734</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44734</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44734</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44734</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44734</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44734</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2022年6月22日（评估专业人员实地查勘之日）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22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44734</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44734</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44734</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0.6</v>
      </c>
      <c r="D57" s="914">
        <v>0.25</v>
      </c>
      <c r="E57" s="645"/>
      <c r="F57" s="855" t="e">
        <f t="shared" si="15"/>
        <v>#DIV/0!</v>
      </c>
      <c r="G57" s="3620" t="s">
        <v>2153</v>
      </c>
      <c r="H57" s="856" t="str">
        <f>项目基本情况!B37</f>
        <v>三级</v>
      </c>
      <c r="I57" s="860">
        <f>SUMIF(修正!A57:A68,H57,修正!B57:B68)</f>
        <v>0.6</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0.3</v>
      </c>
      <c r="D58" s="914">
        <v>0.25</v>
      </c>
      <c r="E58" s="645"/>
      <c r="F58" s="855" t="e">
        <f t="shared" si="15"/>
        <v>#DIV/0!</v>
      </c>
      <c r="G58" s="3620"/>
      <c r="H58" s="856" t="str">
        <f>项目基本情况!B37</f>
        <v>三级</v>
      </c>
      <c r="I58" s="860">
        <f>SUMIF(修正!A57:A68,H58,修正!C57:C68)</f>
        <v>0.3</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0.25</v>
      </c>
      <c r="D59" s="914">
        <v>0.25</v>
      </c>
      <c r="E59" s="645"/>
      <c r="F59" s="855" t="e">
        <f t="shared" si="15"/>
        <v>#DIV/0!</v>
      </c>
      <c r="G59" s="3620"/>
      <c r="H59" s="856" t="str">
        <f>项目基本情况!B37</f>
        <v>三级</v>
      </c>
      <c r="I59" s="860">
        <f>SUMIF(修正!A57:A68,H59,修正!D57:D68)</f>
        <v>0.25</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t="str">
        <f>项目基本情况!B37</f>
        <v>三级</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三级</v>
      </c>
      <c r="I64" s="860">
        <f>SUMIF(修正!A57:A68,H64,修正!G57:G68)</f>
        <v>0.15</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44734</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0.6</v>
      </c>
      <c r="D52" s="914">
        <v>0.25</v>
      </c>
      <c r="E52" s="645"/>
      <c r="F52" s="642" t="e">
        <f t="shared" si="15"/>
        <v>#DIV/0!</v>
      </c>
      <c r="G52" s="3620" t="s">
        <v>2153</v>
      </c>
      <c r="H52" s="856" t="str">
        <f>项目基本情况!B37</f>
        <v>三级</v>
      </c>
      <c r="I52" s="748">
        <f>SUMIF(修正!A57:A68,H52,修正!B57:B68)</f>
        <v>0.6</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0.3</v>
      </c>
      <c r="D53" s="914">
        <v>0.25</v>
      </c>
      <c r="E53" s="645"/>
      <c r="F53" s="642" t="e">
        <f t="shared" si="15"/>
        <v>#DIV/0!</v>
      </c>
      <c r="G53" s="3620"/>
      <c r="H53" s="856" t="str">
        <f>项目基本情况!B37</f>
        <v>三级</v>
      </c>
      <c r="I53" s="748">
        <f>SUMIF(修正!A57:A68,H53,修正!C57:C68)</f>
        <v>0.3</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0.25</v>
      </c>
      <c r="D54" s="914">
        <v>0.25</v>
      </c>
      <c r="E54" s="645"/>
      <c r="F54" s="642" t="e">
        <f t="shared" si="15"/>
        <v>#DIV/0!</v>
      </c>
      <c r="G54" s="3620"/>
      <c r="H54" s="856" t="str">
        <f>项目基本情况!B37</f>
        <v>三级</v>
      </c>
      <c r="I54" s="748">
        <f>SUMIF(修正!A57:A68,H54,修正!D57:D68)</f>
        <v>0.25</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t="str">
        <f>项目基本情况!B37</f>
        <v>三级</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三级</v>
      </c>
      <c r="I59" s="748">
        <f>SUMIF(修正!A57:A68,H59,修正!G57:G68)</f>
        <v>0.15</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zoomScale="70" zoomScaleNormal="80" zoomScaleSheetLayoutView="70" workbookViewId="0">
      <selection activeCell="M17" sqref="M17"/>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910</v>
      </c>
      <c r="F2" s="2695" t="s">
        <v>2199</v>
      </c>
      <c r="G2" s="2695" t="str">
        <f>IF(E2="商业",项目基本情况!B37,IF(E2="办公",项目基本情况!C37,IF(E2="住宅",项目基本情况!D37,IF(E2="工业",项目基本情况!E37,项目基本情况!F37))))</f>
        <v>三级</v>
      </c>
      <c r="H2" s="2695" t="s">
        <v>2200</v>
      </c>
      <c r="I2" s="2695" t="str">
        <f>IF(E2="商业",项目基本情况!B38,IF(E2="办公",项目基本情况!C38,IF(E2="住宅",项目基本情况!D38,IF(E2="工业",项目基本情况!E38,项目基本情况!F38))))</f>
        <v>Ⅲ—06</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34976</v>
      </c>
      <c r="U2" s="3143">
        <f>[2]信息!$H$5</f>
        <v>1073.96</v>
      </c>
      <c r="V2" s="3133">
        <f>ROUND(T2*U2/10000,0)</f>
        <v>3756</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2848</v>
      </c>
      <c r="F3" s="1935" t="s">
        <v>3112</v>
      </c>
      <c r="G3" s="3144">
        <v>3.85</v>
      </c>
      <c r="H3" s="174" t="s">
        <v>2205</v>
      </c>
      <c r="I3" s="3145"/>
      <c r="J3" s="3140" t="s">
        <v>2206</v>
      </c>
      <c r="L3" s="3141" t="s">
        <v>2207</v>
      </c>
      <c r="M3" s="3142">
        <f>SUMPRODUCT((区片价!B30:B54=I2)*(区片价!C3:G3=E2)*(区片价!C30:G54))</f>
        <v>27270</v>
      </c>
      <c r="N3" s="2254">
        <f>SUMPRODUCT((因素修正幅度!B30:B54=I2)*(因素修正幅度!C3:G3=E2)*(因素修正幅度!C30:G54))</f>
        <v>8.3000000000000004E-2</v>
      </c>
      <c r="O3" s="1939"/>
      <c r="P3" s="1939"/>
      <c r="Q3" s="1939"/>
      <c r="R3" s="3133">
        <v>2</v>
      </c>
      <c r="S3" s="3133">
        <f>ROUND(SUMPRODUCT((B107:B111=R3)*(C106:N106=G2)*(C107:N111)),4)</f>
        <v>1.1838</v>
      </c>
      <c r="T3" s="3133">
        <f t="shared" si="0"/>
        <v>27569</v>
      </c>
      <c r="U3" s="3143">
        <f>[2]信息!$H$6</f>
        <v>1592.6000000000001</v>
      </c>
      <c r="V3" s="3133">
        <f t="shared" ref="V3:V16" si="1">ROUND(T3*U3/10000,0)</f>
        <v>4391</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23300</v>
      </c>
      <c r="U4" s="3143">
        <f>[2]信息!$H$7</f>
        <v>1592.5999999999997</v>
      </c>
      <c r="V4" s="3133">
        <f t="shared" si="1"/>
        <v>3711</v>
      </c>
      <c r="W4" s="3134">
        <f>(V2+V3+V4+V5)/(U2+U3+U4+U5)</f>
        <v>2.6023241836009867</v>
      </c>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27270</v>
      </c>
      <c r="D5" s="3147">
        <f>ROUND(C6+C20,0)</f>
        <v>27270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20549</v>
      </c>
      <c r="U5" s="3143">
        <f>[2]信息!$H$8</f>
        <v>1414.23</v>
      </c>
      <c r="V5" s="3133">
        <f t="shared" si="1"/>
        <v>2906</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27270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19748</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三级</v>
      </c>
      <c r="Y7" s="3167" t="s">
        <v>2219</v>
      </c>
      <c r="Z7" s="3168">
        <f>G3</f>
        <v>3.85</v>
      </c>
      <c r="AA7" s="3134"/>
      <c r="AB7" s="3134"/>
      <c r="AC7" s="3134"/>
      <c r="AD7" s="3135"/>
      <c r="AE7" s="3135"/>
      <c r="AF7" s="3135"/>
      <c r="AG7" s="3135"/>
      <c r="AH7" s="3135"/>
      <c r="AI7" s="3135"/>
      <c r="AJ7" s="3136"/>
    </row>
    <row r="8" spans="1:36" ht="25.5">
      <c r="A8" s="3169"/>
      <c r="B8" s="174" t="s">
        <v>2220</v>
      </c>
      <c r="C8" s="3170" t="s">
        <v>3113</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t="s">
        <v>3114</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44734</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0.78790000000000004</v>
      </c>
      <c r="D24" s="3252" t="s">
        <v>2271</v>
      </c>
      <c r="E24" s="3253">
        <f>存贷款利率!E20/100</f>
        <v>4.3499999999999997E-2</v>
      </c>
      <c r="F24" s="3252" t="s">
        <v>2263</v>
      </c>
      <c r="G24" s="3254">
        <f>SUMIF(M30:Q30,E2,M33:Q33)</f>
        <v>5.5E-2</v>
      </c>
      <c r="H24" s="3252" t="s">
        <v>2272</v>
      </c>
      <c r="I24" s="3255">
        <v>22.2</v>
      </c>
      <c r="J24" s="3256">
        <f>IF(E2="住宅",70,IF(E2="商业",40,50))</f>
        <v>40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3115</v>
      </c>
      <c r="C25" s="3262">
        <f>IF(B25="容积率修正",IF(G3&lt;10,D26,J26),C27)</f>
        <v>0.94010000000000005</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0.94010000000000005</v>
      </c>
      <c r="E26" s="3269">
        <f>ROUNDDOWN(G3,1)</f>
        <v>3.8</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3269">
        <f>ROUNDUP(G3,1)</f>
        <v>3.9</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1.0645</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21893</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5473</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13973</v>
      </c>
      <c r="D37" s="3309"/>
      <c r="E37" s="174">
        <f>ROUND(C37*D37/10000,0)</f>
        <v>0</v>
      </c>
      <c r="F37" s="174">
        <f>SUMIF(修正!A57:A68,G2,修正!B57:B68)</f>
        <v>0.6</v>
      </c>
      <c r="G37" s="174">
        <f>ROUND(IF(E2="工业",C37*$M$42,C37*$M$41),0)</f>
        <v>3493</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6986</v>
      </c>
      <c r="D38" s="3309"/>
      <c r="E38" s="174">
        <f t="shared" ref="E38:E42" si="4">ROUND(C38*D38/10000,0)</f>
        <v>0</v>
      </c>
      <c r="F38" s="174">
        <f>SUMIF(修正!A57:A68,G2,修正!C57:C68)</f>
        <v>0.3</v>
      </c>
      <c r="G38" s="174">
        <f>ROUND(IF(E2="工业",C38*$M$42,C38*$M$41),0)</f>
        <v>1747</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5822</v>
      </c>
      <c r="D39" s="3309"/>
      <c r="E39" s="174">
        <f t="shared" si="4"/>
        <v>0</v>
      </c>
      <c r="F39" s="174">
        <f>SUMIF(修正!A57:A68,G2,修正!D57:D68)</f>
        <v>0.25</v>
      </c>
      <c r="G39" s="174">
        <f>ROUND(IF(E2="工业",C39*$M$42,C39*$M$41),0)</f>
        <v>1456</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5822</v>
      </c>
      <c r="D40" s="3309"/>
      <c r="E40" s="174">
        <f t="shared" si="4"/>
        <v>0</v>
      </c>
      <c r="F40" s="178">
        <f>SUMIF(修正!A57:A68,G2,修正!E57:E68)</f>
        <v>0.25</v>
      </c>
      <c r="G40" s="174">
        <f>ROUND(IF(E2="工业",C40*$M$42,C40*$M$41),0)</f>
        <v>1456</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1.0645</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t="s">
        <v>3116</v>
      </c>
      <c r="D51" s="2978">
        <f t="shared" ref="D51:D59" si="7">SUMIF($J$50:$N$50,C51,J51:N51)</f>
        <v>2.4799999999999999E-2</v>
      </c>
      <c r="E51" s="2979">
        <f>ROUND(SUM(D51:D59),4)</f>
        <v>6.4500000000000002E-2</v>
      </c>
      <c r="F51" s="2980">
        <f>IF(E2="商业",SUMIF(L1:L12,G2,N1:N12),"——")</f>
        <v>8.3000000000000004E-2</v>
      </c>
      <c r="G51" s="2981">
        <f>H51</f>
        <v>1.24E-2</v>
      </c>
      <c r="H51" s="2982">
        <f t="shared" ref="H51:H59" si="8">IFERROR(ROUNDDOWN($F$51*I51/2,4),"——")</f>
        <v>1.24E-2</v>
      </c>
      <c r="I51" s="2983">
        <v>0.3</v>
      </c>
      <c r="J51" s="2984">
        <f t="shared" ref="J51:J59" si="9">K51+$G51</f>
        <v>2.4799999999999999E-2</v>
      </c>
      <c r="K51" s="2984">
        <f t="shared" ref="K51:K59" si="10">$L51+$G51</f>
        <v>1.24E-2</v>
      </c>
      <c r="L51" s="2984">
        <v>0</v>
      </c>
      <c r="M51" s="2984">
        <f t="shared" ref="M51:N59" si="11">L51-$G51</f>
        <v>-1.24E-2</v>
      </c>
      <c r="N51" s="2984">
        <f t="shared" si="11"/>
        <v>-2.4799999999999999E-2</v>
      </c>
    </row>
    <row r="52" spans="1:14" s="1939" customFormat="1" ht="38.25">
      <c r="A52" s="2971" t="s">
        <v>2317</v>
      </c>
      <c r="B52" s="2985" t="str">
        <f>估价对象房地状况!C18</f>
        <v>估价对象周边道路状况、公共交通通达情况、停车便捷程度，综合评价交通便捷度较好</v>
      </c>
      <c r="C52" s="2977" t="s">
        <v>3116</v>
      </c>
      <c r="D52" s="2978">
        <f t="shared" si="7"/>
        <v>1.8200000000000001E-2</v>
      </c>
      <c r="E52" s="2986"/>
      <c r="F52" s="2987"/>
      <c r="G52" s="2981">
        <f t="shared" ref="G52:G59" si="12">H52</f>
        <v>9.1000000000000004E-3</v>
      </c>
      <c r="H52" s="2982">
        <f t="shared" si="8"/>
        <v>9.1000000000000004E-3</v>
      </c>
      <c r="I52" s="2983">
        <v>0.22</v>
      </c>
      <c r="J52" s="2984">
        <f t="shared" si="9"/>
        <v>1.8200000000000001E-2</v>
      </c>
      <c r="K52" s="2984">
        <f t="shared" si="10"/>
        <v>9.1000000000000004E-3</v>
      </c>
      <c r="L52" s="2984">
        <v>0</v>
      </c>
      <c r="M52" s="2984">
        <f t="shared" si="11"/>
        <v>-9.1000000000000004E-3</v>
      </c>
      <c r="N52" s="2984">
        <f t="shared" si="11"/>
        <v>-1.8200000000000001E-2</v>
      </c>
    </row>
    <row r="53" spans="1:14" s="1939" customFormat="1" ht="36">
      <c r="A53" s="2988" t="s">
        <v>2839</v>
      </c>
      <c r="B53" s="2985">
        <f>估价对象房地状况!C19</f>
        <v>0</v>
      </c>
      <c r="C53" s="2977" t="s">
        <v>3117</v>
      </c>
      <c r="D53" s="2978">
        <f t="shared" si="7"/>
        <v>4.8999999999999998E-3</v>
      </c>
      <c r="E53" s="2986"/>
      <c r="F53" s="2987"/>
      <c r="G53" s="2981">
        <f t="shared" si="12"/>
        <v>4.8999999999999998E-3</v>
      </c>
      <c r="H53" s="2982">
        <f t="shared" si="8"/>
        <v>4.8999999999999998E-3</v>
      </c>
      <c r="I53" s="2983">
        <v>0.12</v>
      </c>
      <c r="J53" s="2984">
        <f t="shared" si="9"/>
        <v>9.7999999999999997E-3</v>
      </c>
      <c r="K53" s="2984">
        <f t="shared" si="10"/>
        <v>4.8999999999999998E-3</v>
      </c>
      <c r="L53" s="2984">
        <v>0</v>
      </c>
      <c r="M53" s="2984">
        <f t="shared" si="11"/>
        <v>-4.8999999999999998E-3</v>
      </c>
      <c r="N53" s="2984">
        <f t="shared" si="11"/>
        <v>-9.7999999999999997E-3</v>
      </c>
    </row>
    <row r="54" spans="1:14" s="1939" customFormat="1" ht="36.75">
      <c r="A54" s="2971" t="s">
        <v>2318</v>
      </c>
      <c r="B54" s="2989" t="s">
        <v>2319</v>
      </c>
      <c r="C54" s="2977" t="s">
        <v>3117</v>
      </c>
      <c r="D54" s="2978">
        <f t="shared" si="7"/>
        <v>2E-3</v>
      </c>
      <c r="E54" s="2986"/>
      <c r="F54" s="2987"/>
      <c r="G54" s="2981">
        <f t="shared" si="12"/>
        <v>2E-3</v>
      </c>
      <c r="H54" s="2982">
        <f t="shared" si="8"/>
        <v>2E-3</v>
      </c>
      <c r="I54" s="2983">
        <v>0.05</v>
      </c>
      <c r="J54" s="2984">
        <f t="shared" si="9"/>
        <v>4.0000000000000001E-3</v>
      </c>
      <c r="K54" s="2984">
        <f t="shared" si="10"/>
        <v>2E-3</v>
      </c>
      <c r="L54" s="2984">
        <v>0</v>
      </c>
      <c r="M54" s="2984">
        <f t="shared" si="11"/>
        <v>-2E-3</v>
      </c>
      <c r="N54" s="2984">
        <f t="shared" si="11"/>
        <v>-4.0000000000000001E-3</v>
      </c>
    </row>
    <row r="55" spans="1:14" s="1939" customFormat="1" ht="24">
      <c r="A55" s="2971" t="s">
        <v>2320</v>
      </c>
      <c r="B55" s="2985">
        <f>估价对象房地状况!C24</f>
        <v>0</v>
      </c>
      <c r="C55" s="2977" t="s">
        <v>3118</v>
      </c>
      <c r="D55" s="2978">
        <f t="shared" si="7"/>
        <v>0</v>
      </c>
      <c r="E55" s="2986"/>
      <c r="F55" s="2987"/>
      <c r="G55" s="2981">
        <f t="shared" si="12"/>
        <v>3.3E-3</v>
      </c>
      <c r="H55" s="2982">
        <f t="shared" si="8"/>
        <v>3.3E-3</v>
      </c>
      <c r="I55" s="2983">
        <v>0.08</v>
      </c>
      <c r="J55" s="2984">
        <f t="shared" si="9"/>
        <v>6.6E-3</v>
      </c>
      <c r="K55" s="2984">
        <f t="shared" si="10"/>
        <v>3.3E-3</v>
      </c>
      <c r="L55" s="2984">
        <v>0</v>
      </c>
      <c r="M55" s="2984">
        <f t="shared" si="11"/>
        <v>-3.3E-3</v>
      </c>
      <c r="N55" s="2984">
        <f t="shared" si="11"/>
        <v>-6.6E-3</v>
      </c>
    </row>
    <row r="56" spans="1:14" s="1939" customFormat="1" ht="24">
      <c r="A56" s="2971" t="s">
        <v>2321</v>
      </c>
      <c r="B56" s="2990" t="s">
        <v>2322</v>
      </c>
      <c r="C56" s="2977" t="s">
        <v>3117</v>
      </c>
      <c r="D56" s="2978">
        <f t="shared" si="7"/>
        <v>2E-3</v>
      </c>
      <c r="E56" s="2986"/>
      <c r="F56" s="2987"/>
      <c r="G56" s="2981">
        <f t="shared" si="12"/>
        <v>2E-3</v>
      </c>
      <c r="H56" s="2982">
        <f t="shared" si="8"/>
        <v>2E-3</v>
      </c>
      <c r="I56" s="2983">
        <v>0.05</v>
      </c>
      <c r="J56" s="2984">
        <f t="shared" si="9"/>
        <v>4.0000000000000001E-3</v>
      </c>
      <c r="K56" s="2984">
        <f t="shared" si="10"/>
        <v>2E-3</v>
      </c>
      <c r="L56" s="2984">
        <v>0</v>
      </c>
      <c r="M56" s="2984">
        <f t="shared" si="11"/>
        <v>-2E-3</v>
      </c>
      <c r="N56" s="2984">
        <f t="shared" si="11"/>
        <v>-4.0000000000000001E-3</v>
      </c>
    </row>
    <row r="57" spans="1:14" s="1939" customFormat="1" ht="25.5">
      <c r="A57" s="2991" t="s">
        <v>2323</v>
      </c>
      <c r="B57" s="2992" t="str">
        <f>估价对象房地状况!C21</f>
        <v>估价对象所在区域公共配套设施齐备情况</v>
      </c>
      <c r="C57" s="2977" t="s">
        <v>3116</v>
      </c>
      <c r="D57" s="2978">
        <f t="shared" si="7"/>
        <v>4.0000000000000001E-3</v>
      </c>
      <c r="E57" s="2986"/>
      <c r="F57" s="2987"/>
      <c r="G57" s="2981">
        <f t="shared" si="12"/>
        <v>2E-3</v>
      </c>
      <c r="H57" s="2982">
        <f t="shared" si="8"/>
        <v>2E-3</v>
      </c>
      <c r="I57" s="2983">
        <v>0.05</v>
      </c>
      <c r="J57" s="2984">
        <f t="shared" si="9"/>
        <v>4.0000000000000001E-3</v>
      </c>
      <c r="K57" s="2984">
        <f t="shared" si="10"/>
        <v>2E-3</v>
      </c>
      <c r="L57" s="2984">
        <v>0</v>
      </c>
      <c r="M57" s="2984">
        <f t="shared" si="11"/>
        <v>-2E-3</v>
      </c>
      <c r="N57" s="2984">
        <f t="shared" si="11"/>
        <v>-4.0000000000000001E-3</v>
      </c>
    </row>
    <row r="58" spans="1:14" s="1939" customFormat="1" ht="24">
      <c r="A58" s="2991" t="s">
        <v>2324</v>
      </c>
      <c r="B58" s="2985" t="str">
        <f>估价对象房地状况!C22</f>
        <v>估价对象所在区域基础设施水平</v>
      </c>
      <c r="C58" s="2977" t="s">
        <v>3116</v>
      </c>
      <c r="D58" s="2978">
        <f t="shared" si="7"/>
        <v>6.6E-3</v>
      </c>
      <c r="E58" s="2986"/>
      <c r="F58" s="2987"/>
      <c r="G58" s="2981">
        <f t="shared" si="12"/>
        <v>3.3E-3</v>
      </c>
      <c r="H58" s="2982">
        <f t="shared" si="8"/>
        <v>3.3E-3</v>
      </c>
      <c r="I58" s="2983">
        <v>0.08</v>
      </c>
      <c r="J58" s="2984">
        <f t="shared" si="9"/>
        <v>6.6E-3</v>
      </c>
      <c r="K58" s="2984">
        <f t="shared" si="10"/>
        <v>3.3E-3</v>
      </c>
      <c r="L58" s="2984">
        <v>0</v>
      </c>
      <c r="M58" s="2984">
        <f t="shared" si="11"/>
        <v>-3.3E-3</v>
      </c>
      <c r="N58" s="2984">
        <f t="shared" si="11"/>
        <v>-6.6E-3</v>
      </c>
    </row>
    <row r="59" spans="1:14" s="1939" customFormat="1" ht="26.25" thickBot="1">
      <c r="A59" s="2993" t="s">
        <v>2325</v>
      </c>
      <c r="B59" s="2994" t="str">
        <f>估价对象房地状况!C20</f>
        <v>区域自然环境：；人文环境；综合评价环境状况一般</v>
      </c>
      <c r="C59" s="2977" t="s">
        <v>3117</v>
      </c>
      <c r="D59" s="2978">
        <f t="shared" si="7"/>
        <v>2E-3</v>
      </c>
      <c r="E59" s="2995"/>
      <c r="F59" s="2987"/>
      <c r="G59" s="2981">
        <f t="shared" si="12"/>
        <v>2E-3</v>
      </c>
      <c r="H59" s="2982">
        <f t="shared" si="8"/>
        <v>2E-3</v>
      </c>
      <c r="I59" s="2996">
        <v>0.05</v>
      </c>
      <c r="J59" s="2984">
        <f t="shared" si="9"/>
        <v>4.0000000000000001E-3</v>
      </c>
      <c r="K59" s="2984">
        <f t="shared" si="10"/>
        <v>2E-3</v>
      </c>
      <c r="L59" s="2984">
        <v>0</v>
      </c>
      <c r="M59" s="2984">
        <f t="shared" si="11"/>
        <v>-2E-3</v>
      </c>
      <c r="N59" s="2984">
        <f t="shared" si="11"/>
        <v>-4.0000000000000001E-3</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3">IFERROR(ROUNDDOWN($F$62*I62/2,4),"——")</f>
        <v>——</v>
      </c>
      <c r="I62" s="2983">
        <v>0.25</v>
      </c>
      <c r="J62" s="2984">
        <f t="shared" ref="J62:J70" si="14">K62+$G62</f>
        <v>0</v>
      </c>
      <c r="K62" s="2984">
        <f t="shared" ref="K62:K70" si="15">$L62+$G62</f>
        <v>0</v>
      </c>
      <c r="L62" s="2984">
        <v>0</v>
      </c>
      <c r="M62" s="2984">
        <f t="shared" ref="M62:N70" si="16">L62-$G62</f>
        <v>0</v>
      </c>
      <c r="N62" s="2984">
        <f t="shared" si="16"/>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7">SUMIF($J$61:$N$61,C63,J63:N63)</f>
        <v>0</v>
      </c>
      <c r="E63" s="2986"/>
      <c r="F63" s="2987"/>
      <c r="G63" s="2981"/>
      <c r="H63" s="2982" t="str">
        <f t="shared" si="13"/>
        <v>——</v>
      </c>
      <c r="I63" s="2983">
        <v>0.26</v>
      </c>
      <c r="J63" s="2984">
        <f t="shared" si="14"/>
        <v>0</v>
      </c>
      <c r="K63" s="2984">
        <f t="shared" si="15"/>
        <v>0</v>
      </c>
      <c r="L63" s="2984">
        <v>0</v>
      </c>
      <c r="M63" s="2984">
        <f t="shared" si="16"/>
        <v>0</v>
      </c>
      <c r="N63" s="2984">
        <f t="shared" si="16"/>
        <v>0</v>
      </c>
    </row>
    <row r="64" spans="1:14" s="1939" customFormat="1" ht="36">
      <c r="A64" s="2988" t="s">
        <v>2839</v>
      </c>
      <c r="B64" s="2985">
        <f>估价对象房地状况!C19</f>
        <v>0</v>
      </c>
      <c r="C64" s="2977"/>
      <c r="D64" s="2978">
        <f t="shared" si="17"/>
        <v>0</v>
      </c>
      <c r="E64" s="2986"/>
      <c r="F64" s="2987"/>
      <c r="G64" s="2981"/>
      <c r="H64" s="2982" t="str">
        <f t="shared" si="13"/>
        <v>——</v>
      </c>
      <c r="I64" s="2983">
        <v>0.11</v>
      </c>
      <c r="J64" s="2984">
        <f t="shared" si="14"/>
        <v>0</v>
      </c>
      <c r="K64" s="2984">
        <f t="shared" si="15"/>
        <v>0</v>
      </c>
      <c r="L64" s="2984">
        <v>0</v>
      </c>
      <c r="M64" s="2984">
        <f t="shared" si="16"/>
        <v>0</v>
      </c>
      <c r="N64" s="2984">
        <f t="shared" si="16"/>
        <v>0</v>
      </c>
    </row>
    <row r="65" spans="1:33" s="1939" customFormat="1" ht="36.75">
      <c r="A65" s="2971" t="s">
        <v>2318</v>
      </c>
      <c r="B65" s="2989" t="s">
        <v>2319</v>
      </c>
      <c r="C65" s="2977"/>
      <c r="D65" s="2978">
        <f t="shared" si="17"/>
        <v>0</v>
      </c>
      <c r="E65" s="2986"/>
      <c r="F65" s="2987"/>
      <c r="G65" s="2981"/>
      <c r="H65" s="2982" t="str">
        <f t="shared" si="13"/>
        <v>——</v>
      </c>
      <c r="I65" s="2983">
        <v>0.05</v>
      </c>
      <c r="J65" s="2984">
        <f t="shared" si="14"/>
        <v>0</v>
      </c>
      <c r="K65" s="2984">
        <f t="shared" si="15"/>
        <v>0</v>
      </c>
      <c r="L65" s="2984">
        <v>0</v>
      </c>
      <c r="M65" s="2984">
        <f t="shared" si="16"/>
        <v>0</v>
      </c>
      <c r="N65" s="2984">
        <f t="shared" si="16"/>
        <v>0</v>
      </c>
    </row>
    <row r="66" spans="1:33" s="1939" customFormat="1" ht="24">
      <c r="A66" s="2971" t="s">
        <v>2320</v>
      </c>
      <c r="B66" s="2985">
        <f>估价对象房地状况!C24</f>
        <v>0</v>
      </c>
      <c r="C66" s="2977"/>
      <c r="D66" s="2978">
        <f t="shared" si="17"/>
        <v>0</v>
      </c>
      <c r="E66" s="2986"/>
      <c r="F66" s="2987"/>
      <c r="G66" s="2981"/>
      <c r="H66" s="2982" t="str">
        <f t="shared" si="13"/>
        <v>——</v>
      </c>
      <c r="I66" s="2983">
        <v>0.05</v>
      </c>
      <c r="J66" s="2984">
        <f t="shared" si="14"/>
        <v>0</v>
      </c>
      <c r="K66" s="2984">
        <f t="shared" si="15"/>
        <v>0</v>
      </c>
      <c r="L66" s="2984">
        <v>0</v>
      </c>
      <c r="M66" s="2984">
        <f t="shared" si="16"/>
        <v>0</v>
      </c>
      <c r="N66" s="2984">
        <f t="shared" si="16"/>
        <v>0</v>
      </c>
    </row>
    <row r="67" spans="1:33" s="1939" customFormat="1" ht="24">
      <c r="A67" s="2971" t="s">
        <v>2321</v>
      </c>
      <c r="B67" s="2990" t="s">
        <v>2322</v>
      </c>
      <c r="C67" s="2977"/>
      <c r="D67" s="2978">
        <f t="shared" si="17"/>
        <v>0</v>
      </c>
      <c r="E67" s="2986"/>
      <c r="F67" s="2987"/>
      <c r="G67" s="2981"/>
      <c r="H67" s="2982" t="str">
        <f t="shared" si="13"/>
        <v>——</v>
      </c>
      <c r="I67" s="2983">
        <v>0.06</v>
      </c>
      <c r="J67" s="2984">
        <f t="shared" si="14"/>
        <v>0</v>
      </c>
      <c r="K67" s="2984">
        <f t="shared" si="15"/>
        <v>0</v>
      </c>
      <c r="L67" s="2984">
        <v>0</v>
      </c>
      <c r="M67" s="2984">
        <f t="shared" si="16"/>
        <v>0</v>
      </c>
      <c r="N67" s="2984">
        <f t="shared" si="16"/>
        <v>0</v>
      </c>
    </row>
    <row r="68" spans="1:33" s="1939" customFormat="1" ht="25.5">
      <c r="A68" s="2971" t="s">
        <v>2323</v>
      </c>
      <c r="B68" s="2992" t="str">
        <f>估价对象房地状况!C21</f>
        <v>估价对象所在区域公共配套设施齐备情况</v>
      </c>
      <c r="C68" s="2977"/>
      <c r="D68" s="2978">
        <f t="shared" si="17"/>
        <v>0</v>
      </c>
      <c r="E68" s="2986"/>
      <c r="F68" s="2987"/>
      <c r="G68" s="2981"/>
      <c r="H68" s="2982" t="str">
        <f t="shared" si="13"/>
        <v>——</v>
      </c>
      <c r="I68" s="2983">
        <v>0.06</v>
      </c>
      <c r="J68" s="2984">
        <f t="shared" si="14"/>
        <v>0</v>
      </c>
      <c r="K68" s="2984">
        <f t="shared" si="15"/>
        <v>0</v>
      </c>
      <c r="L68" s="2984">
        <v>0</v>
      </c>
      <c r="M68" s="2984">
        <f t="shared" si="16"/>
        <v>0</v>
      </c>
      <c r="N68" s="2984">
        <f t="shared" si="16"/>
        <v>0</v>
      </c>
    </row>
    <row r="69" spans="1:33" s="1939" customFormat="1" ht="24">
      <c r="A69" s="2971" t="s">
        <v>2324</v>
      </c>
      <c r="B69" s="2992" t="str">
        <f>估价对象房地状况!C22</f>
        <v>估价对象所在区域基础设施水平</v>
      </c>
      <c r="C69" s="2977"/>
      <c r="D69" s="2978">
        <f t="shared" si="17"/>
        <v>0</v>
      </c>
      <c r="E69" s="2986"/>
      <c r="F69" s="2987"/>
      <c r="G69" s="2981"/>
      <c r="H69" s="2982" t="str">
        <f t="shared" si="13"/>
        <v>——</v>
      </c>
      <c r="I69" s="2983">
        <v>0.09</v>
      </c>
      <c r="J69" s="2984">
        <f t="shared" si="14"/>
        <v>0</v>
      </c>
      <c r="K69" s="2984">
        <f t="shared" si="15"/>
        <v>0</v>
      </c>
      <c r="L69" s="2984">
        <v>0</v>
      </c>
      <c r="M69" s="2984">
        <f t="shared" si="16"/>
        <v>0</v>
      </c>
      <c r="N69" s="2984">
        <f t="shared" si="16"/>
        <v>0</v>
      </c>
    </row>
    <row r="70" spans="1:33" s="1939" customFormat="1" ht="26.25" thickBot="1">
      <c r="A70" s="2993" t="s">
        <v>2325</v>
      </c>
      <c r="B70" s="2999" t="str">
        <f>估价对象房地状况!C20</f>
        <v>区域自然环境：；人文环境；综合评价环境状况一般</v>
      </c>
      <c r="C70" s="2977"/>
      <c r="D70" s="2978">
        <f t="shared" si="17"/>
        <v>0</v>
      </c>
      <c r="E70" s="2995"/>
      <c r="F70" s="2987"/>
      <c r="G70" s="2981"/>
      <c r="H70" s="2982" t="str">
        <f t="shared" si="13"/>
        <v>——</v>
      </c>
      <c r="I70" s="2996">
        <v>7.0000000000000007E-2</v>
      </c>
      <c r="J70" s="2984">
        <f t="shared" si="14"/>
        <v>0</v>
      </c>
      <c r="K70" s="2984">
        <f t="shared" si="15"/>
        <v>0</v>
      </c>
      <c r="L70" s="2984">
        <v>0</v>
      </c>
      <c r="M70" s="2984">
        <f t="shared" si="16"/>
        <v>0</v>
      </c>
      <c r="N70" s="2984">
        <f t="shared" si="16"/>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3.85</v>
      </c>
      <c r="C117" s="3022" t="s">
        <v>2343</v>
      </c>
      <c r="D117" s="3023">
        <f>SUMPRODUCT((A119:A123=F117)*(B118:M118=H117)*B119:M123)</f>
        <v>0.89510000000000001</v>
      </c>
      <c r="E117" s="2695" t="s">
        <v>2198</v>
      </c>
      <c r="F117" s="3024" t="str">
        <f>E2</f>
        <v>商业</v>
      </c>
      <c r="G117" s="2695" t="s">
        <v>2199</v>
      </c>
      <c r="H117" s="3024" t="str">
        <f>G2</f>
        <v>三级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0.95450000000000002</v>
      </c>
      <c r="C119" s="3033">
        <f>B119</f>
        <v>0.95450000000000002</v>
      </c>
      <c r="D119" s="3033">
        <f>ROUND(0.949-0.014*B117,4)</f>
        <v>0.89510000000000001</v>
      </c>
      <c r="E119" s="3033">
        <f>D119</f>
        <v>0.89510000000000001</v>
      </c>
      <c r="F119" s="3033">
        <f>E119</f>
        <v>0.89510000000000001</v>
      </c>
      <c r="G119" s="3033">
        <f>F119</f>
        <v>0.89510000000000001</v>
      </c>
      <c r="H119" s="3033">
        <f>G119</f>
        <v>0.89510000000000001</v>
      </c>
      <c r="I119" s="3033">
        <f>ROUND(0.8486-0.018*B117,4)</f>
        <v>0.77929999999999999</v>
      </c>
      <c r="J119" s="3033">
        <f t="shared" ref="J119:M122" si="37">I119</f>
        <v>0.77929999999999999</v>
      </c>
      <c r="K119" s="3033">
        <f t="shared" si="37"/>
        <v>0.77929999999999999</v>
      </c>
      <c r="L119" s="3033">
        <f t="shared" si="37"/>
        <v>0.77929999999999999</v>
      </c>
      <c r="M119" s="3034">
        <f t="shared" si="37"/>
        <v>0.77929999999999999</v>
      </c>
    </row>
    <row r="120" spans="1:14">
      <c r="A120" s="3032" t="s">
        <v>2255</v>
      </c>
      <c r="B120" s="3033">
        <f>ROUND(0.993-0.0112*B117,4)</f>
        <v>0.94989999999999997</v>
      </c>
      <c r="C120" s="3033">
        <f>B120</f>
        <v>0.94989999999999997</v>
      </c>
      <c r="D120" s="3033">
        <f>ROUND(0.9415-0.0142*B117,4)</f>
        <v>0.88680000000000003</v>
      </c>
      <c r="E120" s="3033">
        <f t="shared" ref="E120:H121" si="38">D120</f>
        <v>0.88680000000000003</v>
      </c>
      <c r="F120" s="3033">
        <f t="shared" si="38"/>
        <v>0.88680000000000003</v>
      </c>
      <c r="G120" s="3033">
        <f t="shared" si="38"/>
        <v>0.88680000000000003</v>
      </c>
      <c r="H120" s="3033">
        <f t="shared" si="38"/>
        <v>0.88680000000000003</v>
      </c>
      <c r="I120" s="3033">
        <f>ROUND(0.838-0.0182*B117,4)</f>
        <v>0.76790000000000003</v>
      </c>
      <c r="J120" s="3033">
        <f t="shared" si="37"/>
        <v>0.76790000000000003</v>
      </c>
      <c r="K120" s="3033">
        <f t="shared" si="37"/>
        <v>0.76790000000000003</v>
      </c>
      <c r="L120" s="3033">
        <f t="shared" si="37"/>
        <v>0.76790000000000003</v>
      </c>
      <c r="M120" s="3034">
        <f t="shared" si="37"/>
        <v>0.76790000000000003</v>
      </c>
    </row>
    <row r="121" spans="1:14">
      <c r="A121" s="3032" t="s">
        <v>2256</v>
      </c>
      <c r="B121" s="3033">
        <f>ROUND(0.9448-0.0115*B117,4)</f>
        <v>0.90049999999999997</v>
      </c>
      <c r="C121" s="3033">
        <f>B121</f>
        <v>0.90049999999999997</v>
      </c>
      <c r="D121" s="3033">
        <f>ROUND(0.937-0.0145*B117,4)</f>
        <v>0.88119999999999998</v>
      </c>
      <c r="E121" s="3033">
        <f t="shared" si="38"/>
        <v>0.88119999999999998</v>
      </c>
      <c r="F121" s="3033">
        <f t="shared" si="38"/>
        <v>0.88119999999999998</v>
      </c>
      <c r="G121" s="3033">
        <f t="shared" si="38"/>
        <v>0.88119999999999998</v>
      </c>
      <c r="H121" s="3033">
        <f t="shared" si="38"/>
        <v>0.88119999999999998</v>
      </c>
      <c r="I121" s="3033">
        <f>ROUND(0.7965-0.0185*B117,4)</f>
        <v>0.72529999999999994</v>
      </c>
      <c r="J121" s="3033">
        <f t="shared" si="37"/>
        <v>0.72529999999999994</v>
      </c>
      <c r="K121" s="3033">
        <f t="shared" si="37"/>
        <v>0.72529999999999994</v>
      </c>
      <c r="L121" s="3033">
        <f t="shared" si="37"/>
        <v>0.72529999999999994</v>
      </c>
      <c r="M121" s="3034">
        <f t="shared" si="37"/>
        <v>0.72529999999999994</v>
      </c>
    </row>
    <row r="122" spans="1:14" ht="13.5" thickBot="1">
      <c r="A122" s="3035" t="s">
        <v>2257</v>
      </c>
      <c r="B122" s="3036">
        <f>ROUND(0.7836-0.012*B117,4)</f>
        <v>0.73740000000000006</v>
      </c>
      <c r="C122" s="3036">
        <f>B122</f>
        <v>0.73740000000000006</v>
      </c>
      <c r="D122" s="3036">
        <f>ROUND(0.753-0.015*B117,4)</f>
        <v>0.69530000000000003</v>
      </c>
      <c r="E122" s="3036">
        <f>D122</f>
        <v>0.69530000000000003</v>
      </c>
      <c r="F122" s="3036">
        <f>E122</f>
        <v>0.69530000000000003</v>
      </c>
      <c r="G122" s="3036">
        <f>ROUND(0.6612-0.018*B117,4)</f>
        <v>0.59189999999999998</v>
      </c>
      <c r="H122" s="3036">
        <f>G122</f>
        <v>0.59189999999999998</v>
      </c>
      <c r="I122" s="3036">
        <f>ROUND(0.5905-0.019*B117,4)</f>
        <v>0.51739999999999997</v>
      </c>
      <c r="J122" s="3036">
        <f t="shared" si="37"/>
        <v>0.51739999999999997</v>
      </c>
      <c r="K122" s="3036">
        <f t="shared" si="37"/>
        <v>0.51739999999999997</v>
      </c>
      <c r="L122" s="3036">
        <f t="shared" si="37"/>
        <v>0.51739999999999997</v>
      </c>
      <c r="M122" s="3037">
        <f t="shared" si="37"/>
        <v>0.51739999999999997</v>
      </c>
    </row>
    <row r="123" spans="1:14">
      <c r="A123" s="3038" t="s">
        <v>2926</v>
      </c>
      <c r="B123" s="3033">
        <f>ROUND(0.9404-0.0106*B117,4)</f>
        <v>0.89959999999999996</v>
      </c>
      <c r="C123" s="3033">
        <f>B123</f>
        <v>0.89959999999999996</v>
      </c>
      <c r="D123" s="3033">
        <f>ROUND(0.8955-0.0135*B117,4)</f>
        <v>0.84350000000000003</v>
      </c>
      <c r="E123" s="3033">
        <f t="shared" ref="E123" si="39">D123</f>
        <v>0.84350000000000003</v>
      </c>
      <c r="F123" s="3033">
        <f t="shared" ref="F123" si="40">E123</f>
        <v>0.84350000000000003</v>
      </c>
      <c r="G123" s="3033">
        <f t="shared" ref="G123" si="41">F123</f>
        <v>0.84350000000000003</v>
      </c>
      <c r="H123" s="3033">
        <f t="shared" ref="H123" si="42">G123</f>
        <v>0.84350000000000003</v>
      </c>
      <c r="I123" s="3033">
        <f>ROUND(0.7632-0.0166*B117,4)</f>
        <v>0.69930000000000003</v>
      </c>
      <c r="J123" s="3033">
        <f t="shared" ref="J123" si="43">I123</f>
        <v>0.69930000000000003</v>
      </c>
      <c r="K123" s="3033">
        <f t="shared" ref="K123" si="44">J123</f>
        <v>0.69930000000000003</v>
      </c>
      <c r="L123" s="3033">
        <f t="shared" ref="L123" si="45">K123</f>
        <v>0.69930000000000003</v>
      </c>
      <c r="M123" s="3034">
        <f t="shared" ref="M123" si="46">L123</f>
        <v>0.69930000000000003</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0.92520000000000002</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0.88009999999999999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44734</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44734</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2022-06-22T08:47:55Z</dcterms:modified>
</cp:coreProperties>
</file>