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50" windowWidth="11475" windowHeight="95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6" i="1" l="1"/>
  <c r="N6" i="1" l="1"/>
  <c r="N22" i="1" l="1"/>
  <c r="N21" i="1"/>
  <c r="I41" i="40" l="1"/>
  <c r="G41" i="40"/>
  <c r="E41" i="40"/>
  <c r="E109" i="40"/>
  <c r="D109" i="40"/>
  <c r="I5" i="40"/>
  <c r="G5" i="40"/>
  <c r="E5" i="40"/>
  <c r="Y6" i="1" l="1"/>
  <c r="I41" i="37"/>
  <c r="G41" i="37"/>
  <c r="E91" i="37"/>
  <c r="F91" i="37" s="1"/>
  <c r="G91" i="37" s="1"/>
  <c r="H91" i="37" s="1"/>
  <c r="D91" i="37"/>
  <c r="C30" i="37"/>
  <c r="C11" i="40"/>
  <c r="S7"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2" i="77"/>
  <c r="I34" i="40"/>
  <c r="G34" i="40"/>
  <c r="E34" i="40"/>
  <c r="C34" i="40"/>
  <c r="E66" i="40"/>
  <c r="F66" i="40" s="1"/>
  <c r="G66" i="40" s="1"/>
  <c r="H66" i="40" s="1"/>
  <c r="I66" i="40" s="1"/>
  <c r="J66" i="40" s="1"/>
  <c r="K66" i="40" s="1"/>
  <c r="L66" i="40" s="1"/>
  <c r="M66" i="40" s="1"/>
  <c r="N66" i="40" s="1"/>
  <c r="D66" i="40"/>
  <c r="E7" i="40"/>
  <c r="I7" i="40"/>
  <c r="G7" i="40"/>
  <c r="F19" i="6" l="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J17" i="40"/>
  <c r="W17" i="40" s="1"/>
  <c r="F15" i="40"/>
  <c r="S15" i="40" s="1"/>
  <c r="H15" i="40"/>
  <c r="AB15" i="40" s="1"/>
  <c r="S12" i="36"/>
  <c r="AA12" i="36"/>
  <c r="AB30" i="36"/>
  <c r="AC34" i="36"/>
  <c r="U30" i="35"/>
  <c r="U33" i="35"/>
  <c r="F29" i="35"/>
  <c r="S29" i="35"/>
  <c r="H29" i="35"/>
  <c r="AB29"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F36" i="43"/>
  <c r="F81" i="43"/>
  <c r="H83" i="43"/>
  <c r="H113" i="43"/>
  <c r="F48" i="43"/>
  <c r="H52" i="43"/>
  <c r="F70" i="43"/>
  <c r="H73" i="43"/>
  <c r="M11" i="43"/>
  <c r="D17" i="43"/>
  <c r="F39" i="43"/>
  <c r="I17" i="43"/>
  <c r="F35" i="43"/>
  <c r="J17" i="43"/>
  <c r="F6" i="1"/>
  <c r="C10" i="40"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2" i="6"/>
  <c r="E15" i="6"/>
  <c r="E60" i="40" s="1"/>
  <c r="K6" i="1"/>
  <c r="O20"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48" i="9" s="1"/>
  <c r="O52" i="9" s="1"/>
  <c r="S22" i="31"/>
  <c r="J100" i="43"/>
  <c r="S35" i="40"/>
  <c r="W38" i="40"/>
  <c r="AA32" i="40"/>
  <c r="S23" i="40"/>
  <c r="AC17" i="40"/>
  <c r="AC15" i="40"/>
  <c r="AB27"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5" i="3" s="1"/>
  <c r="BA13" i="3"/>
  <c r="E10" i="6"/>
  <c r="E16" i="6" s="1"/>
  <c r="BA5" i="3"/>
  <c r="E27" i="6"/>
  <c r="K20" i="6" s="1"/>
  <c r="M20" i="6" s="1"/>
  <c r="I20" i="6" s="1"/>
  <c r="S20" i="6" s="1"/>
  <c r="E11" i="6"/>
  <c r="E61" i="39"/>
  <c r="BL17" i="3"/>
  <c r="AZ17" i="3"/>
  <c r="BL13" i="3"/>
  <c r="E65" i="39"/>
  <c r="G30" i="6"/>
  <c r="G31" i="6"/>
  <c r="J56" i="9"/>
  <c r="J57" i="9" s="1"/>
  <c r="J59" i="9" s="1"/>
  <c r="J61" i="9" s="1"/>
  <c r="A24" i="51"/>
  <c r="B18" i="72" s="1"/>
  <c r="U29" i="34"/>
  <c r="E14" i="6"/>
  <c r="E64" i="39"/>
  <c r="E5" i="6"/>
  <c r="D9" i="11"/>
  <c r="C9" i="11" s="1"/>
  <c r="P10" i="1"/>
  <c r="E32" i="6"/>
  <c r="L19" i="6"/>
  <c r="G1" i="68"/>
  <c r="K1" i="12"/>
  <c r="F30" i="6"/>
  <c r="E28"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0"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c r="C48" i="35"/>
  <c r="D48" i="35" s="1"/>
  <c r="C4" i="12"/>
  <c r="H66" i="43"/>
  <c r="H65" i="43"/>
  <c r="H64" i="43"/>
  <c r="H63" i="43"/>
  <c r="H55" i="43"/>
  <c r="H56" i="43"/>
  <c r="H72" i="43"/>
  <c r="L20" i="6"/>
  <c r="E62" i="39"/>
  <c r="E56" i="39"/>
  <c r="E51" i="40"/>
  <c r="B6" i="1"/>
  <c r="E6" i="1"/>
  <c r="S8" i="1"/>
  <c r="K11" i="1"/>
  <c r="M11" i="1" s="1"/>
  <c r="AP6" i="1"/>
  <c r="B9" i="1"/>
  <c r="E9" i="1" s="1"/>
  <c r="K7" i="1"/>
  <c r="M7" i="1" s="1"/>
  <c r="O7" i="1" s="1"/>
  <c r="G1" i="15"/>
  <c r="G1" i="69"/>
  <c r="G1" i="67"/>
  <c r="W23" i="40"/>
  <c r="U32" i="40"/>
  <c r="AB31" i="40"/>
  <c r="AB28" i="40"/>
  <c r="W28" i="40"/>
  <c r="W27" i="40"/>
  <c r="W37" i="40"/>
  <c r="AC14" i="40"/>
  <c r="S13" i="40"/>
  <c r="S33" i="40"/>
  <c r="AA15"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9" i="69"/>
  <c r="C9" i="69" s="1"/>
  <c r="D19" i="12"/>
  <c r="C19" i="12" s="1"/>
  <c r="AR11" i="1"/>
  <c r="E59" i="40"/>
  <c r="T13" i="1"/>
  <c r="E53" i="3"/>
  <c r="E175" i="3"/>
  <c r="E319" i="3"/>
  <c r="E530" i="3"/>
  <c r="E501" i="3"/>
  <c r="E343" i="3"/>
  <c r="E153" i="3"/>
  <c r="E305" i="3"/>
  <c r="E426" i="3"/>
  <c r="N6" i="3"/>
  <c r="E508" i="3"/>
  <c r="AJ6" i="3"/>
  <c r="E328"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24" i="6"/>
  <c r="M24" i="6" s="1"/>
  <c r="I24" i="6" s="1"/>
  <c r="S24" i="6" s="1"/>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K26" i="6"/>
  <c r="M26" i="6" s="1"/>
  <c r="I26"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7" i="4"/>
  <c r="B4" i="52" s="1"/>
  <c r="B43" i="72" s="1"/>
  <c r="L18" i="9"/>
  <c r="D3" i="37"/>
  <c r="AC11" i="37"/>
  <c r="W11" i="37"/>
  <c r="W11" i="34"/>
  <c r="AC11" i="34"/>
  <c r="R7" i="1"/>
  <c r="F34" i="11"/>
  <c r="F11" i="12"/>
  <c r="C23" i="12" s="1"/>
  <c r="F34" i="68"/>
  <c r="R8" i="1"/>
  <c r="AE7" i="1"/>
  <c r="AE8" i="1"/>
  <c r="AG6" i="1"/>
  <c r="H109" i="9"/>
  <c r="H110" i="9" s="1"/>
  <c r="D18" i="53" s="1"/>
  <c r="B35"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G17" i="43"/>
  <c r="C16" i="43"/>
  <c r="D5" i="43"/>
  <c r="C5" i="43"/>
  <c r="V13" i="71"/>
  <c r="C13" i="71"/>
  <c r="D14" i="71"/>
  <c r="E41" i="43"/>
  <c r="C41" i="43"/>
  <c r="C20" i="43"/>
  <c r="D11" i="71"/>
  <c r="T13" i="71"/>
  <c r="D12" i="71"/>
  <c r="D13" i="71"/>
  <c r="U13" i="71"/>
  <c r="AO9" i="1"/>
  <c r="F40" i="67"/>
  <c r="E11" i="76"/>
  <c r="D2" i="36"/>
  <c r="D6" i="73"/>
  <c r="F8" i="15"/>
  <c r="F43" i="67"/>
  <c r="F41" i="67"/>
  <c r="D4" i="73"/>
  <c r="J15" i="15"/>
  <c r="F6" i="15"/>
  <c r="D2" i="35"/>
  <c r="F3" i="73"/>
  <c r="B10" i="76"/>
  <c r="M29" i="67"/>
  <c r="E12" i="76"/>
  <c r="B9" i="76"/>
  <c r="F16" i="67"/>
  <c r="F42" i="67"/>
  <c r="B11" i="76"/>
  <c r="M6" i="67"/>
  <c r="F37" i="67"/>
  <c r="L47" i="67"/>
  <c r="E2" i="69"/>
  <c r="F38" i="67"/>
  <c r="AO12" i="1"/>
  <c r="F35" i="67"/>
  <c r="M22" i="67"/>
  <c r="F43" i="15"/>
  <c r="F38" i="15"/>
  <c r="F9" i="67"/>
  <c r="F40" i="15"/>
  <c r="D2" i="34"/>
  <c r="F9" i="15"/>
  <c r="M21" i="67"/>
  <c r="B7" i="76"/>
  <c r="M26" i="15"/>
  <c r="M26" i="67"/>
  <c r="M28" i="15"/>
  <c r="F7" i="73"/>
  <c r="L47" i="15"/>
  <c r="F13" i="15"/>
  <c r="M9" i="67"/>
  <c r="AO11" i="1"/>
  <c r="D5" i="73"/>
  <c r="M24" i="67"/>
  <c r="F8" i="67"/>
  <c r="L48" i="67"/>
  <c r="M22" i="15"/>
  <c r="C76" i="15"/>
  <c r="B8" i="76"/>
  <c r="E7" i="76"/>
  <c r="F4" i="73"/>
  <c r="F42" i="15"/>
  <c r="AO13" i="1"/>
  <c r="M23" i="67"/>
  <c r="F36" i="15"/>
  <c r="F37" i="15"/>
  <c r="D2" i="33"/>
  <c r="D7" i="73"/>
  <c r="M27" i="15"/>
  <c r="M6" i="15"/>
  <c r="M8" i="67"/>
  <c r="E10" i="76"/>
  <c r="F26" i="15"/>
  <c r="M23" i="15"/>
  <c r="F6" i="67"/>
  <c r="M27" i="67"/>
  <c r="F13" i="67"/>
  <c r="F20" i="31"/>
  <c r="D3" i="73"/>
  <c r="AO10" i="1"/>
  <c r="M8" i="15"/>
  <c r="C76" i="67"/>
  <c r="M9" i="15"/>
  <c r="F16" i="15"/>
  <c r="F26" i="67"/>
  <c r="E13" i="76"/>
  <c r="E9" i="76"/>
  <c r="D2" i="37"/>
  <c r="M28" i="67"/>
  <c r="F5" i="73"/>
  <c r="L48" i="15"/>
  <c r="B12" i="76"/>
  <c r="F6" i="73"/>
  <c r="J15" i="67"/>
  <c r="F7" i="67"/>
  <c r="AO7" i="1"/>
  <c r="AO8" i="1"/>
  <c r="F36" i="67"/>
  <c r="B13" i="76"/>
  <c r="E8" i="76"/>
  <c r="E2" i="68"/>
  <c r="M24" i="15"/>
  <c r="D2" i="21"/>
  <c r="M29" i="15"/>
  <c r="F7" i="15"/>
  <c r="D124" i="9" l="1"/>
  <c r="D16" i="53"/>
  <c r="C77" i="9"/>
  <c r="C74" i="9" s="1"/>
  <c r="E68" i="39"/>
  <c r="F68" i="39" s="1"/>
  <c r="U25" i="40"/>
  <c r="F17" i="40"/>
  <c r="AA19" i="40"/>
  <c r="W19" i="40"/>
  <c r="W25" i="40"/>
  <c r="S25" i="40"/>
  <c r="AB19" i="40"/>
  <c r="U15" i="40"/>
  <c r="S37" i="40"/>
  <c r="AB37" i="40"/>
  <c r="S36" i="40"/>
  <c r="AC36" i="40"/>
  <c r="U36" i="40"/>
  <c r="U35" i="40"/>
  <c r="W35" i="40"/>
  <c r="W32" i="40"/>
  <c r="AC32" i="40"/>
  <c r="AB33" i="40"/>
  <c r="S30" i="40"/>
  <c r="U23" i="40"/>
  <c r="S21" i="40"/>
  <c r="P61" i="15"/>
  <c r="W33" i="37"/>
  <c r="F76" i="40"/>
  <c r="J11" i="40"/>
  <c r="W11" i="40" s="1"/>
  <c r="S34" i="40"/>
  <c r="AC11" i="40"/>
  <c r="W34" i="40"/>
  <c r="AA9" i="40"/>
  <c r="AC9" i="40"/>
  <c r="C19" i="11"/>
  <c r="C20" i="11" s="1"/>
  <c r="F30" i="69"/>
  <c r="F48" i="69" s="1"/>
  <c r="D68" i="9"/>
  <c r="M18" i="15"/>
  <c r="F52" i="9"/>
  <c r="F32" i="15"/>
  <c r="F60" i="15" s="1"/>
  <c r="F32" i="67"/>
  <c r="F60" i="67" s="1"/>
  <c r="F28" i="67"/>
  <c r="C28" i="67" s="1"/>
  <c r="C36" i="11"/>
  <c r="C30" i="11"/>
  <c r="F54" i="9"/>
  <c r="F28" i="15"/>
  <c r="C28" i="15" s="1"/>
  <c r="C48" i="69"/>
  <c r="M18" i="67"/>
  <c r="F31" i="12"/>
  <c r="C31" i="12" s="1"/>
  <c r="F30" i="68"/>
  <c r="F53" i="9"/>
  <c r="C21" i="69"/>
  <c r="D22" i="67"/>
  <c r="K19" i="6"/>
  <c r="S6" i="1" s="1"/>
  <c r="C34" i="69"/>
  <c r="C35" i="69" s="1"/>
  <c r="L27" i="6"/>
  <c r="AR7" i="1"/>
  <c r="S16" i="1"/>
  <c r="M16" i="1"/>
  <c r="L16" i="1" s="1"/>
  <c r="P7" i="1"/>
  <c r="C34" i="68"/>
  <c r="C35" i="68" s="1"/>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AY6" i="3"/>
  <c r="AY103" i="3" s="1"/>
  <c r="E66" i="39"/>
  <c r="S26" i="6"/>
  <c r="AY98" i="3"/>
  <c r="AY82" i="3"/>
  <c r="AY18" i="3"/>
  <c r="AY191" i="3"/>
  <c r="AY171" i="3"/>
  <c r="AY132" i="3"/>
  <c r="AY90" i="3"/>
  <c r="AY31" i="3"/>
  <c r="AY163" i="3"/>
  <c r="AY292" i="3"/>
  <c r="AY75" i="3"/>
  <c r="AY147" i="3"/>
  <c r="AY237" i="3"/>
  <c r="AY220" i="3"/>
  <c r="AY387" i="3"/>
  <c r="AY350" i="3"/>
  <c r="AY334" i="3"/>
  <c r="O12" i="1"/>
  <c r="P12" i="1" s="1"/>
  <c r="D3" i="34"/>
  <c r="D3" i="33"/>
  <c r="E6" i="6"/>
  <c r="D37" i="11"/>
  <c r="C37" i="11" s="1"/>
  <c r="D14" i="12"/>
  <c r="D17" i="12" s="1"/>
  <c r="C17" i="12" s="1"/>
  <c r="M18" i="9"/>
  <c r="B118" i="9" s="1"/>
  <c r="B14" i="74" s="1"/>
  <c r="B1" i="74" s="1"/>
  <c r="O14" i="1"/>
  <c r="P14" i="1" s="1"/>
  <c r="O11" i="1"/>
  <c r="P11" i="1" s="1"/>
  <c r="K15" i="1"/>
  <c r="K16" i="1" s="1"/>
  <c r="E30" i="6"/>
  <c r="O9" i="1"/>
  <c r="P9" i="1" s="1"/>
  <c r="O8" i="1"/>
  <c r="T7" i="1"/>
  <c r="H16" i="1"/>
  <c r="Q16" i="1"/>
  <c r="K23" i="6"/>
  <c r="M23" i="6" s="1"/>
  <c r="I23" i="6" s="1"/>
  <c r="K25" i="6"/>
  <c r="M25" i="6" s="1"/>
  <c r="I25" i="6" s="1"/>
  <c r="S25" i="6" s="1"/>
  <c r="K22" i="6"/>
  <c r="M22" i="6" s="1"/>
  <c r="I22" i="6" s="1"/>
  <c r="S22" i="6" s="1"/>
  <c r="K21" i="6"/>
  <c r="M21" i="6" s="1"/>
  <c r="I21" i="6" s="1"/>
  <c r="S21" i="6" s="1"/>
  <c r="E31" i="6"/>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A19" i="51"/>
  <c r="B14" i="72" s="1"/>
  <c r="T35" i="4"/>
  <c r="E70" i="39"/>
  <c r="T14" i="43"/>
  <c r="V14" i="43" s="1"/>
  <c r="F70" i="39"/>
  <c r="G68" i="39"/>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T11" i="43"/>
  <c r="V11" i="43" s="1"/>
  <c r="T12" i="43"/>
  <c r="V12" i="43" s="1"/>
  <c r="Y9" i="71"/>
  <c r="Z9" i="71" s="1"/>
  <c r="Y8" i="71"/>
  <c r="Z8" i="71" s="1"/>
  <c r="AA9" i="71"/>
  <c r="AB3" i="71"/>
  <c r="C35" i="43"/>
  <c r="E35" i="43" s="1"/>
  <c r="C36" i="43"/>
  <c r="E36" i="43" s="1"/>
  <c r="T9" i="43"/>
  <c r="V9" i="43" s="1"/>
  <c r="C39" i="43"/>
  <c r="C37" i="43"/>
  <c r="E37" i="43" s="1"/>
  <c r="B9" i="71"/>
  <c r="B8" i="71" s="1"/>
  <c r="B7" i="71" s="1"/>
  <c r="B6" i="71" s="1"/>
  <c r="B5" i="71" s="1"/>
  <c r="X9" i="71"/>
  <c r="AB9" i="71"/>
  <c r="T15" i="43"/>
  <c r="V15" i="43" s="1"/>
  <c r="Y3" i="71"/>
  <c r="Z3" i="71" s="1"/>
  <c r="D9" i="71"/>
  <c r="F9" i="71"/>
  <c r="F8" i="71" s="1"/>
  <c r="F7" i="71" s="1"/>
  <c r="F6" i="71" s="1"/>
  <c r="F5" i="71" s="1"/>
  <c r="AF3" i="71"/>
  <c r="P22" i="43" s="1"/>
  <c r="C34" i="43"/>
  <c r="T10" i="43"/>
  <c r="V10" i="43" s="1"/>
  <c r="C33" i="43"/>
  <c r="T16" i="43"/>
  <c r="V16" i="43" s="1"/>
  <c r="T13" i="43"/>
  <c r="V13" i="43" s="1"/>
  <c r="T8" i="43"/>
  <c r="V8" i="43" s="1"/>
  <c r="C38" i="43"/>
  <c r="G35" i="43"/>
  <c r="I35"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7" i="67"/>
  <c r="C16" i="15"/>
  <c r="C17" i="15"/>
  <c r="C14" i="67"/>
  <c r="C16" i="67"/>
  <c r="G1" i="73"/>
  <c r="AQ6" i="1" l="1"/>
  <c r="E6" i="70"/>
  <c r="E2" i="70" s="1"/>
  <c r="B34" i="72"/>
  <c r="D17" i="53"/>
  <c r="B36" i="72" s="1"/>
  <c r="H14" i="74"/>
  <c r="B7" i="74" s="1"/>
  <c r="C7" i="74" s="1"/>
  <c r="D10" i="52"/>
  <c r="D125" i="9"/>
  <c r="D11" i="52" s="1"/>
  <c r="J7" i="37"/>
  <c r="H7" i="36"/>
  <c r="H7" i="34"/>
  <c r="J7" i="34"/>
  <c r="AA17" i="40"/>
  <c r="S17" i="40"/>
  <c r="G76" i="40"/>
  <c r="H76" i="40" s="1"/>
  <c r="I76" i="40" s="1"/>
  <c r="J76" i="40" s="1"/>
  <c r="K76" i="40" s="1"/>
  <c r="L76" i="40" s="1"/>
  <c r="M76" i="40" s="1"/>
  <c r="F11" i="40"/>
  <c r="H11" i="40"/>
  <c r="C38" i="68"/>
  <c r="C30" i="69"/>
  <c r="F48" i="68"/>
  <c r="C30" i="68"/>
  <c r="C48" i="68"/>
  <c r="C38" i="69"/>
  <c r="C14" i="12"/>
  <c r="M19" i="6"/>
  <c r="T6" i="1"/>
  <c r="D22" i="43"/>
  <c r="K27" i="6"/>
  <c r="AR6" i="1"/>
  <c r="F10" i="39"/>
  <c r="S10" i="39" s="1"/>
  <c r="O16" i="1"/>
  <c r="N16" i="1"/>
  <c r="C34" i="11"/>
  <c r="P8" i="1"/>
  <c r="P16" i="1" s="1"/>
  <c r="C11" i="12" s="1"/>
  <c r="AY319" i="3"/>
  <c r="AY363" i="3"/>
  <c r="AY209" i="3"/>
  <c r="AY252" i="3"/>
  <c r="AY284" i="3"/>
  <c r="AY204" i="3"/>
  <c r="AY261" i="3"/>
  <c r="AY123" i="3"/>
  <c r="AY183" i="3"/>
  <c r="AY74" i="3"/>
  <c r="AY289" i="3"/>
  <c r="AY139" i="3"/>
  <c r="AY160" i="3"/>
  <c r="AY196" i="3"/>
  <c r="AY50" i="3"/>
  <c r="AY67" i="3"/>
  <c r="E6" i="3"/>
  <c r="AY83" i="3"/>
  <c r="AY66" i="3"/>
  <c r="AY23" i="3"/>
  <c r="AY176" i="3"/>
  <c r="AY155" i="3"/>
  <c r="AY115" i="3"/>
  <c r="AY59" i="3"/>
  <c r="AY188" i="3"/>
  <c r="AY131" i="3"/>
  <c r="AY276" i="3"/>
  <c r="AY58" i="3"/>
  <c r="AY297" i="3"/>
  <c r="AY268" i="3"/>
  <c r="AY225" i="3"/>
  <c r="AY371" i="3"/>
  <c r="AY335"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87" i="3"/>
  <c r="AY34" i="3"/>
  <c r="AY144" i="3"/>
  <c r="AY95" i="3"/>
  <c r="AY152" i="3"/>
  <c r="AY111" i="3"/>
  <c r="AY253" i="3"/>
  <c r="AY382" i="3"/>
  <c r="AY303"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1" i="3"/>
  <c r="AY205" i="3"/>
  <c r="AY174" i="3"/>
  <c r="AY142" i="3"/>
  <c r="AY51" i="3"/>
  <c r="AY124" i="3"/>
  <c r="AY281" i="3"/>
  <c r="AY236"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37"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07" i="3"/>
  <c r="AY42" i="3"/>
  <c r="AY168" i="3"/>
  <c r="AY366"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94" i="3"/>
  <c r="AY158"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7" i="69"/>
  <c r="F27" i="68"/>
  <c r="F28" i="12"/>
  <c r="C29" i="12" s="1"/>
  <c r="D28" i="12" s="1"/>
  <c r="F27" i="11"/>
  <c r="T16" i="1"/>
  <c r="H25" i="6"/>
  <c r="H21" i="6"/>
  <c r="S23" i="6"/>
  <c r="H23" i="6"/>
  <c r="M27" i="6"/>
  <c r="I19" i="6"/>
  <c r="D10" i="68"/>
  <c r="D10" i="11"/>
  <c r="C10" i="11" s="1"/>
  <c r="D20" i="12"/>
  <c r="C20" i="12" s="1"/>
  <c r="D10" i="69"/>
  <c r="E104" i="43"/>
  <c r="E107" i="43"/>
  <c r="E105" i="43"/>
  <c r="E102" i="43"/>
  <c r="E106" i="43"/>
  <c r="E109"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N102" i="43"/>
  <c r="N105" i="43"/>
  <c r="N104" i="43"/>
  <c r="N103" i="43"/>
  <c r="N106" i="43"/>
  <c r="N107" i="43"/>
  <c r="N109" i="43"/>
  <c r="K103" i="43"/>
  <c r="K102" i="43"/>
  <c r="K105" i="43"/>
  <c r="K107" i="43"/>
  <c r="K104" i="43"/>
  <c r="K106" i="43"/>
  <c r="K109" i="43"/>
  <c r="H107" i="43"/>
  <c r="H106" i="43"/>
  <c r="H102" i="43"/>
  <c r="H109" i="43"/>
  <c r="H103" i="43"/>
  <c r="H105" i="43"/>
  <c r="H104" i="43"/>
  <c r="I109" i="43"/>
  <c r="I102" i="43"/>
  <c r="I106" i="43"/>
  <c r="I103" i="43"/>
  <c r="I104" i="43"/>
  <c r="I107" i="43"/>
  <c r="I105" i="43"/>
  <c r="D109" i="43"/>
  <c r="D105" i="43"/>
  <c r="D103" i="43"/>
  <c r="D104" i="43"/>
  <c r="D107" i="43"/>
  <c r="D106" i="43"/>
  <c r="D102" i="43"/>
  <c r="F104" i="43"/>
  <c r="F102" i="43"/>
  <c r="F105" i="43"/>
  <c r="F107" i="43"/>
  <c r="F106" i="43"/>
  <c r="F103" i="43"/>
  <c r="F109" i="43"/>
  <c r="L109" i="43"/>
  <c r="L106" i="43"/>
  <c r="L103" i="43"/>
  <c r="L102" i="43"/>
  <c r="L105" i="43"/>
  <c r="L104" i="43"/>
  <c r="L107" i="43"/>
  <c r="J107" i="43"/>
  <c r="J102" i="43"/>
  <c r="J104" i="43"/>
  <c r="J105" i="43"/>
  <c r="J103" i="43"/>
  <c r="J106" i="43"/>
  <c r="J109" i="43"/>
  <c r="G107" i="43"/>
  <c r="G104" i="43"/>
  <c r="G106" i="43"/>
  <c r="G109" i="43"/>
  <c r="G105" i="43"/>
  <c r="G102" i="43"/>
  <c r="G103" i="43"/>
  <c r="J10" i="39"/>
  <c r="AC10" i="39" s="1"/>
  <c r="H10" i="40"/>
  <c r="U10" i="40" s="1"/>
  <c r="H10" i="39"/>
  <c r="AB10" i="39" s="1"/>
  <c r="J10" i="40"/>
  <c r="AC10" i="40" s="1"/>
  <c r="G36" i="43"/>
  <c r="I36" i="43" s="1"/>
  <c r="F7" i="34"/>
  <c r="G70" i="39"/>
  <c r="H68" i="39"/>
  <c r="H7" i="37"/>
  <c r="AB7" i="37" s="1"/>
  <c r="T42" i="37" s="1"/>
  <c r="G42" i="37" s="1"/>
  <c r="B40" i="1"/>
  <c r="W10" i="39"/>
  <c r="AB10" i="40"/>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4" i="15"/>
  <c r="C15" i="15" l="1"/>
  <c r="C18" i="15"/>
  <c r="U7" i="37"/>
  <c r="AA11" i="40"/>
  <c r="S11" i="40"/>
  <c r="AB11" i="40"/>
  <c r="U11" i="40"/>
  <c r="F50" i="68"/>
  <c r="F50" i="11"/>
  <c r="F50" i="69"/>
  <c r="C38" i="11"/>
  <c r="C35" i="11"/>
  <c r="R21" i="6"/>
  <c r="H20" i="6"/>
  <c r="M19" i="9"/>
  <c r="C118" i="9" s="1"/>
  <c r="C14" i="74" s="1"/>
  <c r="B2" i="74" s="1"/>
  <c r="D26" i="6"/>
  <c r="D8" i="6"/>
  <c r="D14" i="6"/>
  <c r="D5" i="6"/>
  <c r="D11" i="6"/>
  <c r="D28" i="6"/>
  <c r="D30" i="6" s="1"/>
  <c r="D12" i="6"/>
  <c r="D13" i="6"/>
  <c r="D19" i="6"/>
  <c r="C18" i="4"/>
  <c r="D23" i="6"/>
  <c r="R23" i="6" s="1"/>
  <c r="E61" i="40"/>
  <c r="H26" i="6"/>
  <c r="R26" i="6" s="1"/>
  <c r="H24" i="6"/>
  <c r="D29" i="6"/>
  <c r="D10" i="6"/>
  <c r="D6" i="6"/>
  <c r="D24" i="6"/>
  <c r="R24" i="6" s="1"/>
  <c r="D22" i="6"/>
  <c r="D25" i="6"/>
  <c r="R25" i="6" s="1"/>
  <c r="H22" i="6"/>
  <c r="L19" i="9"/>
  <c r="D9" i="6"/>
  <c r="D20" i="6"/>
  <c r="D21" i="6"/>
  <c r="D15" i="6"/>
  <c r="W10" i="40"/>
  <c r="C10" i="69"/>
  <c r="C8" i="69" s="1"/>
  <c r="C5" i="69" s="1"/>
  <c r="D19" i="69"/>
  <c r="H19" i="6"/>
  <c r="S19" i="6"/>
  <c r="S27" i="6" s="1"/>
  <c r="I27" i="6"/>
  <c r="F45" i="69"/>
  <c r="C29" i="69"/>
  <c r="D27" i="69" s="1"/>
  <c r="C47" i="69"/>
  <c r="D45" i="69" s="1"/>
  <c r="C10" i="68"/>
  <c r="B29" i="1" s="1"/>
  <c r="C8" i="68" s="1"/>
  <c r="D19" i="68"/>
  <c r="C15" i="12"/>
  <c r="C12" i="12"/>
  <c r="C47" i="11"/>
  <c r="D45" i="11" s="1"/>
  <c r="C29" i="11"/>
  <c r="D27" i="11" s="1"/>
  <c r="C28" i="11"/>
  <c r="C27" i="11" s="1"/>
  <c r="F45" i="68"/>
  <c r="C47" i="68"/>
  <c r="D45" i="68" s="1"/>
  <c r="C29" i="68"/>
  <c r="D27" i="68" s="1"/>
  <c r="C115" i="43"/>
  <c r="D113" i="43" s="1"/>
  <c r="S3" i="43"/>
  <c r="T3" i="43" s="1"/>
  <c r="V3" i="43" s="1"/>
  <c r="S5" i="43"/>
  <c r="T5" i="43" s="1"/>
  <c r="V5" i="43" s="1"/>
  <c r="S4" i="43"/>
  <c r="T4" i="43" s="1"/>
  <c r="V4" i="43" s="1"/>
  <c r="S2" i="43"/>
  <c r="T2" i="43" s="1"/>
  <c r="V2" i="43" s="1"/>
  <c r="C26" i="43" s="1"/>
  <c r="S6" i="43"/>
  <c r="T6" i="43" s="1"/>
  <c r="V6" i="43" s="1"/>
  <c r="C23" i="43"/>
  <c r="C21" i="43" s="1"/>
  <c r="C29" i="43" s="1"/>
  <c r="S7" i="43"/>
  <c r="T7" i="43" s="1"/>
  <c r="V7" i="43" s="1"/>
  <c r="U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9" i="15" l="1"/>
  <c r="C20" i="15" s="1"/>
  <c r="C26" i="15" s="1"/>
  <c r="C18" i="12"/>
  <c r="F69" i="15"/>
  <c r="J29" i="15"/>
  <c r="C33" i="11"/>
  <c r="C39" i="11" s="1"/>
  <c r="C46" i="11" s="1"/>
  <c r="C45" i="11" s="1"/>
  <c r="R20" i="6"/>
  <c r="R22" i="6"/>
  <c r="D27" i="6"/>
  <c r="D31" i="6" s="1"/>
  <c r="C4" i="52"/>
  <c r="B45" i="72" s="1"/>
  <c r="A7" i="51"/>
  <c r="B7" i="72" s="1"/>
  <c r="A10" i="51"/>
  <c r="B9" i="72" s="1"/>
  <c r="D16" i="6"/>
  <c r="D7" i="74"/>
  <c r="H27" i="6"/>
  <c r="R19" i="6"/>
  <c r="C16" i="12"/>
  <c r="C21" i="12" s="1"/>
  <c r="C19" i="68"/>
  <c r="C24" i="68" s="1"/>
  <c r="D37" i="68"/>
  <c r="C37" i="68" s="1"/>
  <c r="C33" i="68" s="1"/>
  <c r="C19" i="69"/>
  <c r="C20" i="69" s="1"/>
  <c r="D37" i="69"/>
  <c r="C37" i="69" s="1"/>
  <c r="C33" i="69" s="1"/>
  <c r="C42" i="69" s="1"/>
  <c r="C30" i="43"/>
  <c r="E30" i="43" s="1"/>
  <c r="C27"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B2" i="43"/>
  <c r="C60" i="15"/>
  <c r="C66" i="15"/>
  <c r="C23" i="15"/>
  <c r="C29" i="15" s="1"/>
  <c r="C26" i="69"/>
  <c r="D22" i="69" s="1"/>
  <c r="C44" i="69"/>
  <c r="D41" i="69" s="1"/>
  <c r="C23" i="69"/>
  <c r="C24" i="69"/>
  <c r="C44" i="68"/>
  <c r="D41" i="68" s="1"/>
  <c r="C26" i="68"/>
  <c r="D22" i="68" s="1"/>
  <c r="C26" i="12"/>
  <c r="D25" i="12" s="1"/>
  <c r="C44" i="11"/>
  <c r="D41" i="11" s="1"/>
  <c r="C23" i="11"/>
  <c r="C24" i="11"/>
  <c r="C25" i="11"/>
  <c r="C26" i="11"/>
  <c r="D22" i="11" s="1"/>
  <c r="C38" i="67"/>
  <c r="C38" i="15"/>
  <c r="C66" i="67"/>
  <c r="C60" i="67"/>
  <c r="C23" i="67"/>
  <c r="C29" i="67" s="1"/>
  <c r="B6" i="76"/>
  <c r="E6" i="76"/>
  <c r="C42" i="11" l="1"/>
  <c r="C43" i="11"/>
  <c r="C39" i="68"/>
  <c r="C46" i="68" s="1"/>
  <c r="C45" i="68" s="1"/>
  <c r="C91" i="9"/>
  <c r="R27" i="6"/>
  <c r="R6" i="1"/>
  <c r="C42" i="68"/>
  <c r="I6" i="6"/>
  <c r="I5" i="6"/>
  <c r="C28" i="69"/>
  <c r="C27" i="69" s="1"/>
  <c r="C25" i="69"/>
  <c r="C22" i="69" s="1"/>
  <c r="C39" i="69"/>
  <c r="C43" i="69" s="1"/>
  <c r="C41" i="69" s="1"/>
  <c r="C22" i="12"/>
  <c r="C27" i="12" s="1"/>
  <c r="C25" i="12" s="1"/>
  <c r="E2" i="76"/>
  <c r="K68" i="39"/>
  <c r="J70" i="39"/>
  <c r="G65" i="40"/>
  <c r="H63" i="40"/>
  <c r="C43" i="37"/>
  <c r="B2" i="37" s="1"/>
  <c r="C42" i="37"/>
  <c r="I48" i="35"/>
  <c r="C48" i="33"/>
  <c r="C49" i="33"/>
  <c r="B2" i="33" s="1"/>
  <c r="B3" i="33" s="1"/>
  <c r="H58" i="21"/>
  <c r="E47" i="37"/>
  <c r="F47" i="37" s="1"/>
  <c r="E46" i="37"/>
  <c r="F46" i="37" s="1"/>
  <c r="I47" i="37"/>
  <c r="J47" i="37" s="1"/>
  <c r="E53" i="33"/>
  <c r="F53" i="33" s="1"/>
  <c r="E52" i="33"/>
  <c r="F52" i="33" s="1"/>
  <c r="B2" i="76"/>
  <c r="B3" i="43"/>
  <c r="J14" i="15"/>
  <c r="C57" i="15"/>
  <c r="C36" i="15"/>
  <c r="C33" i="15"/>
  <c r="C13" i="15"/>
  <c r="Q49" i="15"/>
  <c r="J19" i="15"/>
  <c r="J59" i="15"/>
  <c r="J60" i="15" s="1"/>
  <c r="C22" i="11"/>
  <c r="C31" i="11" s="1"/>
  <c r="C36" i="67"/>
  <c r="C33" i="67"/>
  <c r="C31" i="67" s="1"/>
  <c r="J14" i="67"/>
  <c r="C13" i="67"/>
  <c r="J19" i="67"/>
  <c r="J17" i="67" s="1"/>
  <c r="C57" i="67"/>
  <c r="Q49" i="67"/>
  <c r="J59" i="67"/>
  <c r="J60" i="67" s="1"/>
  <c r="F35" i="15"/>
  <c r="M21" i="15"/>
  <c r="C41" i="11" l="1"/>
  <c r="C49" i="11" s="1"/>
  <c r="C51" i="11" s="1"/>
  <c r="C52" i="11" s="1"/>
  <c r="B2" i="11" s="1"/>
  <c r="B3" i="11" s="1"/>
  <c r="C43" i="68"/>
  <c r="C41" i="68" s="1"/>
  <c r="C49" i="68" s="1"/>
  <c r="C51" i="68" s="1"/>
  <c r="C92" i="9"/>
  <c r="C94" i="9"/>
  <c r="J20" i="15"/>
  <c r="J17" i="15" s="1"/>
  <c r="F63" i="15"/>
  <c r="C62" i="15" s="1"/>
  <c r="C34" i="15"/>
  <c r="C31" i="15" s="1"/>
  <c r="R16" i="1"/>
  <c r="B3" i="37"/>
  <c r="C31" i="69"/>
  <c r="B3" i="76"/>
  <c r="C30" i="12"/>
  <c r="C28" i="12" s="1"/>
  <c r="C32" i="12" s="1"/>
  <c r="B2" i="12" s="1"/>
  <c r="B3" i="12" s="1"/>
  <c r="C46" i="69"/>
  <c r="C45" i="69" s="1"/>
  <c r="C49" i="69" s="1"/>
  <c r="C51" i="69" s="1"/>
  <c r="K70" i="39"/>
  <c r="L68" i="39"/>
  <c r="I63" i="40"/>
  <c r="H65" i="40"/>
  <c r="I58" i="21"/>
  <c r="J58" i="21" s="1"/>
  <c r="K58" i="21" s="1"/>
  <c r="L58" i="21" s="1"/>
  <c r="M58" i="21" s="1"/>
  <c r="N58" i="21" s="1"/>
  <c r="O58" i="21" s="1"/>
  <c r="H7" i="21" s="1"/>
  <c r="J7" i="2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C59" i="15" l="1"/>
  <c r="C58" i="15" s="1"/>
  <c r="C67" i="15" s="1"/>
  <c r="C68" i="15" s="1"/>
  <c r="C71" i="15" s="1"/>
  <c r="C30" i="15"/>
  <c r="C39" i="15" s="1"/>
  <c r="C52" i="69"/>
  <c r="B2" i="69" s="1"/>
  <c r="B3" i="69"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J16" i="67"/>
  <c r="J25" i="67" s="1"/>
  <c r="C80" i="67"/>
  <c r="C79" i="67" s="1"/>
  <c r="C80" i="15"/>
  <c r="C79" i="15" s="1"/>
  <c r="C58" i="67"/>
  <c r="C67" i="67" s="1"/>
  <c r="C68" i="67" s="1"/>
  <c r="Q69" i="15"/>
  <c r="Q68" i="15" s="1"/>
  <c r="Q69" i="67"/>
  <c r="Q68" i="67" s="1"/>
  <c r="C40" i="67"/>
  <c r="L51" i="15"/>
  <c r="C40" i="15" l="1"/>
  <c r="Q56" i="15" s="1"/>
  <c r="C57" i="69"/>
  <c r="C56"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B2" i="15" l="1"/>
  <c r="B3" i="15" s="1"/>
  <c r="Q47" i="15"/>
  <c r="Q53" i="15" s="1"/>
  <c r="C46" i="15"/>
  <c r="Q65" i="15"/>
  <c r="C83" i="15"/>
  <c r="C82" i="15" s="1"/>
  <c r="C4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D19" i="9"/>
  <c r="D20" i="9"/>
  <c r="AO6" i="1"/>
  <c r="D103" i="9" l="1"/>
  <c r="D21" i="9"/>
  <c r="D102" i="9"/>
  <c r="Q75" i="15"/>
  <c r="B6" i="70"/>
  <c r="B2" i="70" s="1"/>
  <c r="B3" i="70"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5" i="68" s="1"/>
  <c r="C28" i="68" l="1"/>
  <c r="C27" i="68" s="1"/>
  <c r="C22" i="68"/>
  <c r="C31" i="68" l="1"/>
  <c r="C52" i="68" s="1"/>
  <c r="B2" i="68" s="1"/>
  <c r="C19" i="9"/>
  <c r="C57" i="68" l="1"/>
  <c r="C56" i="68" s="1"/>
  <c r="C21" i="9"/>
  <c r="C102" i="9"/>
  <c r="D22" i="9"/>
  <c r="G19" i="9"/>
  <c r="B3" i="68"/>
  <c r="D34" i="9"/>
  <c r="C20" i="9"/>
  <c r="D35" i="9"/>
  <c r="G20" i="9" l="1"/>
  <c r="C103" i="9"/>
  <c r="G21" i="9"/>
  <c r="C32" i="9"/>
  <c r="C35" i="9" l="1"/>
  <c r="H118" i="9"/>
  <c r="H4" i="52" l="1"/>
  <c r="I118" i="9"/>
  <c r="H101" i="9"/>
  <c r="C104" i="9"/>
  <c r="D14" i="74"/>
  <c r="H119" i="9"/>
  <c r="H5" i="52" s="1"/>
  <c r="C34" i="9"/>
  <c r="D118" i="9" s="1"/>
  <c r="F118" i="9"/>
  <c r="G118" i="9" l="1"/>
  <c r="G4" i="52" s="1"/>
  <c r="B52" i="72" s="1"/>
  <c r="F4" i="52"/>
  <c r="B51" i="72" s="1"/>
  <c r="F119" i="9"/>
  <c r="F5" i="52" s="1"/>
  <c r="B53" i="72" s="1"/>
  <c r="C105" i="9"/>
  <c r="H102" i="9"/>
  <c r="D7" i="53" s="1"/>
  <c r="B21" i="72" s="1"/>
  <c r="I4" i="52"/>
  <c r="D4" i="52"/>
  <c r="B47" i="72" s="1"/>
  <c r="D119" i="9"/>
  <c r="D5" i="52" s="1"/>
  <c r="B49" i="72" s="1"/>
  <c r="E14" i="74"/>
  <c r="F14" i="74"/>
  <c r="B5" i="74"/>
  <c r="D5" i="53"/>
  <c r="D45" i="9"/>
  <c r="H107" i="9"/>
  <c r="M48" i="9"/>
  <c r="C93" i="9" l="1"/>
  <c r="C86" i="9" s="1"/>
  <c r="D52" i="9"/>
  <c r="C64" i="9"/>
  <c r="C63" i="9" s="1"/>
  <c r="C67" i="9" s="1"/>
  <c r="C72" i="9"/>
  <c r="C85" i="9"/>
  <c r="C78" i="9"/>
  <c r="C73" i="9" s="1"/>
  <c r="D53" i="9"/>
  <c r="D48" i="9" s="1"/>
  <c r="M52" i="9" s="1"/>
  <c r="D55" i="9"/>
  <c r="M53" i="9" s="1"/>
  <c r="C5" i="74"/>
  <c r="D5" i="74"/>
  <c r="E118" i="9"/>
  <c r="E4" i="52" s="1"/>
  <c r="B48" i="72" s="1"/>
  <c r="D13" i="53"/>
  <c r="H108" i="9"/>
  <c r="D15" i="53" s="1"/>
  <c r="B31" i="72" s="1"/>
  <c r="D122" i="9"/>
  <c r="M49" i="9"/>
  <c r="B20" i="72"/>
  <c r="D6" i="53"/>
  <c r="B22" i="72" s="1"/>
  <c r="C95" i="9" l="1"/>
  <c r="C96" i="9" s="1"/>
  <c r="E96" i="9" s="1"/>
  <c r="E97" i="9" s="1"/>
  <c r="L68" i="9"/>
  <c r="M68" i="9" s="1"/>
  <c r="L67" i="9"/>
  <c r="M67" i="9" s="1"/>
  <c r="L64" i="9"/>
  <c r="M64" i="9" s="1"/>
  <c r="L66" i="9"/>
  <c r="M66" i="9" s="1"/>
  <c r="L63" i="9"/>
  <c r="M63" i="9" s="1"/>
  <c r="L65" i="9"/>
  <c r="M65" i="9" s="1"/>
  <c r="D123" i="9"/>
  <c r="D9" i="52" s="1"/>
  <c r="G14" i="74"/>
  <c r="B6" i="74" s="1"/>
  <c r="D8" i="52"/>
  <c r="B30" i="72"/>
  <c r="D14" i="53"/>
  <c r="B32" i="72" s="1"/>
  <c r="C79" i="9"/>
  <c r="D59" i="9"/>
  <c r="M55" i="9" s="1"/>
  <c r="C68" i="9"/>
  <c r="D54" i="9" s="1"/>
  <c r="M69" i="9" l="1"/>
  <c r="N69" i="9" s="1"/>
  <c r="C97" i="9"/>
  <c r="D58" i="9" s="1"/>
  <c r="D56" i="9" s="1"/>
  <c r="M54" i="9" s="1"/>
  <c r="N57" i="9" s="1"/>
  <c r="N58" i="9" s="1"/>
  <c r="C80" i="9"/>
  <c r="E80" i="9" s="1"/>
  <c r="E81" i="9" s="1"/>
  <c r="D6" i="74"/>
  <c r="C6" i="74"/>
  <c r="C81" i="9" l="1"/>
  <c r="P57" i="9"/>
  <c r="N59" i="9"/>
  <c r="N61" i="9" l="1"/>
  <c r="H112" i="9" s="1"/>
  <c r="D21" i="53" s="1"/>
  <c r="B39" i="72" s="1"/>
  <c r="H111" i="9"/>
  <c r="N60" i="9"/>
  <c r="D19" i="53" l="1"/>
  <c r="D126" i="9"/>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<sst xmlns="http://schemas.openxmlformats.org/spreadsheetml/2006/main" count="7896" uniqueCount="3310">
  <si>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</si>
  <si>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</si>
  <si>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</si>
  <si>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</si>
  <si>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</si>
  <si>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</si>
  <si>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</si>
  <si>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</si>
  <si>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</si>
  <si>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</si>
  <si>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</si>
  <si>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</si>
  <si>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</si>
  <si>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</si>
  <si>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</si>
  <si>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</si>
  <si>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</si>
  <si>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</si>
  <si>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</si>
  <si>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</si>
  <si>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</si>
  <si>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</si>
  <si>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</si>
  <si>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</si>
  <si>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</si>
  <si>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</si>
  <si>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</si>
  <si>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</si>
  <si>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</si>
  <si>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</si>
  <si>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</si>
  <si>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</si>
  <si>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</si>
  <si>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</si>
  <si>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</si>
  <si>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</si>
  <si>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</si>
  <si>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</si>
  <si>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</si>
  <si>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</si>
  <si>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</si>
  <si>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</si>
  <si>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</si>
  <si>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</si>
  <si>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</si>
  <si>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</si>
  <si>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</si>
  <si>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</si>
  <si>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</si>
  <si>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</si>
  <si>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</si>
  <si>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</si>
  <si>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</si>
  <si>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</si>
  <si>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</si>
  <si>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</si>
  <si>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</si>
  <si>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</si>
  <si>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</si>
  <si>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</si>
  <si>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</si>
  <si>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</si>
  <si>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</si>
  <si>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</si>
  <si>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</si>
  <si>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</si>
  <si>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</si>
  <si>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</si>
  <si>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</si>
  <si>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</si>
  <si>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</si>
  <si>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</si>
  <si>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</si>
  <si>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</si>
  <si>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</si>
  <si>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</si>
  <si>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</si>
  <si>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</si>
  <si>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</si>
  <si>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</si>
  <si>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</si>
  <si>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</si>
  <si>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</si>
  <si>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</si>
  <si>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</si>
  <si>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</si>
  <si>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</si>
  <si>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</si>
  <si>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</si>
  <si>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</si>
  <si>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</si>
  <si>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</si>
  <si>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</si>
  <si>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</si>
  <si>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</si>
  <si>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</si>
  <si>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</si>
  <si>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</si>
  <si>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</si>
  <si>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</si>
  <si>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</si>
  <si>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</si>
  <si>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</si>
  <si>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</si>
  <si>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</si>
  <si>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</si>
  <si>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</si>
  <si>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</si>
  <si>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</si>
  <si>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</si>
  <si>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</si>
  <si>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</si>
  <si>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</si>
  <si>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</si>
  <si>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</si>
  <si>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</si>
  <si>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</si>
  <si>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</si>
  <si>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</si>
  <si>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</si>
  <si>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</si>
  <si>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</si>
  <si>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</si>
  <si>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</si>
  <si>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</si>
  <si>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</si>
  <si>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</si>
  <si>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</si>
  <si>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</si>
  <si>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</si>
  <si>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</si>
  <si>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</si>
  <si>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</si>
  <si>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</si>
  <si>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</si>
  <si>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</si>
  <si>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</si>
  <si>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</si>
  <si>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</si>
  <si>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</si>
  <si>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</si>
  <si>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</si>
  <si>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</si>
  <si>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</si>
  <si>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</si>
  <si>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</si>
  <si>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</si>
  <si>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</si>
  <si>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</si>
  <si>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</si>
  <si>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</si>
  <si>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</si>
  <si>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</si>
  <si>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</si>
  <si>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</si>
  <si>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</si>
  <si>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</si>
  <si>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</si>
  <si>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</si>
  <si>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</si>
  <si>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</si>
  <si>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</si>
  <si>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</si>
  <si>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</si>
  <si>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</si>
  <si>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</si>
  <si>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</si>
  <si>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</si>
  <si>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</si>
  <si>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</si>
  <si>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</si>
  <si>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</si>
  <si>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</si>
  <si>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</si>
  <si>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</si>
  <si>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</si>
  <si>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</si>
  <si>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</si>
  <si>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</si>
  <si>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</si>
  <si>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</si>
  <si>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</si>
  <si>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</si>
  <si>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</si>
  <si>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</si>
  <si>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</si>
  <si>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</si>
  <si>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</si>
  <si>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</si>
  <si>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</si>
  <si>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</si>
  <si>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</si>
  <si>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</si>
  <si>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</si>
  <si>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</si>
  <si>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</si>
  <si>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</si>
  <si>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</si>
  <si>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</si>
  <si>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</si>
  <si>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</si>
  <si>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</si>
  <si>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</si>
  <si>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</si>
  <si>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</si>
  <si>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</si>
  <si>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</si>
  <si>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</si>
  <si>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</si>
  <si>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</si>
  <si>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</si>
  <si>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</si>
  <si>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</si>
  <si>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</si>
  <si>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</si>
  <si>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</si>
  <si>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</si>
  <si>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</si>
  <si>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</si>
  <si>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</si>
  <si>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</si>
  <si>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</si>
  <si>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</si>
  <si>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</si>
  <si>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</si>
  <si>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</si>
  <si>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</si>
  <si>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</si>
  <si>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</si>
  <si>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</si>
  <si>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</si>
  <si>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</si>
  <si>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</si>
  <si>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</si>
  <si>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</si>
  <si>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</si>
  <si>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</si>
  <si>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</si>
  <si>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</si>
  <si>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</si>
  <si>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</si>
  <si>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</si>
  <si>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</si>
  <si>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</si>
  <si>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</si>
  <si>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</si>
  <si>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</si>
  <si>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</si>
  <si>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</si>
  <si>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</si>
  <si>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</si>
  <si>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</si>
  <si>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</si>
  <si>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</si>
  <si>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</si>
  <si>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</si>
  <si>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</si>
  <si>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</si>
  <si>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</si>
  <si>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</si>
  <si>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</si>
  <si>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</si>
  <si>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</si>
  <si>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</si>
  <si>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</si>
  <si>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</si>
  <si>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</si>
  <si>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</si>
  <si>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</si>
  <si>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</si>
  <si>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</si>
  <si>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</si>
  <si>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</si>
  <si>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</si>
  <si>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</si>
  <si>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</si>
  <si>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</si>
  <si>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</si>
  <si>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</si>
  <si>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</si>
  <si>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</si>
  <si>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</si>
  <si>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</si>
  <si>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</si>
  <si>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</si>
  <si>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</si>
  <si>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</si>
  <si>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</si>
  <si>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</si>
  <si>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</si>
  <si>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</si>
  <si>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</si>
  <si>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</si>
  <si>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</si>
  <si>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</si>
  <si>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</si>
  <si>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</si>
  <si>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</si>
  <si>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</si>
  <si>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</si>
  <si>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</si>
  <si>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</si>
  <si>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</si>
  <si>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</si>
  <si>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</si>
  <si>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</si>
  <si>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</si>
  <si>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</si>
  <si>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</si>
  <si>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</si>
  <si>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</si>
  <si>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</si>
  <si>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</si>
  <si>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</si>
  <si>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</si>
  <si>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</si>
  <si>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</si>
  <si>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</si>
  <si>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</si>
  <si>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</si>
  <si>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</si>
  <si>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</si>
  <si>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</si>
  <si>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</si>
  <si>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</si>
  <si>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</si>
  <si>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</si>
  <si>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</si>
  <si>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</si>
  <si>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</si>
  <si>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</si>
  <si>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</si>
  <si>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</si>
  <si>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</si>
  <si>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</si>
  <si>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</si>
  <si>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</si>
  <si>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</si>
  <si>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</si>
  <si>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</si>
  <si>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</si>
  <si>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</si>
  <si>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</si>
  <si>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</si>
  <si>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</si>
  <si>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</si>
  <si>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</si>
  <si>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</si>
  <si>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</si>
  <si>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</si>
  <si>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</si>
  <si>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</si>
  <si>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</si>
  <si>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</si>
  <si>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</si>
  <si>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</si>
  <si>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</si>
  <si>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</si>
  <si>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</si>
  <si>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</si>
  <si>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</si>
  <si>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</si>
  <si>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</si>
  <si>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</si>
  <si>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</si>
  <si>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</si>
  <si>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</si>
  <si>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</si>
  <si>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</si>
  <si>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</si>
  <si>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</si>
  <si>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</si>
  <si>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</si>
  <si>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</si>
  <si>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</si>
  <si>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</si>
  <si>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</si>
  <si>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</si>
  <si>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</si>
  <si>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</si>
  <si>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</si>
  <si>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</si>
  <si>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</si>
  <si>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</si>
  <si>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</si>
  <si>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</si>
  <si>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</si>
  <si>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</si>
  <si>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</si>
  <si>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</si>
  <si>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</si>
  <si>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</si>
  <si>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</si>
  <si>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</si>
  <si>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</si>
  <si>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</si>
  <si>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</si>
  <si>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</si>
  <si>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</si>
  <si>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</si>
  <si>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</si>
  <si>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</si>
  <si>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</si>
  <si>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</si>
  <si>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</si>
  <si>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</si>
  <si>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</si>
  <si>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</si>
  <si>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</si>
  <si>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</si>
  <si>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</si>
  <si>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</si>
  <si>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</si>
  <si>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</si>
  <si>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</si>
  <si>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</si>
  <si>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</si>
  <si>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</si>
  <si>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</si>
  <si>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</si>
  <si>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</si>
  <si>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</si>
  <si>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</si>
  <si>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</si>
  <si>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</si>
  <si>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</si>
  <si>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</si>
  <si>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</si>
  <si>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</si>
  <si>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</si>
  <si>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</si>
  <si>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</si>
  <si>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</si>
  <si>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</si>
  <si>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</si>
  <si>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</si>
  <si>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</si>
  <si>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</si>
  <si>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</si>
  <si>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</si>
  <si>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</si>
  <si>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</si>
  <si>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</si>
  <si>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</si>
  <si>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</si>
  <si>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</si>
  <si>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</si>
  <si>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</si>
  <si>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</si>
  <si>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</si>
  <si>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</si>
  <si>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</si>
  <si>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</si>
  <si>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</si>
  <si>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</si>
  <si>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</si>
  <si>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</si>
  <si>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</si>
  <si>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</si>
  <si>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</si>
  <si>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</si>
  <si>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</si>
  <si>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</si>
  <si>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</si>
  <si>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</si>
  <si>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</si>
  <si>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</si>
  <si>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</si>
  <si>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</si>
  <si>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</si>
  <si>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</si>
  <si>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</si>
  <si>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</si>
  <si>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</si>
  <si>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</si>
  <si>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</si>
  <si>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</si>
  <si>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</si>
  <si>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</si>
  <si>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</si>
  <si>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</si>
  <si>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</si>
  <si>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</si>
  <si>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</si>
  <si>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</si>
  <si>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</si>
  <si>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</si>
  <si>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</si>
  <si>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</si>
  <si>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</si>
  <si>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</si>
  <si>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</si>
  <si>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</si>
  <si>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</si>
  <si>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</si>
  <si>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</si>
  <si>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</si>
  <si>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</si>
  <si>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</si>
  <si>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</si>
  <si>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</si>
  <si>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</si>
  <si>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</si>
  <si>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</si>
  <si>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</si>
  <si>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</si>
  <si>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</si>
  <si>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</si>
  <si>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</si>
  <si>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</si>
  <si>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</si>
  <si>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</si>
  <si>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</si>
  <si>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</si>
  <si>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</si>
  <si>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</si>
  <si>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</si>
  <si>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</si>
  <si>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</si>
  <si>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</si>
  <si>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</si>
  <si>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</si>
  <si>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</si>
  <si>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</si>
  <si>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</si>
  <si>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</si>
  <si>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</si>
  <si>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</si>
  <si>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</si>
  <si>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</si>
  <si>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</si>
  <si>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</si>
  <si>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</si>
  <si>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</si>
  <si>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</si>
  <si>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</si>
  <si>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</si>
  <si>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</si>
  <si>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</si>
  <si>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</si>
  <si>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</si>
  <si>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</si>
  <si>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</si>
  <si>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</si>
  <si>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</si>
  <si>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</si>
  <si>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</si>
  <si>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</si>
  <si>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</si>
  <si>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</si>
  <si>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</si>
  <si>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</si>
  <si>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</si>
  <si>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</si>
  <si>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</si>
  <si>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</si>
  <si>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</si>
  <si>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</si>
  <si>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</si>
  <si>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</si>
  <si>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</si>
  <si>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</si>
  <si>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</si>
  <si>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</si>
  <si>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</si>
  <si>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</si>
  <si>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</si>
  <si>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</si>
  <si>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</si>
  <si>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</si>
  <si>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</si>
  <si>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</si>
  <si>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</si>
  <si>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</si>
  <si>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</si>
  <si>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</si>
  <si>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</si>
  <si>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</si>
  <si>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</si>
  <si>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</si>
  <si>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</si>
  <si>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</si>
  <si>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</si>
  <si>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</si>
  <si>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</si>
  <si>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</si>
  <si>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</si>
  <si>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</si>
  <si>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</si>
  <si>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</si>
  <si>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</si>
  <si>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</si>
  <si>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</si>
  <si>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</si>
  <si>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</si>
  <si>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</si>
  <si>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</si>
  <si>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</si>
  <si>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</si>
  <si>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</si>
  <si>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</si>
  <si>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</si>
  <si>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</si>
  <si>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</si>
  <si>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</si>
  <si>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</si>
  <si>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</si>
  <si>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</si>
  <si>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</si>
  <si>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</si>
  <si>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</si>
  <si>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</si>
  <si>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</si>
  <si>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</si>
  <si>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</si>
  <si>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</si>
  <si>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</si>
  <si>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</si>
  <si>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</si>
  <si>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</si>
  <si>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</si>
  <si>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</si>
  <si>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</si>
  <si>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</si>
  <si>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</si>
  <si>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</si>
  <si>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</si>
  <si>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</si>
  <si>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</si>
  <si>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</si>
  <si>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</si>
  <si>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</si>
  <si>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</si>
  <si>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</si>
  <si>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</si>
  <si>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</si>
  <si>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</si>
  <si>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</si>
  <si>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</si>
  <si>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</si>
  <si>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</si>
  <si>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</si>
  <si>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</si>
  <si>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</si>
  <si>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</si>
  <si>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</si>
  <si>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</si>
  <si>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</si>
  <si>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</si>
  <si>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</si>
  <si>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</si>
  <si>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</si>
  <si>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</si>
  <si>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</si>
  <si>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</si>
  <si>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</si>
  <si>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</si>
  <si>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</si>
  <si>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</si>
  <si>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</si>
  <si>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</si>
  <si>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</si>
  <si>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</si>
  <si>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</si>
  <si>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</si>
  <si>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</si>
  <si>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</si>
  <si>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</si>
  <si>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</si>
  <si>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</si>
  <si>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</si>
  <si>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</si>
  <si>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</si>
  <si>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</si>
  <si>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</si>
  <si>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</si>
  <si>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</si>
  <si>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</si>
  <si>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</si>
  <si>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</si>
  <si>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</si>
  <si>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</si>
  <si>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</si>
  <si>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</si>
  <si>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</si>
  <si>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</si>
  <si>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</si>
  <si>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</si>
  <si>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</si>
  <si>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</si>
  <si>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</si>
  <si>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</si>
  <si>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</si>
  <si>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</si>
  <si>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</si>
  <si>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</si>
  <si>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</si>
  <si>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</si>
  <si>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</si>
  <si>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</si>
  <si>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</si>
  <si>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</si>
  <si>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</si>
  <si>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</si>
  <si>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</si>
  <si>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</si>
  <si>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</si>
  <si>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</si>
  <si>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</si>
  <si>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</si>
  <si>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</si>
  <si>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</si>
  <si>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</si>
  <si>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</si>
  <si>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</si>
  <si>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</si>
  <si>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</si>
  <si>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</si>
  <si>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</si>
  <si>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</si>
  <si>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</si>
  <si>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</si>
  <si>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</si>
  <si>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</si>
  <si>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</si>
  <si>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</si>
  <si>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</si>
  <si>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</si>
  <si>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</si>
  <si>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</si>
  <si>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</si>
  <si>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</si>
  <si>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</si>
  <si>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</si>
  <si>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</si>
  <si>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</si>
  <si>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</si>
  <si>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</si>
  <si>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</si>
  <si>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</si>
  <si>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</si>
  <si>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</si>
  <si>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</si>
  <si>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</si>
  <si>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</si>
  <si>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</si>
  <si>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</si>
  <si>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</si>
  <si>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</si>
  <si>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</si>
  <si>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</si>
  <si>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</si>
  <si>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</si>
  <si>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</si>
  <si>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</si>
  <si>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</si>
  <si>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</si>
  <si>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</si>
  <si>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</si>
  <si>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</si>
  <si>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</si>
  <si>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</si>
  <si>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</si>
  <si>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</si>
  <si>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</si>
  <si>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</si>
  <si>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</si>
  <si>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</si>
  <si>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</si>
  <si>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</si>
  <si>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</si>
  <si>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</si>
  <si>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</si>
  <si>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</si>
  <si>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</si>
  <si>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</si>
  <si>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</si>
  <si>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</si>
  <si>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</si>
  <si>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</si>
  <si>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</si>
  <si>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</si>
  <si>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</si>
  <si>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</si>
  <si>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</si>
  <si>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</si>
  <si>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</si>
  <si>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</si>
  <si>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</si>
  <si>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</si>
  <si>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</si>
  <si>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</si>
  <si>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</si>
  <si>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</si>
  <si>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</si>
  <si>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</si>
  <si>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</si>
  <si>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</si>
  <si>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</si>
  <si>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</si>
  <si>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</si>
  <si>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</si>
  <si>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</si>
  <si>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</si>
  <si>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</si>
  <si>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</si>
  <si>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</si>
  <si>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</si>
  <si>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</si>
  <si>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</si>
  <si>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</si>
  <si>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</si>
  <si>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</si>
  <si>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</si>
  <si>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</si>
  <si>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</si>
  <si>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</si>
  <si>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</si>
  <si>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</si>
  <si>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</si>
  <si>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</si>
  <si>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</si>
  <si>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</si>
  <si>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</si>
  <si>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</si>
  <si>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</si>
  <si>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</si>
  <si>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</si>
  <si>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</si>
  <si>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</si>
  <si>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</si>
  <si>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</si>
  <si>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</si>
  <si>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</si>
  <si>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</si>
  <si>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</si>
  <si>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</si>
  <si>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</si>
  <si>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</si>
  <si>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</si>
  <si>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</si>
  <si>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</si>
  <si>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</si>
  <si>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</si>
  <si>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</si>
  <si>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</si>
  <si>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</si>
  <si>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</si>
  <si>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</si>
  <si>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</si>
  <si>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</si>
  <si>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</si>
  <si>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</si>
  <si>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</si>
  <si>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</si>
  <si>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</si>
  <si>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</si>
  <si>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</si>
  <si>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</si>
  <si>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</si>
  <si>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</si>
  <si>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</si>
  <si>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</si>
  <si>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</si>
  <si>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</si>
  <si>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</si>
  <si>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</si>
  <si>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</si>
  <si>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</si>
  <si>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</si>
  <si>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</si>
  <si>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</si>
  <si>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</si>
  <si>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</si>
  <si>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</si>
  <si>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</si>
  <si>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</si>
  <si>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</si>
  <si>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</si>
  <si>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</si>
  <si>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</si>
  <si>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</si>
  <si>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</si>
  <si>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</si>
  <si>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</si>
  <si>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</si>
  <si>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</si>
  <si>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</si>
  <si>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</si>
  <si>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</si>
  <si>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</si>
  <si>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</si>
  <si>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</si>
  <si>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</si>
  <si>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</si>
  <si>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</si>
  <si>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</si>
  <si>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</si>
  <si>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</si>
  <si>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</si>
  <si>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</si>
  <si>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</si>
  <si>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</si>
  <si>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</si>
  <si>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</si>
  <si>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</si>
  <si>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</si>
  <si>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</si>
  <si>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</si>
  <si>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</si>
  <si>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</si>
  <si>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</si>
  <si>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</si>
  <si>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</si>
  <si>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</si>
  <si>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</si>
  <si>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</si>
  <si>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</si>
  <si>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</si>
  <si>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</si>
  <si>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</si>
  <si>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</si>
  <si>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</si>
  <si>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</si>
  <si>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</si>
  <si>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</si>
  <si>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</si>
  <si>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</si>
  <si>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</si>
  <si>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</si>
  <si>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</si>
  <si>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</si>
  <si>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</si>
  <si>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</si>
  <si>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</si>
  <si>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</si>
  <si>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</si>
  <si>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</si>
  <si>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</si>
  <si>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</si>
  <si>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</si>
  <si>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</si>
  <si>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</si>
  <si>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</si>
  <si>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</si>
  <si>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</si>
  <si>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</si>
  <si>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</si>
  <si>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</si>
  <si>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</si>
  <si>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</si>
  <si>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</si>
  <si>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</si>
  <si>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</si>
  <si>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</si>
  <si>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</si>
  <si>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</si>
  <si>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</si>
  <si>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</si>
  <si>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</si>
  <si>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</si>
  <si>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</si>
  <si>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</si>
  <si>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</si>
  <si>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</si>
  <si>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</si>
  <si>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</si>
  <si>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</si>
  <si>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</si>
  <si>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</si>
  <si>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</si>
  <si>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</si>
  <si>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</si>
  <si>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</si>
  <si>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</si>
  <si>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</si>
  <si>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</si>
  <si>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</si>
  <si>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</si>
  <si>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</si>
  <si>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</si>
  <si>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</si>
  <si>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</si>
  <si>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</si>
  <si>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</si>
  <si>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</si>
  <si>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</si>
  <si>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</si>
  <si>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</si>
  <si>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</si>
  <si>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</si>
  <si>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</si>
  <si>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</si>
  <si>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</si>
  <si>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</si>
  <si>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</si>
  <si>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</si>
  <si>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</si>
  <si>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</si>
  <si>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</si>
  <si>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</si>
  <si>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</si>
  <si>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</si>
  <si>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</si>
  <si>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</si>
  <si>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</si>
  <si>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</si>
  <si>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</si>
  <si>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</si>
  <si>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</si>
  <si>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</si>
  <si>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</si>
  <si>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</si>
  <si>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</si>
  <si>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</si>
  <si>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</si>
  <si>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</si>
  <si>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</si>
  <si>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</si>
  <si>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</si>
  <si>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</si>
  <si>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</si>
  <si>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</si>
  <si>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</si>
  <si>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</si>
  <si>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</si>
  <si>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</si>
  <si>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</si>
  <si>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</si>
  <si>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</si>
  <si>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</si>
  <si>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</si>
  <si>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</si>
  <si>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</si>
  <si>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</si>
  <si>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</si>
  <si>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</si>
  <si>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</si>
  <si>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</si>
  <si>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</si>
  <si>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</si>
  <si>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</si>
  <si>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</si>
  <si>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</si>
  <si>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</si>
  <si>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</si>
  <si>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</si>
  <si>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</si>
  <si>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</si>
  <si>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</si>
  <si>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</si>
  <si>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</si>
  <si>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</si>
  <si>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</si>
  <si>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</si>
  <si>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</si>
  <si>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</si>
  <si>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</si>
  <si>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</si>
  <si>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</si>
  <si>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</si>
  <si>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</si>
  <si>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</si>
  <si>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</si>
  <si>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</si>
  <si>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</si>
  <si>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</si>
  <si>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</si>
  <si>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</si>
  <si>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</si>
  <si>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</si>
  <si>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</si>
  <si>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</si>
  <si>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</si>
  <si>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</si>
  <si>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</si>
  <si>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</si>
  <si>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</si>
  <si>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</si>
  <si>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</si>
  <si>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</si>
  <si>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</si>
  <si>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</si>
  <si>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</si>
  <si>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</si>
  <si>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</si>
  <si>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</si>
  <si>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</si>
  <si>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</si>
  <si>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</si>
  <si>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</si>
  <si>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</si>
  <si>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</si>
  <si>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</si>
  <si>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</si>
  <si>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</si>
  <si>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</si>
  <si>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</si>
  <si>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</si>
  <si>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</si>
  <si>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</si>
  <si>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</si>
  <si>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</si>
  <si>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</si>
  <si>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</si>
  <si>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</si>
  <si>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</si>
  <si>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</si>
  <si>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</si>
  <si>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</si>
  <si>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</si>
  <si>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</si>
  <si>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</si>
  <si>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</si>
  <si>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</si>
  <si>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</si>
  <si>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</si>
  <si>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</si>
  <si>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</si>
  <si>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</si>
  <si>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</si>
  <si>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</si>
  <si>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</si>
  <si>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</si>
  <si>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</si>
  <si>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</si>
  <si>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</si>
  <si>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</si>
  <si>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</si>
  <si>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</si>
  <si>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</si>
  <si>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</si>
  <si>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</si>
  <si>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</si>
  <si>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</si>
  <si>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</si>
  <si>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</si>
  <si>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</si>
  <si>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</si>
  <si>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</si>
  <si>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</si>
  <si>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</si>
  <si>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</si>
  <si>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</si>
  <si>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</si>
  <si>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</si>
  <si>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</si>
  <si>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</si>
  <si>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</si>
  <si>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</si>
  <si>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</si>
  <si>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</si>
  <si>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</si>
  <si>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</si>
  <si>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</si>
  <si>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</si>
  <si>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</si>
  <si>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</si>
  <si>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</si>
  <si>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</si>
  <si>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</si>
  <si>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</si>
  <si>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</si>
  <si>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</si>
  <si>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</si>
  <si>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</si>
  <si>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</si>
  <si>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</si>
  <si>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</si>
  <si>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</si>
  <si>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</si>
  <si>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</si>
  <si>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</si>
  <si>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</si>
  <si>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</si>
  <si>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</si>
  <si>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</si>
  <si>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</si>
  <si>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</si>
  <si>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</si>
  <si>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</si>
  <si>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</si>
  <si>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</si>
  <si>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</si>
  <si>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</si>
  <si>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</si>
  <si>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</si>
  <si>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</si>
  <si>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</si>
  <si>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</si>
  <si>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</si>
  <si>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</si>
  <si>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</si>
  <si>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</si>
  <si>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</si>
  <si>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</si>
  <si>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</si>
  <si>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</si>
  <si>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</si>
  <si>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</si>
  <si>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</si>
  <si>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</si>
  <si>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</si>
  <si>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</si>
  <si>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</si>
  <si>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</si>
  <si>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</si>
  <si>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</si>
  <si>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</si>
  <si>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</si>
  <si>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</si>
  <si>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</si>
  <si>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</si>
  <si>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</si>
  <si>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</si>
  <si>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</si>
  <si>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</si>
  <si>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</si>
  <si>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</si>
  <si>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</si>
  <si>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</si>
  <si>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</si>
  <si>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</si>
  <si>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</si>
  <si>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</si>
  <si>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</si>
  <si>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</si>
  <si>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</si>
  <si>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</si>
  <si>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</si>
  <si>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</si>
  <si>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</si>
  <si>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</si>
  <si>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</si>
  <si>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</si>
  <si>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</si>
  <si>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</si>
  <si>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</si>
  <si>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</si>
  <si>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</si>
  <si>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</si>
  <si>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</si>
  <si>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</si>
  <si>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</si>
  <si>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</si>
  <si>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</si>
  <si>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</si>
  <si>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</si>
  <si>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</si>
  <si>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</si>
  <si>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</si>
  <si>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</si>
  <si>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</si>
  <si>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</si>
  <si>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</si>
  <si>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</si>
  <si>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</si>
  <si>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</si>
  <si>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</si>
  <si>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</si>
  <si>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</si>
  <si>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</si>
  <si>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</si>
  <si>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</si>
  <si>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</si>
  <si>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</si>
  <si>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</si>
  <si>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</si>
  <si>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</si>
  <si>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</si>
  <si>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</si>
  <si>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</si>
  <si>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</si>
  <si>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</si>
  <si>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</si>
  <si>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</si>
  <si>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</si>
  <si>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</si>
  <si>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</si>
  <si>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</si>
  <si>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</si>
  <si>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</si>
  <si>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</si>
  <si>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</si>
  <si>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</si>
  <si>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</si>
  <si>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</si>
  <si>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</si>
  <si>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</si>
  <si>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</si>
  <si>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</si>
  <si>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</si>
  <si>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</si>
  <si>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</si>
  <si>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</si>
  <si>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</si>
  <si>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</si>
  <si>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</si>
  <si>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</si>
  <si>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</si>
  <si>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</si>
  <si>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</si>
  <si>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</si>
  <si>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</si>
  <si>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</si>
  <si>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</si>
  <si>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</si>
  <si>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</si>
  <si>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</si>
  <si>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</si>
  <si>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</si>
  <si>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</si>
  <si>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</si>
  <si>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</si>
  <si>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</si>
  <si>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</si>
  <si>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</si>
  <si>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</si>
  <si>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</si>
  <si>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</si>
  <si>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</si>
  <si>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</si>
  <si>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</si>
  <si>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</si>
  <si>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</si>
  <si>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</si>
  <si>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</si>
  <si>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</si>
  <si>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</si>
  <si>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</si>
  <si>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</si>
  <si>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</si>
  <si>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</si>
  <si>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</si>
  <si>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</si>
  <si>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</si>
  <si>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</si>
  <si>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</si>
  <si>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</si>
  <si>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</si>
  <si>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</si>
  <si>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</si>
  <si>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</si>
  <si>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</si>
  <si>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</si>
  <si>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</si>
  <si>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</si>
  <si>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</si>
  <si>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</si>
  <si>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</si>
  <si>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</si>
  <si>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</si>
  <si>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</si>
  <si>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</si>
  <si>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</si>
  <si>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</si>
  <si>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</si>
  <si>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</si>
  <si>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</si>
  <si>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</si>
  <si>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</si>
  <si>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</si>
  <si>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</si>
  <si>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</si>
  <si>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</si>
  <si>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</si>
  <si>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</si>
  <si>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</si>
  <si>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</si>
  <si>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</si>
  <si>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</si>
  <si>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</si>
  <si>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</si>
  <si>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</si>
  <si>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</si>
  <si>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</si>
  <si>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</si>
  <si>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</si>
  <si>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</si>
  <si>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</si>
  <si>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</si>
  <si>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</si>
  <si>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</si>
  <si>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</si>
  <si>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</si>
  <si>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</si>
  <si>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</si>
  <si>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</si>
  <si>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</si>
  <si>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</si>
  <si>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</si>
  <si>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</si>
  <si>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</si>
  <si>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</si>
  <si>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</si>
  <si>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</si>
  <si>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</si>
  <si>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</si>
  <si>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</si>
  <si>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</si>
  <si>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</si>
  <si>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</si>
  <si>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</si>
  <si>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</si>
  <si>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</si>
  <si>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</si>
  <si>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</si>
  <si>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</si>
  <si>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</si>
  <si>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</si>
  <si>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</si>
  <si>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</si>
  <si>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</si>
  <si>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</si>
  <si>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</si>
  <si>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</si>
  <si>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</si>
  <si>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</si>
  <si>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</si>
  <si>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</si>
  <si>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</si>
  <si>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</si>
  <si>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</si>
  <si>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</si>
  <si>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</si>
  <si>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</si>
  <si>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</si>
  <si>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</si>
  <si>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</si>
  <si>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</si>
  <si>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</si>
  <si>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</si>
  <si>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</si>
  <si>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</si>
  <si>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</si>
  <si>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</si>
  <si>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</si>
  <si>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</si>
  <si>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</si>
  <si>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</si>
  <si>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</si>
  <si>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</si>
  <si>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</si>
  <si>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</si>
  <si>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</si>
  <si>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</si>
  <si>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</si>
  <si>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</si>
  <si>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</si>
  <si>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</si>
  <si>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</si>
  <si>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</si>
  <si>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</si>
  <si>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</si>
  <si>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</si>
  <si>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</si>
  <si>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</si>
  <si>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</si>
  <si>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</si>
  <si>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</si>
  <si>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</si>
  <si>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</si>
  <si>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</si>
  <si>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</si>
  <si>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</si>
  <si>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</si>
  <si>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</si>
  <si>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</si>
  <si>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</si>
  <si>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</si>
  <si>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</si>
  <si>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</si>
  <si>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</si>
  <si>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</si>
  <si>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</si>
  <si>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</si>
  <si>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</si>
  <si>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</si>
  <si>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</si>
  <si>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</si>
  <si>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</si>
  <si>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</si>
  <si>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</si>
  <si>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</si>
  <si>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</si>
  <si>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</si>
  <si>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</si>
  <si>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</si>
  <si>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</si>
  <si>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</si>
  <si>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</si>
  <si>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</si>
  <si>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</si>
  <si>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</si>
  <si>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</si>
  <si>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</si>
  <si>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</si>
  <si>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</si>
  <si>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</si>
  <si>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</si>
  <si>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</si>
  <si>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</si>
  <si>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</si>
  <si>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</si>
  <si>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</si>
  <si>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</si>
  <si>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</si>
  <si>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</si>
  <si>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</si>
  <si>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</si>
  <si>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</si>
  <si>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</si>
  <si>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</si>
  <si>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</si>
  <si>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</si>
  <si>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</si>
  <si>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</si>
  <si>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</si>
  <si>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</si>
  <si>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</si>
  <si>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</si>
  <si>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</si>
  <si>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</si>
  <si>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</si>
  <si>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</si>
  <si>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</si>
  <si>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</si>
  <si>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</si>
  <si>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</si>
  <si>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</si>
  <si>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</si>
  <si>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</si>
  <si>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</si>
  <si>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</si>
  <si>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</si>
  <si>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</si>
  <si>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</si>
  <si>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</si>
  <si>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</si>
  <si>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</si>
  <si>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</si>
  <si>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</si>
  <si>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</si>
  <si>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</si>
  <si>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</si>
  <si>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</si>
  <si>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</si>
  <si>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</si>
  <si>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</si>
  <si>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</si>
  <si>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</si>
  <si>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</si>
  <si>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</si>
  <si>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</si>
  <si>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</si>
  <si>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</si>
  <si>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</si>
  <si>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</si>
  <si>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</si>
  <si>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</si>
  <si>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</si>
  <si>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</si>
  <si>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</si>
  <si>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</si>
  <si>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</si>
  <si>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</si>
  <si>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</si>
  <si>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</si>
  <si>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</si>
  <si>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</si>
  <si>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</si>
  <si>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</si>
  <si>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</si>
  <si>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</si>
  <si>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</si>
  <si>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</si>
  <si>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</si>
  <si>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</si>
  <si>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</si>
  <si>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</si>
  <si>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</si>
  <si>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</si>
  <si>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</si>
  <si>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</si>
  <si>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</si>
  <si>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</si>
  <si>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</si>
  <si>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</si>
  <si>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</si>
  <si>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</si>
  <si>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</si>
  <si>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</si>
  <si>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</si>
  <si>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</si>
  <si>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</si>
  <si>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</si>
  <si>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</si>
  <si>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</si>
  <si>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</si>
  <si>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</si>
  <si>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</si>
  <si>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</si>
  <si>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</si>
  <si>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</si>
  <si>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</si>
  <si>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</si>
  <si>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</si>
  <si>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</si>
  <si>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</si>
  <si>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</si>
  <si>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</si>
  <si>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</si>
  <si>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</si>
  <si>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</si>
  <si>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</si>
  <si>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</si>
  <si>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</si>
  <si>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</si>
  <si>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</si>
  <si>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</si>
  <si>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</si>
  <si>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</si>
  <si>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</si>
  <si>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</si>
  <si>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</si>
  <si>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</si>
  <si>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</si>
  <si>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</si>
  <si>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</si>
  <si>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</si>
  <si>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</si>
  <si>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</si>
  <si>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</si>
  <si>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</si>
  <si>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</si>
  <si>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</si>
  <si>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</si>
  <si>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</si>
  <si>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</si>
  <si>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</si>
  <si>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</si>
  <si>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</si>
  <si>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</si>
  <si>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</si>
  <si>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</si>
  <si>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</si>
  <si>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</si>
  <si>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</si>
  <si>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</si>
  <si>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</si>
  <si>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</si>
  <si>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</si>
  <si>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</si>
  <si>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</si>
  <si>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</si>
  <si>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</si>
  <si>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</si>
  <si>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</si>
  <si>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</si>
  <si>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</si>
  <si>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</si>
  <si>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</si>
  <si>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</si>
  <si>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</si>
  <si>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</si>
  <si>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</si>
  <si>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</si>
  <si>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</si>
  <si>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</si>
  <si>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</si>
  <si>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</si>
  <si>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</si>
  <si>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</si>
  <si>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</si>
  <si>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</si>
  <si>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</si>
  <si>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</si>
  <si>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</si>
  <si>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</si>
  <si>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</si>
  <si>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</si>
  <si>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</si>
  <si>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</si>
  <si>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</si>
  <si>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</si>
  <si>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</si>
  <si>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</si>
  <si>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</si>
  <si>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</si>
  <si>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</si>
  <si>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</si>
  <si>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</si>
  <si>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</si>
  <si>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</si>
  <si>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</si>
  <si>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</si>
  <si>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</si>
  <si>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</si>
  <si>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</si>
  <si>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</si>
  <si>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</si>
  <si>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</si>
  <si>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</si>
  <si>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</si>
  <si>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</si>
  <si>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</si>
  <si>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</si>
  <si>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</si>
  <si>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</si>
  <si>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</si>
  <si>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</si>
  <si>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</si>
  <si>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</si>
  <si>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</si>
  <si>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</si>
  <si>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</si>
  <si>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</si>
  <si>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</si>
  <si>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</si>
  <si>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</si>
  <si>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</si>
  <si>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</si>
  <si>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</si>
  <si>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</si>
  <si>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</si>
  <si>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</si>
  <si>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</si>
  <si>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</si>
  <si>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</si>
  <si>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</si>
  <si>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</si>
  <si>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</si>
  <si>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</si>
  <si>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</si>
  <si>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</si>
  <si>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</si>
  <si>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</si>
  <si>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</si>
  <si>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</si>
  <si>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</si>
  <si>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</si>
  <si>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</si>
  <si>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</si>
  <si>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</si>
  <si>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</si>
  <si>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</si>
  <si>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</si>
  <si>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</si>
  <si>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</si>
  <si>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</si>
  <si>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</si>
  <si>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</si>
  <si>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</si>
  <si>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</si>
  <si>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</si>
  <si>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</si>
  <si>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</si>
  <si>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</si>
  <si>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</si>
  <si>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</si>
  <si>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</si>
  <si>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</si>
  <si>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</si>
  <si>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</si>
  <si>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</si>
  <si>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</si>
  <si>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</si>
  <si>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</si>
  <si>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</si>
  <si>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</si>
  <si>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</si>
  <si>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</si>
  <si>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</si>
  <si>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</si>
  <si>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</si>
  <si>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</si>
  <si>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</si>
  <si>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</si>
  <si>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</si>
  <si>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</si>
  <si>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</si>
  <si>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</si>
  <si>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</si>
  <si>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</si>
  <si>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</si>
  <si>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</si>
  <si>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</si>
  <si>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</si>
  <si>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</si>
  <si>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</si>
  <si>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</si>
  <si>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</si>
  <si>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</si>
  <si>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</si>
  <si>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</si>
  <si>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</si>
  <si>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</si>
  <si>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</si>
  <si>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</si>
  <si>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</si>
  <si>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</si>
  <si>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</si>
  <si>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</si>
  <si>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</si>
  <si>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</si>
  <si>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</si>
  <si>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</si>
  <si>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</si>
  <si>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</si>
  <si>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</si>
  <si>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</si>
  <si>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</si>
  <si>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</si>
  <si>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</si>
  <si>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</si>
  <si>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</si>
  <si>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</si>
  <si>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</si>
  <si>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</si>
  <si>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</si>
  <si>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</si>
  <si>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</si>
  <si>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</si>
  <si>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</si>
  <si>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</si>
  <si>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</si>
  <si>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</si>
  <si>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</si>
  <si>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</si>
  <si>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</si>
  <si>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</si>
  <si>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</si>
  <si>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</si>
  <si>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</si>
  <si>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</si>
  <si>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</si>
  <si>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</si>
  <si>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</si>
  <si>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</si>
  <si>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</si>
  <si>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</si>
  <si>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</si>
  <si>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</si>
  <si>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</si>
  <si>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</si>
  <si>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</si>
  <si>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</si>
  <si>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</si>
  <si>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</si>
  <si>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</si>
  <si>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</si>
  <si>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</si>
  <si>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</si>
  <si>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</si>
  <si>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</si>
  <si>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</si>
  <si>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</si>
  <si>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</si>
  <si>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</si>
  <si>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</si>
  <si>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</si>
  <si>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</si>
  <si>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</si>
  <si>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</si>
  <si>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</si>
  <si>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</si>
  <si>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</si>
  <si>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</si>
  <si>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</si>
  <si>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</si>
  <si>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</si>
  <si>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</si>
  <si>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</si>
  <si>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</si>
  <si>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</si>
  <si>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</si>
  <si>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</si>
  <si>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</si>
  <si>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</si>
  <si>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</si>
  <si>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</si>
  <si>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</si>
  <si>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</si>
  <si>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</si>
  <si>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</si>
  <si>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</si>
  <si>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</si>
  <si>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</si>
  <si>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</si>
  <si>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</si>
  <si>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</si>
  <si>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</si>
  <si>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</si>
  <si>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</si>
  <si>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</si>
  <si>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</si>
  <si>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</si>
  <si>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</si>
  <si>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</si>
  <si>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</si>
  <si>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</si>
  <si>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</si>
  <si>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</si>
  <si>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</si>
  <si>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</si>
  <si>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</si>
  <si>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</si>
  <si>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</si>
  <si>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</si>
  <si>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</si>
  <si>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</si>
  <si>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</si>
  <si>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</si>
  <si>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</si>
  <si>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</si>
  <si>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</si>
  <si>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</si>
  <si>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</si>
  <si>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</si>
  <si>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</si>
  <si>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</si>
  <si>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</si>
  <si>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</si>
  <si>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</si>
  <si>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</si>
  <si>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</si>
  <si>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</si>
  <si>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</si>
  <si>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</si>
  <si>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</si>
  <si>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</si>
  <si>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</si>
  <si>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</si>
  <si>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</si>
  <si>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</si>
  <si>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</si>
  <si>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</si>
  <si>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</si>
  <si>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</si>
  <si>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</si>
  <si>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</si>
  <si>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</si>
  <si>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</si>
  <si>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</si>
  <si>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</si>
  <si>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</si>
  <si>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</si>
  <si>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</si>
  <si>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</si>
  <si>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</si>
  <si>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</si>
  <si>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</si>
  <si>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</si>
  <si>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</si>
  <si>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</si>
  <si>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</si>
  <si>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</si>
  <si>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</si>
  <si>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</si>
  <si>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</si>
  <si>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</si>
  <si>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</si>
  <si>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</si>
  <si>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</si>
  <si>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</si>
  <si>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</si>
  <si>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</si>
  <si>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</si>
  <si>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</si>
  <si>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</si>
  <si>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</si>
  <si>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</si>
  <si>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</si>
  <si>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</si>
  <si>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</si>
  <si>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</si>
  <si>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</si>
  <si>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</si>
  <si>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</si>
  <si>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</si>
  <si>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</si>
  <si>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</si>
  <si>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</si>
  <si>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</si>
  <si>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</si>
  <si>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</si>
  <si>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</si>
  <si>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</si>
  <si>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</si>
  <si>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</si>
  <si>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</si>
  <si>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</si>
  <si>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</si>
  <si>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</si>
  <si>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</si>
  <si>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</si>
  <si>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</si>
  <si>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</si>
  <si>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</si>
  <si>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</si>
  <si>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</si>
  <si>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</si>
  <si>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</si>
  <si>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</si>
  <si>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</si>
  <si>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</si>
  <si>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</si>
  <si>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</si>
  <si>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</si>
  <si>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</si>
  <si>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</si>
  <si>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</si>
  <si>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</si>
  <si>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</si>
  <si>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</si>
  <si>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</si>
  <si>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</si>
  <si>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</si>
  <si>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</si>
  <si>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</si>
  <si>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</si>
  <si>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</si>
  <si>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</si>
  <si>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</si>
  <si>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</si>
  <si>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</si>
  <si>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</si>
  <si>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</si>
  <si>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</si>
  <si>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</si>
  <si>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</si>
  <si>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</si>
  <si>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</si>
  <si>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</si>
  <si>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</si>
  <si>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</si>
  <si>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</si>
  <si>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</si>
  <si>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</si>
  <si>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</si>
  <si>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</si>
  <si>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</si>
  <si>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</si>
  <si>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</si>
  <si>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</si>
  <si>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</si>
  <si>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</si>
  <si>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</si>
  <si>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</si>
  <si>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</si>
  <si>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</si>
  <si>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</si>
  <si>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</si>
  <si>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</si>
  <si>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</si>
  <si>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</si>
  <si>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</si>
  <si>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</si>
  <si>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</si>
  <si>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</si>
  <si>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</si>
  <si>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</si>
  <si>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</si>
  <si>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</si>
  <si>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</si>
  <si>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</si>
  <si>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</si>
  <si>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</si>
  <si>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</si>
  <si>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</si>
  <si>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</si>
  <si>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</si>
  <si>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</si>
  <si>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</si>
  <si>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</si>
  <si>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</si>
  <si>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</si>
  <si>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</si>
  <si>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</si>
  <si>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</si>
  <si>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</si>
  <si>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</si>
  <si>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</si>
  <si>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</si>
  <si>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</si>
  <si>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</si>
  <si>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</si>
  <si>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</si>
  <si>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</si>
  <si>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</si>
  <si>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</si>
  <si>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</si>
  <si>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</si>
  <si>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</si>
  <si>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</si>
  <si>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</si>
  <si>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</si>
  <si>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</si>
  <si>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</si>
  <si>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</si>
  <si>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</si>
  <si>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</si>
  <si>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</si>
  <si>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</si>
  <si>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</si>
  <si>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</si>
  <si>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</si>
  <si>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</si>
  <si>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</si>
  <si>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</si>
  <si>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</si>
  <si>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</si>
  <si>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</si>
  <si>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</si>
  <si>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</si>
  <si>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</si>
  <si>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</si>
  <si>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</si>
  <si>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</si>
  <si>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</si>
  <si>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</si>
  <si>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</si>
  <si>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</si>
  <si>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</si>
  <si>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</si>
  <si>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</si>
  <si>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</si>
  <si>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</si>
  <si>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</si>
  <si>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</si>
  <si>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</si>
  <si>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</si>
  <si>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</si>
  <si>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</si>
  <si>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</si>
  <si>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</si>
  <si>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</si>
  <si>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</si>
  <si>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</si>
  <si>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</si>
  <si>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</si>
  <si>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</si>
  <si>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</si>
  <si>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</si>
  <si>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</si>
  <si>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</si>
  <si>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</si>
  <si>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</si>
  <si>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</si>
  <si>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</si>
  <si>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</si>
  <si>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</si>
  <si>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</si>
  <si>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</si>
  <si>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</si>
  <si>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</si>
  <si>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</si>
  <si>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</si>
  <si>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</si>
  <si>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</si>
  <si>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</si>
  <si>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</si>
  <si>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</si>
  <si>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</si>
  <si>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</si>
  <si>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</si>
  <si>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</si>
  <si>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</si>
  <si>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</si>
  <si>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</si>
  <si>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</si>
  <si>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</si>
  <si>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</si>
  <si>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</si>
  <si>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</si>
  <si>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</si>
  <si>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</si>
  <si>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</si>
  <si>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</si>
  <si>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</si>
  <si>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</si>
  <si>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</si>
  <si>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</si>
  <si>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</si>
  <si>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</si>
  <si>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</si>
  <si>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</si>
  <si>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</si>
  <si>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</si>
  <si>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</si>
  <si>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</si>
  <si>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</si>
  <si>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</si>
  <si>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</si>
  <si>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</si>
  <si>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</si>
  <si>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</si>
  <si>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</si>
  <si>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</si>
  <si>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</si>
  <si>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</si>
  <si>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</si>
  <si>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</si>
  <si>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</si>
  <si>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</si>
  <si>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</si>
  <si>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</si>
  <si>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</si>
  <si>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</si>
  <si>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</si>
  <si>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</si>
  <si>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</si>
  <si>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</si>
  <si>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</si>
  <si>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</si>
  <si>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</si>
  <si>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</si>
  <si>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</si>
  <si>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</si>
  <si>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</si>
  <si>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</si>
  <si>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</si>
  <si>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</si>
  <si>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</si>
  <si>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</si>
  <si>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</si>
  <si>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</si>
  <si>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</si>
  <si>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</si>
  <si>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</si>
  <si>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</si>
  <si>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</si>
  <si>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</si>
  <si>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</si>
  <si>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</si>
  <si>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</si>
  <si>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</si>
  <si>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</si>
  <si>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</si>
  <si>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</si>
  <si>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</si>
  <si>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</si>
  <si>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</si>
  <si>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</si>
  <si>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</si>
  <si>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</si>
  <si>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</si>
  <si>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</si>
  <si>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</si>
  <si>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</si>
  <si>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</si>
  <si>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</si>
  <si>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</si>
  <si>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</si>
  <si>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</si>
  <si>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</si>
  <si>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</si>
  <si>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</si>
  <si>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</si>
  <si>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</si>
  <si>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</si>
  <si>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</si>
  <si>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</si>
  <si>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</si>
  <si>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</si>
  <si>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</si>
  <si>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</si>
  <si>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</si>
  <si>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</si>
  <si>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</si>
  <si>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</si>
  <si>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</si>
  <si>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</si>
  <si>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</si>
  <si>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</si>
  <si>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</si>
  <si>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</si>
  <si>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</si>
  <si>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</si>
  <si>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</si>
  <si>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</si>
  <si>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</si>
  <si>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</si>
  <si>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</si>
  <si>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</si>
  <si>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</si>
  <si>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</si>
  <si>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</si>
  <si>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</si>
  <si>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</si>
  <si>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</si>
  <si>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</si>
  <si>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</si>
  <si>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</si>
  <si>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</si>
  <si>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</si>
  <si>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</si>
  <si>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</si>
  <si>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</si>
  <si>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</si>
  <si>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</si>
  <si>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</si>
  <si>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</si>
  <si>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</si>
  <si>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</si>
  <si>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</si>
  <si>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</si>
  <si>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</si>
  <si>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</si>
  <si>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</si>
  <si>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</si>
  <si>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</si>
  <si>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</si>
  <si>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</si>
  <si>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</si>
  <si>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</si>
  <si>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</si>
  <si>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</si>
  <si>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</si>
  <si>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</si>
  <si>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</si>
  <si>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</si>
  <si>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</si>
  <si>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</si>
  <si>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</si>
  <si>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</si>
  <si>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</si>
  <si>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</si>
  <si>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</si>
  <si>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</si>
  <si>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</si>
  <si>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</si>
  <si>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</si>
  <si>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</si>
  <si>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</si>
  <si>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</si>
  <si>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</si>
  <si>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</si>
  <si>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</si>
  <si>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</si>
  <si>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</si>
  <si>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</si>
  <si>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</si>
  <si>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</si>
  <si>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</si>
  <si>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</si>
  <si>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</si>
  <si>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</si>
  <si>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</si>
  <si>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</si>
  <si>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</si>
  <si>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</si>
  <si>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</si>
  <si>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</si>
  <si>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</si>
  <si>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</si>
  <si>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</si>
  <si>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</si>
  <si>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</si>
  <si>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</si>
  <si>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</si>
  <si>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</si>
  <si>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</si>
  <si>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</si>
  <si>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</si>
  <si>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</si>
  <si>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</si>
  <si>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</si>
  <si>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</si>
  <si>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</si>
  <si>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</si>
  <si>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</si>
  <si>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</si>
  <si>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</si>
  <si>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</si>
  <si>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</si>
  <si>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</si>
  <si>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</si>
  <si>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</si>
  <si>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</si>
  <si>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</si>
  <si>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</si>
  <si>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</si>
  <si>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</si>
  <si>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</si>
  <si>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</si>
  <si>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</si>
  <si>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</si>
  <si>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</si>
  <si>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</si>
  <si>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</si>
  <si>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</si>
  <si>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</si>
  <si>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</si>
  <si>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</si>
  <si>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</si>
  <si>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</si>
  <si>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</si>
  <si>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</si>
  <si>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</si>
  <si>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</si>
  <si>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</si>
  <si>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</si>
  <si>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</si>
  <si>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</si>
  <si>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</si>
  <si>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</si>
  <si>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</si>
  <si>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</si>
  <si>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</si>
  <si>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</si>
  <si>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</si>
  <si>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</si>
  <si>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</si>
  <si>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</si>
  <si>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</si>
  <si>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</si>
  <si>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</si>
  <si>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</si>
  <si>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</si>
  <si>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</si>
  <si>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</si>
  <si>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</si>
  <si>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</si>
  <si>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</si>
  <si>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</si>
  <si>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</si>
  <si>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</si>
  <si>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</si>
  <si>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</si>
  <si>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</si>
  <si>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</si>
  <si>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</si>
  <si>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</si>
  <si>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</si>
  <si>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</si>
  <si>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</si>
  <si>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</si>
  <si>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</si>
  <si>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</si>
  <si>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</si>
  <si>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</si>
  <si>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</si>
  <si>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</si>
  <si>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</si>
  <si>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</si>
  <si>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</si>
  <si>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</si>
  <si>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</si>
  <si>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</si>
  <si>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</si>
  <si>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</si>
  <si>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</si>
  <si>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</si>
  <si>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</si>
  <si>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</si>
  <si>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</si>
  <si>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</si>
  <si>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</si>
  <si>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</si>
  <si>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</si>
  <si>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</si>
  <si>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</si>
  <si>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</si>
  <si>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</si>
  <si>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</si>
  <si>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</si>
  <si>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</si>
  <si>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</si>
  <si>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</si>
  <si>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</si>
  <si>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</si>
  <si>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</si>
  <si>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</si>
  <si>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</si>
  <si>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</si>
  <si>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</si>
  <si>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</si>
  <si>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</si>
  <si>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</si>
  <si>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</si>
  <si>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</si>
  <si>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</si>
  <si>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</si>
  <si>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</si>
  <si>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</si>
  <si>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</si>
  <si>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</si>
  <si>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</si>
  <si>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</si>
  <si>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</si>
  <si>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</si>
  <si>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</si>
  <si>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</si>
  <si>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</si>
  <si>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</si>
  <si>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</si>
  <si>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</si>
  <si>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</si>
  <si>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</si>
  <si>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</si>
  <si>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</si>
  <si>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</si>
  <si>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</si>
  <si>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</si>
  <si>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</si>
  <si>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</si>
  <si>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</si>
  <si>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</si>
  <si>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</si>
  <si>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</si>
  <si>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</si>
  <si>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</si>
  <si>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</si>
  <si>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</si>
  <si>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</si>
  <si>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</si>
  <si>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</si>
  <si>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</si>
  <si>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</si>
  <si>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</si>
  <si>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</si>
  <si>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</si>
  <si>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</si>
  <si>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</si>
  <si>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</si>
  <si>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</si>
  <si>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</si>
  <si>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</si>
  <si>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</si>
  <si>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</si>
  <si>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</si>
  <si>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</si>
  <si>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</si>
  <si>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</si>
  <si>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</si>
  <si>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</si>
  <si>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</si>
  <si>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</si>
  <si>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</si>
  <si>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</si>
  <si>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</si>
  <si>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</si>
  <si>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</si>
  <si>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</si>
  <si>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</si>
  <si>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</si>
  <si>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</si>
  <si>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</si>
  <si>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</si>
  <si>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</si>
  <si>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</si>
  <si>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</si>
  <si>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</si>
  <si>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</si>
  <si>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</si>
  <si>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</si>
  <si>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</si>
  <si>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</si>
  <si>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</si>
  <si>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</si>
  <si>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</si>
  <si>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</si>
  <si>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</si>
  <si>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</si>
  <si>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</si>
  <si>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</si>
  <si>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</si>
  <si>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</si>
  <si>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</si>
  <si>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</si>
  <si>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</si>
  <si>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</si>
  <si>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</si>
  <si>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</si>
  <si>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</si>
  <si>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</si>
  <si>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</si>
  <si>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</si>
  <si>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</si>
  <si>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</si>
  <si>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</si>
  <si>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</si>
  <si>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</si>
  <si>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</si>
  <si>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</si>
  <si>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</si>
  <si>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</si>
  <si>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</si>
  <si>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</si>
  <si>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</si>
  <si>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</si>
  <si>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</si>
  <si>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</si>
  <si>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</si>
  <si>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</si>
  <si>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</si>
  <si>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</si>
  <si>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</si>
  <si>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</si>
  <si>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</si>
  <si>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</si>
  <si>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</si>
  <si>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</si>
  <si>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</si>
  <si>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</si>
  <si>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</si>
  <si>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</si>
  <si>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</si>
  <si>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</si>
  <si>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</si>
  <si>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</si>
  <si>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</si>
  <si>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</si>
  <si>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</si>
  <si>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</si>
  <si>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</si>
  <si>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</si>
  <si>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</si>
  <si>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</si>
  <si>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</si>
  <si>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</si>
  <si>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</si>
  <si>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</si>
  <si>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</si>
  <si>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</si>
  <si>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</si>
  <si>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</si>
  <si>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</si>
  <si>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</si>
  <si>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</si>
  <si>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</si>
  <si>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</si>
  <si>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</si>
  <si>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</si>
  <si>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</si>
  <si>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</si>
  <si>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</si>
  <si>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</si>
  <si>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</si>
  <si>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</si>
  <si>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</si>
  <si>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</si>
  <si>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</si>
  <si>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</si>
  <si>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</si>
  <si>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</si>
  <si>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</si>
  <si>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</si>
  <si>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</si>
  <si>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</si>
  <si>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</si>
  <si>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</si>
  <si>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</si>
  <si>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</si>
  <si>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</si>
  <si>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</si>
  <si>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</si>
  <si>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</si>
  <si>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</si>
  <si>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</si>
  <si>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</si>
  <si>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</si>
  <si>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</si>
  <si>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</si>
  <si>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</si>
  <si>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</si>
  <si>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</si>
  <si>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</si>
  <si>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</si>
  <si>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</si>
  <si>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</si>
  <si>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</si>
  <si>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</si>
  <si>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</si>
  <si>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</si>
  <si>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</si>
  <si>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</si>
  <si>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</si>
  <si>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</si>
  <si>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</si>
  <si>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</si>
  <si>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</si>
  <si>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</si>
  <si>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</si>
  <si>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</si>
  <si>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</si>
  <si>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</si>
  <si>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</si>
  <si>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</si>
  <si>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</si>
  <si>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</si>
  <si>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</si>
  <si>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</si>
  <si>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</si>
  <si>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</si>
  <si>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</si>
  <si>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</si>
  <si>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</si>
  <si>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</si>
  <si>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</si>
  <si>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</si>
  <si>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</si>
  <si>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</si>
  <si>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</si>
  <si>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</si>
  <si>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</si>
  <si>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</si>
  <si>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</si>
  <si>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</si>
  <si>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</si>
  <si>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</si>
  <si>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</si>
  <si>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</si>
  <si>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</si>
  <si>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</si>
  <si>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</si>
  <si>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</si>
  <si>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</si>
  <si>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</si>
  <si>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</si>
  <si>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</si>
  <si>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</si>
  <si>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</si>
  <si>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</si>
  <si>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</si>
  <si>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</si>
  <si>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</si>
  <si>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</si>
  <si>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</si>
  <si>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</si>
  <si>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</si>
  <si>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</si>
  <si>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</si>
  <si>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</si>
  <si>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</si>
  <si>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</si>
  <si>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</si>
  <si>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</si>
  <si>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</si>
  <si>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</si>
  <si>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</si>
  <si>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</si>
  <si>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</si>
  <si>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</si>
  <si>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</si>
  <si>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</si>
  <si>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</si>
  <si>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</si>
  <si>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</si>
  <si>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</si>
  <si>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</si>
  <si>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</si>
  <si>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</si>
  <si>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</si>
  <si>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</si>
  <si>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</si>
  <si>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</si>
  <si>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</si>
  <si>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</si>
  <si>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</si>
  <si>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</si>
  <si>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</si>
  <si>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</si>
  <si>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</si>
  <si>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</si>
  <si>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</si>
  <si>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</si>
  <si>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</si>
  <si>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</si>
  <si>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</si>
  <si>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</si>
  <si>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</si>
  <si>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</si>
  <si>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</si>
  <si>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</si>
  <si>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</si>
  <si>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</si>
  <si>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</si>
  <si>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</si>
  <si>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</si>
  <si>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</si>
  <si>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</si>
  <si>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</si>
  <si>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</si>
  <si>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</si>
  <si>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</si>
  <si>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</si>
  <si>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</si>
  <si>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</si>
  <si>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</si>
  <si>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</si>
  <si>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</si>
  <si>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</si>
  <si>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</si>
  <si>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</si>
  <si>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</si>
  <si>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</si>
  <si>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</si>
  <si>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</si>
  <si>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</si>
  <si>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</si>
  <si>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</si>
  <si>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</si>
  <si>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</si>
  <si>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</si>
  <si>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</si>
  <si>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</si>
  <si>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</si>
  <si>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</si>
  <si>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</si>
  <si>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</si>
  <si>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</si>
  <si>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</si>
  <si>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</si>
  <si>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</si>
  <si>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</si>
  <si>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</si>
  <si>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</si>
  <si>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</si>
  <si>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</si>
  <si>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</si>
  <si>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</si>
  <si>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</si>
  <si>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</si>
  <si>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</si>
  <si>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</si>
  <si>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</si>
  <si>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</si>
  <si>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</si>
  <si>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</si>
  <si>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</si>
  <si>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</si>
  <si>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</si>
  <si>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</si>
  <si>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</si>
  <si>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</si>
  <si>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</si>
  <si>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</si>
  <si>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</si>
  <si>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</si>
  <si>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</si>
  <si>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</si>
  <si>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</si>
  <si>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</si>
  <si>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</si>
  <si>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</si>
  <si>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</si>
  <si>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</si>
  <si>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</si>
  <si>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</si>
  <si>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</si>
  <si>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</si>
  <si>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</si>
  <si>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</si>
  <si>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</si>
  <si>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</si>
  <si>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</si>
  <si>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</si>
  <si>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</si>
  <si>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</si>
  <si>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</si>
  <si>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</si>
  <si>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</si>
  <si>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</si>
  <si>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</si>
  <si>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</si>
  <si>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</si>
  <si>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</si>
  <si>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</si>
  <si>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</si>
  <si>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</si>
  <si>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</si>
  <si>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</si>
  <si>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</si>
  <si>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</si>
  <si>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</si>
  <si>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</si>
  <si>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</si>
  <si>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</si>
  <si>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</si>
  <si>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</si>
  <si>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</si>
  <si>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</si>
  <si>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</si>
  <si>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</si>
  <si>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</si>
  <si>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</si>
  <si>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</si>
  <si>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</si>
  <si>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</si>
  <si>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</si>
  <si>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</si>
  <si>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</si>
  <si>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</si>
  <si>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</si>
  <si>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</si>
  <si>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</si>
  <si>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</si>
  <si>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</si>
  <si>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</si>
  <si>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</si>
  <si>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</si>
  <si>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</si>
  <si>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</si>
  <si>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</si>
  <si>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</si>
  <si>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</si>
  <si>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</si>
  <si>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</si>
  <si>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</si>
  <si>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</si>
  <si>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</si>
  <si>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</si>
  <si>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</si>
  <si>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</si>
  <si>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</si>
  <si>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</si>
  <si>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</si>
  <si>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</si>
  <si>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</si>
  <si>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</si>
  <si>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</si>
  <si>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</si>
  <si>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</si>
  <si>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</si>
  <si>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</si>
  <si>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</si>
  <si>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</si>
  <si>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</si>
  <si>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</si>
  <si>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</si>
  <si>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</si>
  <si>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</si>
  <si>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</si>
  <si>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</si>
  <si>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</si>
  <si>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</si>
  <si>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</si>
  <si>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</si>
  <si>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</si>
  <si>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</si>
  <si>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</si>
  <si>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</si>
  <si>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</si>
  <si>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</si>
  <si>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</si>
  <si>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</si>
  <si>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</si>
  <si>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</si>
  <si>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</si>
  <si>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</si>
  <si>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</si>
  <si>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</si>
  <si>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</si>
  <si>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</si>
  <si>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</si>
  <si>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</si>
  <si>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</si>
  <si>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</si>
  <si>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</si>
  <si>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</si>
  <si>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</si>
  <si>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</si>
  <si>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</si>
  <si>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</si>
  <si>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</si>
  <si>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</si>
  <si>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</si>
  <si>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</si>
  <si>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</si>
  <si>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</si>
  <si>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</si>
  <si>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</si>
  <si>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</si>
  <si>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</si>
  <si>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</si>
  <si>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</si>
  <si>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</si>
  <si>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</si>
  <si>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</si>
  <si>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</si>
  <si>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</si>
  <si>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</si>
  <si>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</si>
  <si>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</si>
  <si>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</si>
  <si>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</si>
  <si>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</si>
  <si>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</si>
  <si>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</si>
  <si>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</si>
  <si>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</si>
  <si>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</si>
  <si>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</si>
  <si>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</si>
  <si>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</si>
  <si>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</si>
  <si>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</si>
  <si>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</si>
  <si>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</si>
  <si>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</si>
  <si>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</si>
  <si>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</si>
  <si>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</si>
  <si>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</si>
  <si>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</si>
  <si>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</si>
  <si>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</si>
  <si>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</si>
  <si>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</si>
  <si>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</si>
  <si>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</si>
  <si>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</si>
  <si>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</si>
  <si>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</si>
  <si>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</si>
  <si>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</si>
  <si>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</si>
  <si>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</si>
  <si>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</si>
  <si>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</si>
  <si>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</si>
  <si>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</si>
  <si>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</si>
  <si>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</si>
  <si>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</si>
  <si>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</si>
  <si>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</si>
  <si>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</si>
  <si>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</si>
  <si>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</si>
  <si>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</si>
  <si>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</si>
  <si>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</si>
  <si>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</si>
  <si>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</si>
  <si>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</si>
  <si>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</si>
  <si>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</si>
  <si>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</si>
  <si>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</si>
  <si>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</si>
  <si>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</si>
  <si>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</si>
  <si>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</si>
  <si>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</si>
  <si>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</si>
  <si>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</si>
  <si>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</si>
  <si>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</si>
  <si>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</si>
  <si>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</si>
  <si>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</si>
  <si>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</si>
  <si>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</si>
  <si>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</si>
  <si>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</si>
  <si>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</si>
  <si>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</si>
  <si>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</si>
  <si>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</si>
  <si>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</si>
  <si>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</si>
  <si>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</si>
  <si>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</si>
  <si>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</si>
  <si>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</si>
  <si>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</si>
  <si>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</si>
  <si>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</si>
  <si>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</si>
  <si>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</si>
  <si>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</si>
  <si>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</si>
  <si>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</si>
  <si>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</si>
  <si>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</si>
  <si>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襄七房东单元FG05-M1-C10地块,东至江晖路,南至滨文路,西至杭州长河发电设备有限公司、浙江中晟控股集团有限公司,北至杭州承文堂生物医药有限公司</t>
  </si>
  <si>
    <t>杭州市</t>
  </si>
  <si>
    <t>工业用地</t>
  </si>
  <si>
    <t>＞1.5,≤2.5</t>
  </si>
  <si>
    <t>挂牌</t>
  </si>
  <si>
    <t>2020-12-17</t>
  </si>
  <si>
    <t>杭州贝咖实业有限公司</t>
  </si>
  <si>
    <t>0星</t>
  </si>
  <si>
    <t>杭高新工业[2020]8号</t>
  </si>
  <si>
    <t>≥1.2且≤2.8</t>
  </si>
  <si>
    <t>计算机、通信和其他电子设备制造业</t>
  </si>
  <si>
    <t>2020-09-17</t>
  </si>
  <si>
    <t>杭州萤石网络有限公司</t>
  </si>
  <si>
    <t>杭高新工业[2019]8号地块</t>
  </si>
  <si>
    <t>≥1.2且≤3.0</t>
  </si>
  <si>
    <t>2020-08-10</t>
  </si>
  <si>
    <t>税友软件集团股份有限公司</t>
  </si>
  <si>
    <t>杭高新工业[2020]15号地块</t>
  </si>
  <si>
    <t>创业慧康科技股份有限公司</t>
  </si>
  <si>
    <t>杭高新工业[2020]7号</t>
  </si>
  <si>
    <t>2020-07-03</t>
  </si>
  <si>
    <t>杭州呯嘭智能技术有限公司</t>
  </si>
  <si>
    <t>杭高新工业[2020]9号</t>
  </si>
  <si>
    <t>2020-06-30</t>
  </si>
  <si>
    <t>杭州安恒信息技术股份有限公司</t>
  </si>
  <si>
    <t>杭高新工业[2019]9号</t>
  </si>
  <si>
    <t>2020-06-24</t>
  </si>
  <si>
    <t>杭州光云科技股份有限公司</t>
  </si>
  <si>
    <t>杭高新工业[2019]7号</t>
  </si>
  <si>
    <t>医药制造业</t>
  </si>
  <si>
    <t>浙江长典医药有限公司</t>
  </si>
  <si>
    <t>杭高新工业[2018]5号</t>
  </si>
  <si>
    <t>银江股份有限公司</t>
  </si>
  <si>
    <t>杭高新工业[2019]10号</t>
  </si>
  <si>
    <t>高新兴创联科技有限公司</t>
  </si>
  <si>
    <t>杭高新工业[2020]1号</t>
  </si>
  <si>
    <t>2020-05-15</t>
  </si>
  <si>
    <t>城云科技(中国)有限公司</t>
  </si>
  <si>
    <t>5星</t>
  </si>
  <si>
    <t>杭政工出[2019]21号</t>
  </si>
  <si>
    <t>1.2-4.5</t>
  </si>
  <si>
    <t>通信设备、计算机及其他电子设备制造业</t>
  </si>
  <si>
    <t>2019-11-25</t>
  </si>
  <si>
    <t>虹软科技股份有限公司</t>
  </si>
  <si>
    <t>杭政工出[2019]20号</t>
  </si>
  <si>
    <t>1.2-3.0</t>
  </si>
  <si>
    <t>2019-11-15</t>
  </si>
  <si>
    <t>杭州当虹科技股份有限公司</t>
  </si>
  <si>
    <t>工业综合体项目地块</t>
  </si>
  <si>
    <t>m1-01地块1.8-2.4;m1-02地块1.8-2.1</t>
  </si>
  <si>
    <t>2019-09-17</t>
  </si>
  <si>
    <t>杭州滨江城建发展有限公司</t>
  </si>
  <si>
    <t>杭高新工业[2019]1号</t>
  </si>
  <si>
    <t>≥1.2≤2.8</t>
  </si>
  <si>
    <t>2019-08-23</t>
  </si>
  <si>
    <t>杭州山科智能科技股份有限公司</t>
  </si>
  <si>
    <t>杭高新工业[2019]2号</t>
  </si>
  <si>
    <t>杭州鸿泉物联网技术股份有限公司</t>
  </si>
  <si>
    <t>杭高新工业[2018]6号</t>
  </si>
  <si>
    <t>≥1.2≤1.8</t>
  </si>
  <si>
    <t>杭州瑞德设计股份有限公司</t>
  </si>
  <si>
    <t>杭高新工业[2018]2号地块</t>
  </si>
  <si>
    <t>≥1.2≤2.0</t>
  </si>
  <si>
    <t>2019-07-29</t>
  </si>
  <si>
    <t>浙江大丰数艺科技有限公司</t>
  </si>
  <si>
    <t>杭高新工业[2018]3号地块</t>
  </si>
  <si>
    <t>杭州纵横通信股份有限公司</t>
  </si>
  <si>
    <t>杭高新工业[2018]4号地块</t>
  </si>
  <si>
    <t>2019-03-06</t>
  </si>
  <si>
    <t>杭州海亮教育科研有限公司</t>
  </si>
  <si>
    <t>杭高新工业[2018]1号地块</t>
  </si>
  <si>
    <t>≥1.2≤3.0</t>
  </si>
  <si>
    <t>2019-01-07</t>
  </si>
  <si>
    <t>杭州吉利寰球科技有限公司</t>
  </si>
  <si>
    <t>白马湖单元M1-C67地块</t>
  </si>
  <si>
    <t>≥1.2≤2</t>
  </si>
  <si>
    <t>2018-05-18</t>
  </si>
  <si>
    <t>杭州科博特激光工程有限公司</t>
  </si>
  <si>
    <t>3星</t>
  </si>
  <si>
    <t>杭高新工业[2017]7号地块</t>
  </si>
  <si>
    <t>≥1.2≤3</t>
  </si>
  <si>
    <t>2018-04-23</t>
  </si>
  <si>
    <t>医惠科技有限公司</t>
  </si>
  <si>
    <t>滨江区杭高新工业[2017]6号地块</t>
  </si>
  <si>
    <t>1.2＜2.8</t>
  </si>
  <si>
    <t>招标</t>
  </si>
  <si>
    <t>2017-06-09</t>
  </si>
  <si>
    <t>杭州迪普科技股份有限公司</t>
  </si>
  <si>
    <t>滨江区杭高新工业[2016]5号地块</t>
  </si>
  <si>
    <t>1.2-2.8</t>
  </si>
  <si>
    <t>2017-01-18</t>
  </si>
  <si>
    <t>杭州康奋威科技股份有限公司</t>
  </si>
  <si>
    <t>滨江区杭高新工业[2016]1号地块</t>
  </si>
  <si>
    <t>杭州联络互动信息科技股份有限公司</t>
  </si>
  <si>
    <t>滨江区杭高新工业[2016]7号地块</t>
  </si>
  <si>
    <t>2.0-4.6</t>
  </si>
  <si>
    <t>工业用地(创新型产业)</t>
  </si>
  <si>
    <t>浙江网盛控股集团有限公司</t>
  </si>
  <si>
    <t>滨江区杭高新工业[2016]2号地块</t>
  </si>
  <si>
    <t>2016-12-29</t>
  </si>
  <si>
    <t>杭州中诚塑料包装有限公司</t>
  </si>
  <si>
    <t>滨江区杭高新工业[2016]6号地块</t>
  </si>
  <si>
    <t>杭州交投智慧交通产业发展有限公司</t>
  </si>
  <si>
    <t>滨江区杭高新工业[2016]4号地块</t>
  </si>
  <si>
    <t>2＜容积率＜4.15</t>
  </si>
  <si>
    <t>2016-12-21</t>
  </si>
  <si>
    <t>恒生电子股份有限公司</t>
  </si>
  <si>
    <t>滨江区杭高新工业[2016]3号地块</t>
  </si>
  <si>
    <t>1.2-1.8</t>
  </si>
  <si>
    <t>2016-12-08</t>
  </si>
  <si>
    <t>浙江畅唐网络股份有限公司</t>
  </si>
  <si>
    <t>滨江区杭高新工业[2015]7号地块</t>
  </si>
  <si>
    <t>浙江省第一水电建设集团股份有限公司</t>
  </si>
  <si>
    <t>滨江区高新工业[2015]11号地块</t>
  </si>
  <si>
    <t>2016-04-01</t>
  </si>
  <si>
    <t>浙江维尔科技股份有限公司</t>
  </si>
  <si>
    <t>滨江区杭高新工业[2015]12号</t>
  </si>
  <si>
    <t>2015-12-10</t>
  </si>
  <si>
    <t>杭州长川科技股份有限公司</t>
  </si>
  <si>
    <t>滨江区杭高新工业[2015]13号</t>
  </si>
  <si>
    <t>1.8-3.0</t>
  </si>
  <si>
    <t>2015-10-20</t>
  </si>
  <si>
    <t>杭州高新技术产业开发区资产经营有限公司</t>
  </si>
  <si>
    <t>滨江区杭高新工业[2008]7-2号地块</t>
  </si>
  <si>
    <t>2015-06-26</t>
  </si>
  <si>
    <t>杭州电魂网络科技股份有限公司</t>
  </si>
  <si>
    <t>滨江区杭高新工业[2015]3号地块</t>
  </si>
  <si>
    <t>2015-05-29</t>
  </si>
  <si>
    <t>矽力杰半导体技术(杭州)有限公司</t>
  </si>
  <si>
    <t>滨江区杭高新工业[2015]10号地块</t>
  </si>
  <si>
    <t>杭州安恒信息技术有限公司</t>
  </si>
  <si>
    <t>滨江区杭高新工业[2015]9号地块</t>
  </si>
  <si>
    <t>杭州中胜智能科技有限公司</t>
  </si>
  <si>
    <t>滨江区杭高新工业[2015]8号地块</t>
  </si>
  <si>
    <t>浙江宇视科技有限公司</t>
  </si>
  <si>
    <t>滨江区杭高新工业[2015]4号地块</t>
  </si>
  <si>
    <t>杭州初灵信息技术股份有限公司</t>
  </si>
  <si>
    <t>滨江区杭高新工业[2015]6号地块</t>
  </si>
  <si>
    <t>浙江建达科技股份有限公司</t>
  </si>
  <si>
    <t>滨江区杭高新工业[2015]5号地块</t>
  </si>
  <si>
    <t>浙江星联合能源技术有限公司</t>
  </si>
  <si>
    <t>滨江区杭高新工业[2007]11-1号地块</t>
  </si>
  <si>
    <t>2.5-2.8</t>
  </si>
  <si>
    <t>工业用地(鼓励发展类的计算机、通信和其他电子设备制造业)</t>
  </si>
  <si>
    <t>2014-10-29</t>
  </si>
  <si>
    <t>网易(杭州)网络有限公司</t>
  </si>
  <si>
    <t>滨江区杭高新工业[2009]1-1号地块</t>
  </si>
  <si>
    <t>工业用地(园林、陈设艺术及其他陶瓷制品制造)</t>
  </si>
  <si>
    <t>2014-09-04</t>
  </si>
  <si>
    <t>杭州最葵园文化创意有限公司</t>
  </si>
  <si>
    <t>滨江区杭高新工业西兴北单元06号地块</t>
  </si>
  <si>
    <t>工业用地(数字音视频产品生产)</t>
  </si>
  <si>
    <t>杭州海康威视数字技术股份有限公司</t>
  </si>
  <si>
    <t>滨江区杭高新工业[2009]15-1号地块</t>
  </si>
  <si>
    <t>工业用地(专用设备制造业)</t>
  </si>
  <si>
    <t>浙江万利金刚石工具有限公司</t>
  </si>
  <si>
    <t>滨江区杭高新工业[2009]1-2号地块</t>
  </si>
  <si>
    <t>工业用地(雕塑工艺品制造)</t>
  </si>
  <si>
    <t>浙江舟帷文化创意有限公司</t>
  </si>
  <si>
    <t>滨江区杭高新工业[2008]5-9号地块</t>
  </si>
  <si>
    <t>工业用地(鼓励发展类的宽带无线通信设备生产业)</t>
  </si>
  <si>
    <t>2014-07-16</t>
  </si>
  <si>
    <t>杭州联吉技术有限公司</t>
  </si>
  <si>
    <t>滨江区杭高新工业[2007]5-2号地块</t>
  </si>
  <si>
    <t>杭州搜房网络技术有限公司</t>
  </si>
  <si>
    <t>华夏银行</t>
    <phoneticPr fontId="6" type="noConversion"/>
  </si>
  <si>
    <t>房天下</t>
    <phoneticPr fontId="6" type="noConversion"/>
  </si>
  <si>
    <t>抵押</t>
  </si>
  <si>
    <t>房地产抵押价值</t>
  </si>
  <si>
    <t>其他：</t>
  </si>
  <si>
    <t>企业</t>
  </si>
  <si>
    <t>出让</t>
  </si>
  <si>
    <t>工业</t>
    <phoneticPr fontId="6" type="noConversion"/>
  </si>
  <si>
    <t>否</t>
  </si>
  <si>
    <t>工业项目</t>
  </si>
  <si>
    <t>无</t>
  </si>
  <si>
    <t>现房</t>
  </si>
  <si>
    <t>通路</t>
  </si>
  <si>
    <t>通电</t>
  </si>
  <si>
    <t>通讯</t>
  </si>
  <si>
    <t>通上水</t>
  </si>
  <si>
    <t>通下水</t>
  </si>
  <si>
    <r>
      <t>82</t>
    </r>
    <r>
      <rPr>
        <sz val="10"/>
        <color indexed="8"/>
        <rFont val="宋体"/>
        <family val="3"/>
        <charset val="134"/>
      </rPr>
      <t>号</t>
    </r>
    <phoneticPr fontId="3" type="noConversion"/>
  </si>
  <si>
    <t>是</t>
  </si>
  <si>
    <t>地上</t>
  </si>
  <si>
    <t>办公楼</t>
  </si>
  <si>
    <t>办公楼</t>
    <phoneticPr fontId="7" type="noConversion"/>
  </si>
  <si>
    <t>成新度</t>
  </si>
  <si>
    <t>成本法</t>
  </si>
  <si>
    <t>总价</t>
  </si>
  <si>
    <t>成本比率</t>
  </si>
  <si>
    <t>正常</t>
  </si>
  <si>
    <t>工业</t>
    <phoneticPr fontId="33" type="noConversion"/>
  </si>
  <si>
    <t>楼面地价</t>
  </si>
  <si>
    <t>未包含在土地购买价格中</t>
  </si>
  <si>
    <t>全部缴纳</t>
  </si>
  <si>
    <t>已包含在土地取得成本中</t>
  </si>
  <si>
    <t>售价</t>
  </si>
  <si>
    <t>收益法</t>
  </si>
  <si>
    <t>押一</t>
  </si>
  <si>
    <t>按租金收入计税</t>
  </si>
  <si>
    <t>钢混</t>
  </si>
  <si>
    <t>非生产用房</t>
  </si>
  <si>
    <t>情况3</t>
  </si>
  <si>
    <t>自行开发建设</t>
  </si>
  <si>
    <t>非个人房产</t>
  </si>
  <si>
    <t>仅含出让金</t>
  </si>
  <si>
    <t>杭州市滨江区长河街道越达巷82号工业用房</t>
    <phoneticPr fontId="6" type="noConversion"/>
  </si>
  <si>
    <r>
      <t>50</t>
    </r>
    <r>
      <rPr>
        <sz val="11"/>
        <color indexed="8"/>
        <rFont val="宋体"/>
        <family val="3"/>
        <charset val="134"/>
      </rPr>
      <t>年</t>
    </r>
    <phoneticPr fontId="33" type="noConversion"/>
  </si>
  <si>
    <t>较好</t>
  </si>
  <si>
    <t>好</t>
  </si>
  <si>
    <t>六通</t>
  </si>
  <si>
    <t>规则</t>
    <phoneticPr fontId="33" type="noConversion"/>
  </si>
  <si>
    <t>较规则</t>
  </si>
  <si>
    <t>较规则</t>
    <phoneticPr fontId="33" type="noConversion"/>
  </si>
  <si>
    <t>较不规则</t>
    <phoneticPr fontId="33" type="noConversion"/>
  </si>
  <si>
    <t>不规则</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</si>
  <si>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</si>
  <si>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</si>
  <si>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</si>
  <si>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</si>
  <si>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</si>
  <si>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杭州搜房网络科技有限公司</t>
    <phoneticPr fontId="6" type="noConversion"/>
  </si>
  <si>
    <t>地下一层</t>
    <phoneticPr fontId="3" type="noConversion"/>
  </si>
  <si>
    <t>地下二层</t>
    <phoneticPr fontId="3" type="noConversion"/>
  </si>
  <si>
    <t>地下三层</t>
    <phoneticPr fontId="3" type="noConversion"/>
  </si>
  <si>
    <t>地下部分（没有房本）</t>
    <phoneticPr fontId="3" type="noConversion"/>
  </si>
  <si>
    <t>建筑面积</t>
    <phoneticPr fontId="3" type="noConversion"/>
  </si>
  <si>
    <t>建安单价</t>
    <phoneticPr fontId="3" type="noConversion"/>
  </si>
  <si>
    <t>折到地上</t>
    <phoneticPr fontId="3" type="noConversion"/>
  </si>
  <si>
    <t>利息：取LPR加浮动点数</t>
  </si>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</sst>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5" borderId="0" xfId="0" applyFill="1" applyAlignment="1"/>
    <xf numFmtId="0" fontId="79" fillId="7" borderId="15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254" fillId="5" borderId="0" xfId="0" applyFont="1" applyFill="1" applyAlignment="1"/>
    <xf numFmtId="177" fontId="55" fillId="7" borderId="1" xfId="1" applyNumberFormat="1" applyFont="1" applyFill="1" applyBorder="1" applyAlignment="1" applyProtection="1">
      <alignment horizontal="center"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0" fontId="118" fillId="13" borderId="0" xfId="0" applyFont="1" applyFill="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8" fillId="5"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7</xdr:col>
      <xdr:colOff>1122946</xdr:colOff>
      <xdr:row>99</xdr:row>
      <xdr:rowOff>170443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8038096" cy="8057143"/>
        </a:xfrm>
        <a:prstGeom prst="rect">
          <a:avLst/>
        </a:prstGeom>
      </xdr:spPr>
    </xdr:pic>
    <xdr:clientData/>
  </xdr:twoCellAnchor>
  <xdr:twoCellAnchor editAs="oneCell">
    <xdr:from>
      <xdr:col>9</xdr:col>
      <xdr:colOff>0</xdr:colOff>
      <xdr:row>53</xdr:row>
      <xdr:rowOff>0</xdr:rowOff>
    </xdr:from>
    <xdr:to>
      <xdr:col>19</xdr:col>
      <xdr:colOff>560980</xdr:colOff>
      <xdr:row>100</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8867775" y="9086850"/>
          <a:ext cx="7961905" cy="8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杭州市滨江区长河街道越达巷82号工业用房房地产抵押价值预评估</v>
      </c>
    </row>
    <row r="3" spans="1:2" s="1365" customFormat="1">
      <c r="A3" s="1363" t="s">
        <v>1188</v>
      </c>
      <c r="B3" s="1364" t="str">
        <f>'预评函-封皮'!B40</f>
        <v>房天下</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受贵公司委托，我公司对杭州市滨江区长河街道越达巷82号工业用房房地产抵押价值进行了预评估。</v>
      </c>
    </row>
    <row r="7" spans="1:2" s="1365" customFormat="1">
      <c r="A7" s="1363" t="s">
        <v>1231</v>
      </c>
      <c r="B7" s="1364" t="str">
        <f>'预评函-1'!A7</f>
        <v>估价对象为杭州市滨江区长河街道越达巷82号工业用房房地产，为杭州搜房网络科技有限公司所有。根据《国有土地使用证》[]，估价对象（分摊）出让国有建设用地使用权面积为9989平方米，建筑面积为27421.7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杭州市滨江区长河街道越达巷82号工业用房房地产,属杭州搜房网络科技有限公司开发建设的工业项目，该项目尚在开发建设中。根据《国有土地使用证》[]，估价对象（分摊）出让国有建设用地使用权面积为9989平方米，规划建筑面积为27421.7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为估价委托人在向华夏银行办理贷款手续过程中，确定房地产抵押贷款额度提供参考依据而评估房地产抵押价值。</v>
      </c>
    </row>
    <row r="12" spans="1:2" s="1365" customFormat="1">
      <c r="A12" s="1363" t="s">
        <v>1193</v>
      </c>
      <c r="B12" s="1364" t="str">
        <f>'预评函-1'!A15</f>
        <v>2021年4月20日（评估专业人员实地查勘之日）</v>
      </c>
    </row>
    <row r="13" spans="1:2" s="1365" customFormat="1">
      <c r="A13" s="1363" t="s">
        <v>1194</v>
      </c>
      <c r="B13" s="1364" t="str">
        <f>'预评函-1'!A18</f>
        <v>本次估价的“房地产价值”是指在正常市场情况下，在价值时点2021年4月20日，估价对象规划用途为工业，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26505</v>
      </c>
    </row>
    <row r="21" spans="1:2" s="1365" customFormat="1">
      <c r="A21" s="1363" t="s">
        <v>1202</v>
      </c>
      <c r="B21" s="1364">
        <f ca="1">'预评函-2'!D7</f>
        <v>9666</v>
      </c>
    </row>
    <row r="22" spans="1:2" s="1365" customFormat="1">
      <c r="A22" s="1363" t="s">
        <v>1203</v>
      </c>
      <c r="B22" s="1364" t="str">
        <f ca="1">'预评函-2'!D6</f>
        <v>贰亿陆仟伍佰零伍万元整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26505</v>
      </c>
    </row>
    <row r="31" spans="1:2" s="1365" customFormat="1">
      <c r="A31" s="1363" t="s">
        <v>1241</v>
      </c>
      <c r="B31" s="1364">
        <f ca="1">'预评函-2'!D15</f>
        <v>9666</v>
      </c>
    </row>
    <row r="32" spans="1:2" s="1365" customFormat="1">
      <c r="A32" s="1363" t="s">
        <v>1208</v>
      </c>
      <c r="B32" s="1364" t="str">
        <f ca="1">'预评函-2'!D14</f>
        <v>贰亿陆仟伍佰零伍万元整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24946</v>
      </c>
    </row>
    <row r="39" spans="1:2" s="1365" customFormat="1">
      <c r="A39" s="1363" t="s">
        <v>1210</v>
      </c>
      <c r="B39" s="1364">
        <f ca="1">'预评函-2'!D21</f>
        <v>9097</v>
      </c>
    </row>
    <row r="40" spans="1:2" s="1365" customFormat="1">
      <c r="A40" s="1363" t="s">
        <v>1211</v>
      </c>
      <c r="B40" s="1364" t="str">
        <f ca="1">'预评函-2'!D20</f>
        <v>贰亿肆仟玖佰肆拾陆万元整</v>
      </c>
    </row>
    <row r="41" spans="1:2" s="1365" customFormat="1">
      <c r="A41" s="1363" t="s">
        <v>1257</v>
      </c>
      <c r="B41" s="1364" t="str">
        <f>'预评函-3'!A4</f>
        <v>杭州市滨江区长河街道越达巷82号工业用房房地产</v>
      </c>
    </row>
    <row r="42" spans="1:2" s="1365" customFormat="1">
      <c r="A42" s="1363" t="s">
        <v>1255</v>
      </c>
      <c r="B42" s="1364" t="str">
        <f>'预评函-3'!B2</f>
        <v>建筑面积</v>
      </c>
    </row>
    <row r="43" spans="1:2" s="1365" customFormat="1">
      <c r="A43" s="1363" t="s">
        <v>1256</v>
      </c>
      <c r="B43" s="1364">
        <f>'预评函-3'!B4</f>
        <v>27421.7</v>
      </c>
    </row>
    <row r="44" spans="1:2" s="1365" customFormat="1">
      <c r="A44" s="1363" t="s">
        <v>1240</v>
      </c>
      <c r="B44" s="1364" t="str">
        <f>'预评函-3'!C2</f>
        <v>(分摊)土地面积</v>
      </c>
    </row>
    <row r="45" spans="1:2" s="1365" customFormat="1">
      <c r="A45" s="1363" t="s">
        <v>1212</v>
      </c>
      <c r="B45" s="1364">
        <f>'预评函-3'!C4</f>
        <v>9989</v>
      </c>
    </row>
    <row r="46" spans="1:2" s="1365" customFormat="1">
      <c r="A46" s="1363" t="s">
        <v>1238</v>
      </c>
      <c r="B46" s="1364" t="str">
        <f>'预评函-3'!D2</f>
        <v>出让国有建设用地使用权价值</v>
      </c>
    </row>
    <row r="47" spans="1:2" s="1365" customFormat="1">
      <c r="A47" s="1363" t="s">
        <v>1213</v>
      </c>
      <c r="B47" s="1364">
        <f ca="1">'预评函-3'!D4</f>
        <v>2650</v>
      </c>
    </row>
    <row r="48" spans="1:2" s="1365" customFormat="1">
      <c r="A48" s="1363" t="s">
        <v>1214</v>
      </c>
      <c r="B48" s="1364">
        <f ca="1">'预评函-3'!E4</f>
        <v>967</v>
      </c>
    </row>
    <row r="49" spans="1:2" s="1365" customFormat="1">
      <c r="A49" s="1363" t="s">
        <v>1215</v>
      </c>
      <c r="B49" s="1364" t="str">
        <f ca="1">'预评函-3'!D5</f>
        <v>贰仟陆佰伍拾万元整</v>
      </c>
    </row>
    <row r="50" spans="1:2" s="1365" customFormat="1">
      <c r="A50" s="1363" t="s">
        <v>1239</v>
      </c>
      <c r="B50" s="1364" t="str">
        <f>'预评函-3'!F2</f>
        <v>在建建筑物价值</v>
      </c>
    </row>
    <row r="51" spans="1:2" s="1365" customFormat="1">
      <c r="A51" s="1363" t="s">
        <v>1216</v>
      </c>
      <c r="B51" s="1364">
        <f ca="1">'预评函-3'!F4</f>
        <v>23855</v>
      </c>
    </row>
    <row r="52" spans="1:2" s="1365" customFormat="1">
      <c r="A52" s="1363" t="s">
        <v>1217</v>
      </c>
      <c r="B52" s="1364">
        <f ca="1">'预评函-3'!G4</f>
        <v>8699</v>
      </c>
    </row>
    <row r="53" spans="1:2" s="1365" customFormat="1">
      <c r="A53" s="1363" t="s">
        <v>1245</v>
      </c>
      <c r="B53" s="1364" t="str">
        <f ca="1">'预评函-3'!F5</f>
        <v>贰亿叁仟捌佰伍拾伍万元整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8" sqref="G38"/>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杭州市滨江区长河街道越达巷82号工业用房房地产作为抵押担保物，向华夏银行办理贷款手续。华夏银行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04"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4"/>
      <c r="B54" s="1740" t="s">
        <v>832</v>
      </c>
      <c r="C54" s="1737" t="s">
        <v>1248</v>
      </c>
    </row>
    <row r="55" spans="1:4">
      <c r="A55" s="3104"/>
      <c r="B55" s="1740" t="s">
        <v>833</v>
      </c>
      <c r="C55" s="1737" t="s">
        <v>1249</v>
      </c>
    </row>
    <row r="56" spans="1:4">
      <c r="A56" s="3104"/>
      <c r="B56" s="1740" t="s">
        <v>834</v>
      </c>
      <c r="C56" s="1737" t="s">
        <v>1253</v>
      </c>
    </row>
    <row r="57" spans="1:4">
      <c r="A57" s="3104"/>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L19" sqref="L19"/>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13" t="str">
        <f>IF(B10="北京市","北京市",C10)&amp;F10&amp;IF(结果表!G1="在建","出让国有建设用地使用权及在建建筑物",IF(结果表!G1="土地","出让国有建设用地使用权",))&amp;B9&amp;"预评估"</f>
        <v>杭州市滨江区长河街道越达巷82号工业用房房地产抵押价值预评估</v>
      </c>
      <c r="C1" s="3114"/>
      <c r="D1" s="3114"/>
      <c r="E1" s="3114"/>
      <c r="F1" s="3114"/>
      <c r="G1" s="3114"/>
      <c r="H1" s="3114"/>
      <c r="I1" s="3115"/>
      <c r="J1" s="2695"/>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杭州市滨江区长河街道越达巷82号工业用房房地产抵押价值</v>
      </c>
      <c r="T1" s="1932"/>
      <c r="U1" s="1932"/>
      <c r="V1" s="1932"/>
      <c r="W1" s="1932"/>
      <c r="X1" s="1932"/>
      <c r="Y1" s="1932"/>
      <c r="Z1" s="1932"/>
      <c r="AA1" s="1932"/>
      <c r="AB1" s="1932"/>
    </row>
    <row r="2" spans="1:28">
      <c r="A2" s="2592" t="s">
        <v>2915</v>
      </c>
      <c r="B2" s="2596"/>
      <c r="C2" s="2597"/>
      <c r="D2" s="2896"/>
      <c r="E2" s="2887"/>
      <c r="F2" s="2887"/>
      <c r="G2" s="2888"/>
      <c r="H2" s="2888"/>
      <c r="I2" s="2888"/>
      <c r="J2" s="2695"/>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杭州市滨江区长河街道越达巷82号工业用房房地产</v>
      </c>
      <c r="T2" s="1932"/>
      <c r="U2" s="1932"/>
      <c r="V2" s="1932"/>
      <c r="W2" s="1932"/>
      <c r="X2" s="1932"/>
      <c r="Y2" s="1932"/>
      <c r="Z2" s="1932"/>
      <c r="AA2" s="1932"/>
      <c r="AB2" s="1932"/>
    </row>
    <row r="3" spans="1:28">
      <c r="A3" s="308" t="s">
        <v>2916</v>
      </c>
      <c r="B3" s="2598">
        <v>44306</v>
      </c>
      <c r="C3" s="2599" t="s">
        <v>2917</v>
      </c>
      <c r="D3" s="2598">
        <f>B3</f>
        <v>44306</v>
      </c>
      <c r="E3" s="2888"/>
      <c r="F3" s="2888"/>
      <c r="G3" s="2888"/>
      <c r="H3" s="2888"/>
      <c r="I3" s="2888"/>
      <c r="J3" s="2695"/>
      <c r="K3" s="2593"/>
      <c r="L3" s="2594"/>
      <c r="M3" s="2594"/>
      <c r="N3" s="2595"/>
      <c r="O3" s="1762"/>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3"/>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4.25" thickTop="1" thickBot="1">
      <c r="A5" s="2604" t="s">
        <v>2919</v>
      </c>
      <c r="B5" s="3051" t="s">
        <v>3244</v>
      </c>
      <c r="C5" s="2605"/>
      <c r="D5" s="2606"/>
      <c r="E5" s="2889"/>
      <c r="F5" s="2889"/>
      <c r="G5" s="2889"/>
      <c r="H5" s="2889"/>
      <c r="I5" s="2889"/>
      <c r="J5" s="2663"/>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ht="13.5" thickTop="1">
      <c r="A6" s="2607" t="s">
        <v>2920</v>
      </c>
      <c r="B6" s="3051" t="s">
        <v>3243</v>
      </c>
      <c r="C6" s="2608"/>
      <c r="D6" s="2609"/>
      <c r="E6" s="2887"/>
      <c r="F6" s="2889"/>
      <c r="G6" s="2889"/>
      <c r="H6" s="2889"/>
      <c r="I6" s="2889"/>
      <c r="J6" s="2663"/>
      <c r="K6" s="2839" t="str">
        <f>IF(COUNTIF(B6,"*上海银行*"),"上海银行","")</f>
        <v/>
      </c>
      <c r="L6" s="2837"/>
      <c r="M6" s="2837"/>
      <c r="N6" s="2663"/>
      <c r="O6" s="2674"/>
      <c r="P6" s="2663"/>
      <c r="Q6" s="2663"/>
      <c r="R6" s="2663"/>
    </row>
    <row r="7" spans="1:28">
      <c r="A7" s="2607" t="s">
        <v>2921</v>
      </c>
      <c r="B7" s="2610"/>
      <c r="C7" s="2608"/>
      <c r="D7" s="2609"/>
      <c r="E7" s="2887"/>
      <c r="F7" s="2889"/>
      <c r="G7" s="2889"/>
      <c r="H7" s="2889"/>
      <c r="I7" s="2889"/>
      <c r="J7" s="2663"/>
      <c r="K7" s="2840"/>
      <c r="L7" s="2837"/>
      <c r="M7" s="2837"/>
      <c r="N7" s="2663"/>
      <c r="O7" s="2674"/>
      <c r="P7" s="2663"/>
      <c r="Q7" s="2663"/>
      <c r="R7" s="2663"/>
    </row>
    <row r="8" spans="1:28">
      <c r="A8" s="2611" t="s">
        <v>2922</v>
      </c>
      <c r="B8" s="2612" t="s">
        <v>3245</v>
      </c>
      <c r="C8" s="2613"/>
      <c r="D8" s="3116" t="s">
        <v>2923</v>
      </c>
      <c r="E8" s="2614" t="s">
        <v>3246</v>
      </c>
      <c r="F8" s="2615"/>
      <c r="G8" s="2888"/>
      <c r="H8" s="2888"/>
      <c r="I8" s="2888"/>
      <c r="J8" s="2663"/>
      <c r="K8" s="2838"/>
      <c r="L8" s="2837"/>
      <c r="M8" s="2837"/>
      <c r="N8" s="2663"/>
      <c r="O8" s="2674"/>
      <c r="P8" s="2663"/>
      <c r="Q8" s="2663"/>
      <c r="R8" s="2663"/>
    </row>
    <row r="9" spans="1:28" ht="13.5" thickBot="1">
      <c r="A9" s="2616" t="s">
        <v>2924</v>
      </c>
      <c r="B9" s="2617" t="s">
        <v>3246</v>
      </c>
      <c r="C9" s="2618"/>
      <c r="D9" s="3117"/>
      <c r="E9" s="2617" t="s">
        <v>1252</v>
      </c>
      <c r="F9" s="2619"/>
      <c r="G9" s="2890"/>
      <c r="H9" s="2890"/>
      <c r="I9" s="2890"/>
      <c r="J9" s="2663"/>
      <c r="K9" s="2840"/>
      <c r="L9" s="2837"/>
      <c r="M9" s="2837"/>
      <c r="N9" s="2663"/>
      <c r="O9" s="2674"/>
      <c r="P9" s="2663"/>
      <c r="Q9" s="2663"/>
      <c r="R9" s="2663"/>
    </row>
    <row r="10" spans="1:28" ht="13.5" thickTop="1">
      <c r="A10" s="2620" t="s">
        <v>2925</v>
      </c>
      <c r="B10" s="2621" t="s">
        <v>3247</v>
      </c>
      <c r="C10" s="2622"/>
      <c r="D10" s="2606"/>
      <c r="E10" s="2623" t="s">
        <v>2926</v>
      </c>
      <c r="F10" s="3052" t="s">
        <v>3285</v>
      </c>
      <c r="G10" s="2891"/>
      <c r="H10" s="2892"/>
      <c r="I10" s="2893"/>
      <c r="J10" s="2663"/>
      <c r="K10" s="2840"/>
      <c r="L10" s="2837"/>
      <c r="M10" s="2837"/>
      <c r="N10" s="2663"/>
      <c r="O10" s="2674"/>
      <c r="P10" s="2663"/>
      <c r="Q10" s="2663"/>
      <c r="R10" s="2663"/>
    </row>
    <row r="11" spans="1:28" ht="24">
      <c r="A11" s="2624" t="s">
        <v>2927</v>
      </c>
      <c r="B11" s="2625" t="s">
        <v>3248</v>
      </c>
      <c r="C11" s="3053" t="s">
        <v>3300</v>
      </c>
      <c r="D11" s="2626"/>
      <c r="E11" s="2595"/>
      <c r="F11" s="2595"/>
      <c r="G11" s="2595"/>
      <c r="H11" s="2595"/>
      <c r="I11" s="2595"/>
      <c r="J11" s="2663"/>
      <c r="K11" s="2840"/>
      <c r="L11" s="2837"/>
      <c r="M11" s="2837"/>
      <c r="N11" s="2663"/>
      <c r="O11" s="2674"/>
      <c r="P11" s="2663"/>
      <c r="Q11" s="2663"/>
      <c r="R11" s="2663"/>
    </row>
    <row r="12" spans="1:28">
      <c r="A12" s="2627" t="s">
        <v>2928</v>
      </c>
      <c r="B12" s="2625" t="s">
        <v>3249</v>
      </c>
      <c r="C12" s="329"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41"/>
      <c r="B13" s="2629"/>
      <c r="C13" s="2630" t="s">
        <v>2936</v>
      </c>
      <c r="D13" s="965"/>
      <c r="E13" s="965"/>
      <c r="F13" s="965"/>
      <c r="G13" s="965"/>
      <c r="H13" s="965"/>
      <c r="I13" s="965">
        <v>60098</v>
      </c>
      <c r="J13" s="2663"/>
      <c r="K13" s="2840"/>
      <c r="L13" s="2837"/>
      <c r="M13" s="2837"/>
      <c r="N13" s="2663"/>
      <c r="O13" s="2674"/>
      <c r="P13" s="2663"/>
      <c r="Q13" s="2663"/>
      <c r="R13" s="2663"/>
    </row>
    <row r="14" spans="1:28">
      <c r="A14" s="1241"/>
      <c r="B14" s="2629"/>
      <c r="C14" s="2630" t="s">
        <v>2937</v>
      </c>
      <c r="D14" s="2631"/>
      <c r="E14" s="2631"/>
      <c r="F14" s="2631"/>
      <c r="G14" s="2631"/>
      <c r="H14" s="2631"/>
      <c r="I14" s="2631">
        <v>50</v>
      </c>
      <c r="J14" s="2663"/>
      <c r="K14" s="2841"/>
      <c r="L14" s="2837"/>
      <c r="M14" s="2837"/>
      <c r="N14" s="2663"/>
      <c r="O14" s="2674"/>
      <c r="P14" s="2663"/>
      <c r="Q14" s="2663"/>
      <c r="R14" s="2663"/>
    </row>
    <row r="15" spans="1:28">
      <c r="A15" s="326"/>
      <c r="B15" s="2632"/>
      <c r="C15" s="2633" t="s">
        <v>2938</v>
      </c>
      <c r="D15" s="2634" t="str">
        <f>IF(B12="出让",IF(D13="","",ROUNDDOWN(MIN((D13-$D$3)/365,D14),2)),D14)</f>
        <v/>
      </c>
      <c r="E15" s="2634" t="str">
        <f>IF(B12="出让",IF(E13="","",ROUNDDOWN(MIN((E13-$D$3)/365,E14),2)),E14)</f>
        <v/>
      </c>
      <c r="F15" s="2634" t="str">
        <f>IF(B12="出让",IF(F13="","",ROUNDDOWN(MIN((F13-$D$3)/365,F14),2)),F14)</f>
        <v/>
      </c>
      <c r="G15" s="2634" t="str">
        <f>IF(B12="出让",IF(G13="","",ROUNDDOWN(MIN((G13-$D$3)/365,G14),2)),G14)</f>
        <v/>
      </c>
      <c r="H15" s="2634" t="str">
        <f>IF(B12="出让",IF(H13="","",ROUNDDOWN(MIN((H13-$D$3)/365,H14),2)),H14)</f>
        <v/>
      </c>
      <c r="I15" s="2634">
        <f>IF(B12="出让",IF(I13="","",ROUNDDOWN(MIN((I13-$D$3)/365,I14),2)),I14)</f>
        <v>43.26</v>
      </c>
      <c r="J15" s="2663"/>
      <c r="K15" s="2842"/>
      <c r="L15" s="2675"/>
      <c r="M15" s="2675"/>
      <c r="N15" s="2733"/>
      <c r="O15" s="2675"/>
      <c r="P15" s="2733"/>
      <c r="Q15" s="2663"/>
      <c r="R15" s="2663"/>
    </row>
    <row r="16" spans="1:28">
      <c r="A16" s="2623" t="s">
        <v>2939</v>
      </c>
      <c r="B16" s="3123" t="s">
        <v>3250</v>
      </c>
      <c r="C16" s="3124"/>
      <c r="D16" s="3125"/>
      <c r="E16" s="2637" t="s">
        <v>2940</v>
      </c>
      <c r="F16" s="3126"/>
      <c r="G16" s="3127"/>
      <c r="H16" s="3127"/>
      <c r="I16" s="3128"/>
      <c r="J16" s="2663"/>
      <c r="K16" s="2842"/>
      <c r="L16" s="2675"/>
      <c r="M16" s="2675"/>
      <c r="N16" s="2733"/>
      <c r="O16" s="2675"/>
      <c r="P16" s="2733"/>
      <c r="Q16" s="2663"/>
      <c r="R16" s="2663"/>
    </row>
    <row r="17" spans="1:28">
      <c r="A17" s="319" t="s">
        <v>2941</v>
      </c>
      <c r="B17" s="308" t="s">
        <v>2942</v>
      </c>
      <c r="C17" s="11">
        <f>'数据-汇总表'!E3</f>
        <v>27421.7</v>
      </c>
      <c r="D17" s="2546" t="s">
        <v>2943</v>
      </c>
      <c r="E17" s="3129" t="s">
        <v>2944</v>
      </c>
      <c r="F17" s="3130"/>
      <c r="G17" s="3130"/>
      <c r="H17" s="3130"/>
      <c r="I17" s="3131"/>
      <c r="J17" s="2663"/>
      <c r="K17" s="2843"/>
      <c r="L17" s="2675"/>
      <c r="M17" s="2675"/>
      <c r="N17" s="2733"/>
      <c r="O17" s="2675"/>
      <c r="P17" s="2733"/>
      <c r="Q17" s="2663"/>
      <c r="R17" s="2663"/>
      <c r="S17" s="2663"/>
      <c r="T17" s="2663"/>
      <c r="U17" s="2663"/>
      <c r="V17" s="2663"/>
    </row>
    <row r="18" spans="1:28" ht="24.75" thickBot="1">
      <c r="A18" s="2638" t="s">
        <v>2945</v>
      </c>
      <c r="B18" s="1250" t="s">
        <v>2946</v>
      </c>
      <c r="C18" s="2639">
        <f>'数据-汇总表'!D3</f>
        <v>9989</v>
      </c>
      <c r="D18" s="1252" t="s">
        <v>2947</v>
      </c>
      <c r="E18" s="3132" t="s">
        <v>2948</v>
      </c>
      <c r="F18" s="3133"/>
      <c r="G18" s="3133"/>
      <c r="H18" s="3133"/>
      <c r="I18" s="3134"/>
      <c r="J18" s="2663"/>
      <c r="K18" s="2843"/>
      <c r="L18" s="2675"/>
      <c r="M18" s="2675"/>
      <c r="N18" s="2733"/>
      <c r="O18" s="2675"/>
      <c r="P18" s="2733"/>
      <c r="Q18" s="2663"/>
      <c r="R18" s="2663"/>
      <c r="S18" s="2663"/>
      <c r="T18" s="2663"/>
      <c r="U18" s="2663"/>
      <c r="V18" s="2663"/>
    </row>
    <row r="19" spans="1:28" ht="37.5" thickTop="1" thickBot="1">
      <c r="A19" s="333" t="s">
        <v>1741</v>
      </c>
      <c r="B19" s="313" t="s">
        <v>2949</v>
      </c>
      <c r="C19" s="1749" t="s">
        <v>3251</v>
      </c>
      <c r="D19" s="1750" t="s">
        <v>2950</v>
      </c>
      <c r="E19" s="1751"/>
      <c r="F19" s="1752" t="str">
        <f>IF(AND(C19="是",E19="否"),"是否提供他项权证或相关说明","")</f>
        <v/>
      </c>
      <c r="G19" s="1753"/>
      <c r="H19" s="2889"/>
      <c r="I19" s="2889"/>
      <c r="J19" s="2663"/>
      <c r="K19" s="2840"/>
      <c r="L19" s="2837"/>
      <c r="M19" s="2837"/>
      <c r="N19" s="2733"/>
      <c r="O19" s="2675"/>
      <c r="P19" s="2733"/>
      <c r="Q19" s="2663"/>
      <c r="R19" s="2663"/>
      <c r="S19" s="2663"/>
      <c r="T19" s="2663"/>
      <c r="U19" s="2663"/>
      <c r="V19" s="2663"/>
    </row>
    <row r="20" spans="1:28">
      <c r="A20" s="2857" t="s">
        <v>2951</v>
      </c>
      <c r="B20" s="3119" t="s">
        <v>2952</v>
      </c>
      <c r="C20" s="3120"/>
      <c r="D20" s="3121" t="s">
        <v>2953</v>
      </c>
      <c r="E20" s="3122"/>
      <c r="F20" s="2872" t="s">
        <v>1742</v>
      </c>
      <c r="G20" s="2889"/>
      <c r="H20" s="2889"/>
      <c r="I20" s="2889"/>
      <c r="J20" s="2663"/>
      <c r="K20" s="3118"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6"/>
      <c r="O20" s="2635"/>
      <c r="P20" s="2636"/>
      <c r="Q20" s="2595"/>
      <c r="R20" s="2595"/>
      <c r="S20" s="2595"/>
      <c r="T20" s="2595"/>
      <c r="U20" s="2595"/>
      <c r="V20" s="2595"/>
      <c r="W20" s="1932"/>
      <c r="X20" s="1932"/>
      <c r="Y20" s="1932"/>
      <c r="Z20" s="1932"/>
      <c r="AA20" s="1932"/>
      <c r="AB20" s="1932"/>
    </row>
    <row r="21" spans="1:28" ht="24.75" thickBot="1">
      <c r="A21" s="2857"/>
      <c r="B21" s="2858" t="s">
        <v>2955</v>
      </c>
      <c r="C21" s="2859" t="s">
        <v>1743</v>
      </c>
      <c r="D21" s="1754" t="s">
        <v>2956</v>
      </c>
      <c r="E21" s="2860" t="s">
        <v>1743</v>
      </c>
      <c r="F21" s="2873"/>
      <c r="G21" s="2889"/>
      <c r="H21" s="2889"/>
      <c r="I21" s="2889"/>
      <c r="J21" s="2663"/>
      <c r="K21" s="31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4"/>
      <c r="N21" s="2636"/>
      <c r="O21" s="2635"/>
      <c r="P21" s="2636"/>
      <c r="Q21" s="2595"/>
      <c r="R21" s="2595"/>
      <c r="S21" s="2595"/>
      <c r="T21" s="2595"/>
      <c r="U21" s="2595"/>
      <c r="V21" s="2595"/>
      <c r="W21" s="1932"/>
      <c r="X21" s="1932"/>
      <c r="Y21" s="1932"/>
      <c r="Z21" s="1932"/>
      <c r="AA21" s="1932"/>
      <c r="AB21" s="1932"/>
    </row>
    <row r="22" spans="1:28" ht="24.75" thickBot="1">
      <c r="A22" s="2857"/>
      <c r="B22" s="2861" t="s">
        <v>2957</v>
      </c>
      <c r="C22" s="2859" t="s">
        <v>1744</v>
      </c>
      <c r="D22" s="2888"/>
      <c r="E22" s="2888"/>
      <c r="F22" s="2888"/>
      <c r="G22" s="2889"/>
      <c r="H22" s="2889"/>
      <c r="I22" s="2889"/>
      <c r="J22" s="2663"/>
      <c r="K22" s="31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6"/>
      <c r="O22" s="2635"/>
      <c r="P22" s="2636"/>
      <c r="Q22" s="2595"/>
      <c r="R22" s="2595"/>
      <c r="S22" s="2595"/>
      <c r="T22" s="2595"/>
      <c r="U22" s="2595"/>
      <c r="V22" s="2595"/>
      <c r="W22" s="1932"/>
      <c r="X22" s="1932"/>
      <c r="Y22" s="1932"/>
      <c r="Z22" s="1932"/>
      <c r="AA22" s="1932"/>
      <c r="AB22" s="1932"/>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06" t="s">
        <v>2960</v>
      </c>
      <c r="B27" s="326" t="s">
        <v>2961</v>
      </c>
      <c r="C27" s="2640" t="s">
        <v>3252</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06"/>
      <c r="B28" s="308" t="s">
        <v>2962</v>
      </c>
      <c r="C28" s="2642" t="s">
        <v>3253</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06"/>
      <c r="B29" s="308" t="s">
        <v>2963</v>
      </c>
      <c r="C29" s="2644" t="s">
        <v>3251</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07"/>
      <c r="B30" s="308" t="s">
        <v>2964</v>
      </c>
      <c r="C30" s="3108"/>
      <c r="D30" s="3109"/>
      <c r="E30" s="2889"/>
      <c r="F30" s="2889"/>
      <c r="G30" s="2889"/>
      <c r="H30" s="2889"/>
      <c r="I30" s="2889"/>
      <c r="J30" s="2663"/>
      <c r="K30" s="2840"/>
      <c r="L30" s="2837"/>
      <c r="M30" s="2837"/>
      <c r="N30" s="2663"/>
      <c r="O30" s="2674"/>
      <c r="P30" s="2663"/>
      <c r="Q30" s="2663"/>
      <c r="R30" s="2663"/>
      <c r="S30" s="2663"/>
      <c r="T30" s="2663"/>
      <c r="U30" s="2663"/>
      <c r="V30" s="2663"/>
    </row>
    <row r="31" spans="1:28">
      <c r="A31" s="3110" t="s">
        <v>2965</v>
      </c>
      <c r="B31" s="2646" t="s">
        <v>3254</v>
      </c>
      <c r="C31" s="2547" t="str">
        <f>IF(B31="现房","成新及维护状况正常否",IF(B31="在建","工程状态是否正常",IF(B31="土地","是否闲置","-")))</f>
        <v>成新及维护状况正常否</v>
      </c>
      <c r="D31" s="1558"/>
      <c r="E31" s="2647"/>
      <c r="F31" s="2889"/>
      <c r="G31" s="2889"/>
      <c r="H31" s="2889"/>
      <c r="I31" s="2889"/>
      <c r="J31" s="2663"/>
      <c r="K31" s="2839"/>
      <c r="L31" s="2837"/>
      <c r="M31" s="2837"/>
      <c r="N31" s="2663"/>
      <c r="O31" s="2674"/>
      <c r="P31" s="2663"/>
      <c r="Q31" s="2663"/>
      <c r="R31" s="2663"/>
      <c r="S31" s="2663"/>
      <c r="T31" s="2663"/>
      <c r="U31" s="2663"/>
      <c r="V31" s="2663"/>
    </row>
    <row r="32" spans="1:28">
      <c r="A32" s="3111"/>
      <c r="B32" s="2646"/>
      <c r="C32" s="2547" t="str">
        <f>IF(B32="现房","成新及维护状况是否正常",IF(B32="在建","工程状态是否正常",IF(B32="土地","是否闲置","-")))</f>
        <v>-</v>
      </c>
      <c r="D32" s="1558"/>
      <c r="E32" s="2647"/>
      <c r="F32" s="2889"/>
      <c r="G32" s="2889"/>
      <c r="H32" s="2889"/>
      <c r="I32" s="2889"/>
      <c r="J32" s="2663"/>
      <c r="K32" s="2840"/>
      <c r="L32" s="2837"/>
      <c r="M32" s="2837"/>
      <c r="N32" s="2663"/>
      <c r="O32" s="2674"/>
      <c r="P32" s="2663"/>
      <c r="Q32" s="2663"/>
      <c r="R32" s="2663"/>
      <c r="S32" s="2663"/>
      <c r="T32" s="2663"/>
      <c r="U32" s="2663"/>
      <c r="V32" s="2663"/>
    </row>
    <row r="33" spans="1:30">
      <c r="A33" s="3111"/>
      <c r="B33" s="2649"/>
      <c r="C33" s="1776" t="str">
        <f>IF(B33="现房","成新及维护状况是否正常",IF(B33="在建","工程状态是否正常",IF(B33="土地","是否闲置","-")))</f>
        <v>-</v>
      </c>
      <c r="D33" s="1550"/>
      <c r="E33" s="2650"/>
      <c r="F33" s="2889"/>
      <c r="G33" s="2889"/>
      <c r="H33" s="2889"/>
      <c r="I33" s="2889"/>
      <c r="J33" s="2663"/>
      <c r="K33" s="2840"/>
      <c r="L33" s="2837"/>
      <c r="M33" s="2837"/>
      <c r="N33" s="2663"/>
      <c r="O33" s="2674"/>
      <c r="P33" s="2663"/>
      <c r="Q33" s="2663"/>
      <c r="R33" s="2663"/>
      <c r="S33" s="2663"/>
      <c r="T33" s="2663"/>
      <c r="U33" s="2663"/>
      <c r="V33" s="2663"/>
    </row>
    <row r="34" spans="1:30">
      <c r="A34" s="308" t="s">
        <v>2966</v>
      </c>
      <c r="B34" s="2215" t="s">
        <v>3255</v>
      </c>
      <c r="C34" s="2215" t="s">
        <v>3256</v>
      </c>
      <c r="D34" s="2215" t="s">
        <v>3257</v>
      </c>
      <c r="E34" s="2215" t="s">
        <v>3258</v>
      </c>
      <c r="F34" s="2215" t="s">
        <v>3259</v>
      </c>
      <c r="G34" s="2215"/>
      <c r="H34" s="2215"/>
      <c r="I34" s="2889"/>
      <c r="J34" s="2663"/>
      <c r="K34" s="2651">
        <f>COUNTIF(B34:H34,"——")</f>
        <v>0</v>
      </c>
      <c r="L34" s="329" t="s">
        <v>2967</v>
      </c>
      <c r="M34" s="329" t="s">
        <v>2968</v>
      </c>
      <c r="N34" s="329" t="s">
        <v>2969</v>
      </c>
      <c r="O34" s="329" t="s">
        <v>2970</v>
      </c>
      <c r="P34" s="329" t="s">
        <v>2971</v>
      </c>
      <c r="Q34" s="329" t="s">
        <v>2972</v>
      </c>
      <c r="R34" s="329" t="s">
        <v>2973</v>
      </c>
      <c r="S34" s="3105" t="s">
        <v>2974</v>
      </c>
      <c r="T34" s="2652" t="str">
        <f>NUMBERSTRING(7-K34,1)&amp;"通"</f>
        <v>七通</v>
      </c>
      <c r="U34" s="2663"/>
      <c r="V34" s="2663"/>
    </row>
    <row r="35" spans="1:30">
      <c r="A35" s="2653"/>
      <c r="B35" s="3112" t="s">
        <v>2975</v>
      </c>
      <c r="C35" s="3112"/>
      <c r="D35" s="3112"/>
      <c r="E35" s="3112"/>
      <c r="F35" s="673">
        <f>C10</f>
        <v>0</v>
      </c>
      <c r="G35" s="2889"/>
      <c r="H35" s="2889"/>
      <c r="I35" s="2889"/>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05"/>
      <c r="T35" s="335" t="str">
        <f>IF(T34="一通",L35,IF(T34="二通",M35,IF(T34="三通",N35,IF(T34="四通",O35,IF(T34="五通",P35,IF(T34="六通",Q35,R35))))))</f>
        <v>通路、通电、通讯、通上水、通下水、、</v>
      </c>
      <c r="U35" s="2663"/>
      <c r="V35" s="2663"/>
    </row>
    <row r="36" spans="1:30">
      <c r="A36" s="2654"/>
      <c r="B36" s="673" t="s">
        <v>2931</v>
      </c>
      <c r="C36" s="673" t="s">
        <v>2932</v>
      </c>
      <c r="D36" s="673" t="s">
        <v>2930</v>
      </c>
      <c r="E36" s="673" t="s">
        <v>2935</v>
      </c>
      <c r="F36" s="2894"/>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c r="D37" s="2655"/>
      <c r="E37" s="2655"/>
      <c r="F37" s="2894"/>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5"/>
      <c r="B40" s="2595"/>
      <c r="C40" s="2595"/>
      <c r="D40" s="2595"/>
      <c r="E40" s="2595"/>
      <c r="F40" s="2595"/>
      <c r="G40" s="2595"/>
      <c r="H40" s="2595"/>
      <c r="I40" s="1764"/>
      <c r="J40" s="2733"/>
      <c r="K40" s="2839"/>
      <c r="L40" s="2675"/>
      <c r="M40" s="2675"/>
      <c r="N40" s="2733"/>
      <c r="O40" s="2675"/>
      <c r="P40" s="2663"/>
      <c r="Q40" s="2663"/>
      <c r="R40" s="2663"/>
      <c r="S40" s="2663"/>
      <c r="T40" s="2663"/>
      <c r="U40" s="2663"/>
      <c r="V40" s="2663"/>
    </row>
    <row r="41" spans="1:30">
      <c r="A41" s="2660" t="s">
        <v>2979</v>
      </c>
      <c r="B41" s="1944"/>
      <c r="C41" s="1558"/>
      <c r="D41" s="2595"/>
      <c r="E41" s="2595"/>
      <c r="F41" s="2595"/>
      <c r="G41" s="2595"/>
      <c r="H41" s="2595"/>
      <c r="I41" s="1762"/>
      <c r="J41" s="2663"/>
      <c r="K41" s="2840"/>
      <c r="L41" s="2837"/>
      <c r="M41" s="2837"/>
      <c r="N41" s="2663"/>
      <c r="O41" s="2674"/>
      <c r="P41" s="2663"/>
      <c r="Q41" s="2663"/>
      <c r="R41" s="2663"/>
      <c r="S41" s="2663"/>
      <c r="T41" s="2663"/>
      <c r="U41" s="2663"/>
      <c r="V41" s="2663"/>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30"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6"/>
      <c r="B51" s="1756"/>
      <c r="C51" s="1182"/>
      <c r="D51" s="1182"/>
      <c r="E51" s="1182"/>
      <c r="F51" s="1182"/>
      <c r="G51" s="1182"/>
      <c r="H51" s="1182"/>
      <c r="I51" s="1182"/>
      <c r="J51" s="2661"/>
      <c r="K51" s="2662"/>
      <c r="L51" s="2662"/>
      <c r="M51" s="1182"/>
      <c r="N51" s="1182"/>
      <c r="O51" s="1182"/>
      <c r="P51" s="1182"/>
      <c r="Q51" s="1182"/>
      <c r="R51" s="1182"/>
    </row>
    <row r="52" spans="1:22" s="1930" customFormat="1">
      <c r="A52" s="1756"/>
      <c r="B52" s="1756"/>
      <c r="C52" s="1756"/>
      <c r="D52" s="1756"/>
      <c r="E52" s="1756"/>
      <c r="F52" s="1182"/>
      <c r="G52" s="1756"/>
      <c r="H52" s="1756"/>
      <c r="I52" s="1756"/>
      <c r="J52" s="2664"/>
      <c r="K52" s="2662"/>
      <c r="L52" s="2662"/>
      <c r="M52" s="2662"/>
      <c r="N52" s="1756"/>
      <c r="O52" s="1756"/>
      <c r="P52" s="1756"/>
      <c r="Q52" s="1756"/>
      <c r="R52" s="1756"/>
    </row>
    <row r="53" spans="1:22" s="1930" customFormat="1">
      <c r="A53" s="1756"/>
      <c r="B53" s="1756"/>
      <c r="C53" s="1756"/>
      <c r="D53" s="1756"/>
      <c r="E53" s="1756"/>
      <c r="F53" s="1182"/>
      <c r="G53" s="1756"/>
      <c r="H53" s="1756"/>
      <c r="I53" s="1756"/>
      <c r="J53" s="2664"/>
      <c r="K53" s="2662"/>
      <c r="L53" s="2662"/>
      <c r="M53" s="2662"/>
      <c r="N53" s="1756"/>
      <c r="O53" s="1756"/>
      <c r="P53" s="1756"/>
      <c r="Q53" s="1756"/>
      <c r="R53" s="1756"/>
    </row>
    <row r="54" spans="1:22" s="1930" customFormat="1">
      <c r="A54" s="1756"/>
      <c r="B54" s="1756"/>
      <c r="C54" s="1756"/>
      <c r="D54" s="1756"/>
      <c r="E54" s="1756"/>
      <c r="F54" s="1182"/>
      <c r="G54" s="1756"/>
      <c r="H54" s="1756"/>
      <c r="I54" s="1756"/>
      <c r="J54" s="2664"/>
      <c r="K54" s="2662"/>
      <c r="L54" s="2662"/>
      <c r="M54" s="2662"/>
      <c r="N54" s="1756"/>
      <c r="O54" s="1756"/>
      <c r="P54" s="1756"/>
      <c r="Q54" s="1756"/>
      <c r="R54" s="1756"/>
    </row>
    <row r="55" spans="1:22" s="1930" customFormat="1">
      <c r="A55" s="1756"/>
      <c r="B55" s="1756"/>
      <c r="C55" s="1756"/>
      <c r="D55" s="1756"/>
      <c r="E55" s="1756"/>
      <c r="F55" s="1182"/>
      <c r="G55" s="1756"/>
      <c r="H55" s="1756"/>
      <c r="I55" s="1756"/>
      <c r="J55" s="2664"/>
      <c r="K55" s="2662"/>
      <c r="L55" s="2662"/>
      <c r="M55" s="2662"/>
      <c r="N55" s="1756"/>
      <c r="O55" s="1756"/>
      <c r="P55" s="1756"/>
      <c r="Q55" s="1756"/>
      <c r="R55" s="1756"/>
    </row>
    <row r="56" spans="1:22" s="1930"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9989</v>
      </c>
      <c r="B3" s="14">
        <f>IF(C3="否",G5-AT5,G5)</f>
        <v>27421.7</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27421.7</v>
      </c>
      <c r="H5" s="16">
        <f t="shared" ref="H5:AT5" si="0">SUM(H13:H656)</f>
        <v>27421.7</v>
      </c>
      <c r="I5" s="16">
        <f t="shared" si="0"/>
        <v>27421.7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27421.7</v>
      </c>
      <c r="BA5" s="18">
        <f t="shared" si="1"/>
        <v>27421.7</v>
      </c>
      <c r="BB5" s="18">
        <f t="shared" si="1"/>
        <v>27421.7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9989</v>
      </c>
      <c r="F6" s="16" t="s">
        <v>1</v>
      </c>
      <c r="G6" s="16" t="s">
        <v>2</v>
      </c>
      <c r="H6" s="20">
        <f>SUMIF(I$12:AB$12,"总值",I6:AB6)</f>
        <v>9989</v>
      </c>
      <c r="I6" s="16">
        <f t="shared" ref="I6:AB6" si="2">ROUND($A$3*I5/$B$3,2)</f>
        <v>9989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9989</v>
      </c>
      <c r="AZ6" s="16" t="s">
        <v>3</v>
      </c>
      <c r="BA6" s="16">
        <f>ROUND($AY$6*BA5/$AZ$5,2)</f>
        <v>9989</v>
      </c>
      <c r="BB6" s="16">
        <f>ROUND($AY$6*BB5/$AZ$5,2)</f>
        <v>9989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3262</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3263</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办公楼</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t="s">
        <v>3260</v>
      </c>
      <c r="D13" s="1811" t="s">
        <v>3261</v>
      </c>
      <c r="E13" s="16">
        <f>IF($C$3="是",ROUND($A$3*G13/$B$3,2),ROUND($A$3*(G13-AT13)/$B$3,2))</f>
        <v>9989</v>
      </c>
      <c r="F13" s="32"/>
      <c r="G13" s="33">
        <f>H13+AC13+AT13</f>
        <v>27421.7</v>
      </c>
      <c r="H13" s="20">
        <f>SUMIF(I$12:AB$12,"总值",I13:AB13)</f>
        <v>27421.7</v>
      </c>
      <c r="I13" s="1812">
        <v>27421.7</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82号</v>
      </c>
      <c r="AY13" s="1534">
        <f>ROUND($AY$6*AZ13/$AZ$5,2)</f>
        <v>9989</v>
      </c>
      <c r="AZ13" s="16">
        <f>BA13+BL13</f>
        <v>27421.7</v>
      </c>
      <c r="BA13" s="16">
        <f>SUM(BB13:BK13)</f>
        <v>27421.7</v>
      </c>
      <c r="BB13" s="16">
        <f>IF($D13="是",I13-J13,0)</f>
        <v>27421.7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8" sqref="F3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46" t="s">
        <v>1817</v>
      </c>
      <c r="B2" s="3146"/>
      <c r="C2" s="3146"/>
      <c r="D2" s="904" t="s">
        <v>1793</v>
      </c>
      <c r="E2" s="1825" t="s">
        <v>1794</v>
      </c>
      <c r="F2" s="2884"/>
      <c r="G2" s="2875"/>
      <c r="H2" s="2876"/>
      <c r="I2" s="2549" t="s">
        <v>1818</v>
      </c>
      <c r="J2" s="2884"/>
      <c r="K2" s="2884"/>
      <c r="L2" s="2884"/>
      <c r="M2" s="2884"/>
      <c r="N2" s="2886"/>
      <c r="O2" s="2884"/>
      <c r="P2" s="2884"/>
    </row>
    <row r="3" spans="1:16" ht="15.75" thickBot="1">
      <c r="A3" s="3147" t="s">
        <v>1791</v>
      </c>
      <c r="B3" s="3147"/>
      <c r="C3" s="3147"/>
      <c r="D3" s="46">
        <f>'数据-基础表'!AY6</f>
        <v>9989</v>
      </c>
      <c r="E3" s="46">
        <f>'数据-基础表'!AZ5</f>
        <v>27421.7</v>
      </c>
      <c r="F3" s="2884"/>
      <c r="G3" s="1307"/>
      <c r="H3" s="1157" t="s">
        <v>1792</v>
      </c>
      <c r="I3" s="964">
        <f>ROUND('数据-基础表'!B3/'数据-基础表'!A3,2)</f>
        <v>2.75</v>
      </c>
      <c r="J3" s="2884"/>
      <c r="K3" s="2884"/>
      <c r="L3" s="2884"/>
      <c r="M3" s="2884"/>
      <c r="N3" s="2886"/>
      <c r="O3" s="2884"/>
      <c r="P3" s="2884"/>
    </row>
    <row r="4" spans="1:16" ht="15">
      <c r="A4" s="3148"/>
      <c r="B4" s="3149"/>
      <c r="C4" s="3150"/>
      <c r="D4" s="1827" t="s">
        <v>1793</v>
      </c>
      <c r="E4" s="1828" t="s">
        <v>1794</v>
      </c>
      <c r="F4" s="2884"/>
      <c r="G4" s="2877" t="s">
        <v>1819</v>
      </c>
      <c r="H4" s="1157" t="s">
        <v>1799</v>
      </c>
      <c r="I4" s="964">
        <f>ROUND(SUMIF('数据-基础表'!I9:AS9,"地上",'数据-基础表'!I5:AS5)/'数据-基础表'!A3,2)</f>
        <v>2.75</v>
      </c>
      <c r="J4" s="2884"/>
      <c r="K4" s="2884"/>
      <c r="L4" s="2884"/>
      <c r="M4" s="2884"/>
      <c r="N4" s="2886"/>
      <c r="O4" s="2884"/>
      <c r="P4" s="2884"/>
    </row>
    <row r="5" spans="1:16">
      <c r="A5" s="47" t="s">
        <v>1795</v>
      </c>
      <c r="B5" s="3151" t="s">
        <v>1796</v>
      </c>
      <c r="C5" s="3151"/>
      <c r="D5" s="48">
        <f>ROUND($D$3*E5/$E$3,2)</f>
        <v>0</v>
      </c>
      <c r="E5" s="49">
        <f>SUMIF('数据-基础表'!$11:$11,"住宅",'数据-基础表'!$5:$5)</f>
        <v>0</v>
      </c>
      <c r="F5" s="2884"/>
      <c r="G5" s="1307"/>
      <c r="H5" s="1157" t="s">
        <v>1792</v>
      </c>
      <c r="I5" s="964">
        <f>ROUND(E31/D31,2)</f>
        <v>2.75</v>
      </c>
      <c r="J5" s="2884"/>
      <c r="K5" s="2884"/>
      <c r="L5" s="2884"/>
      <c r="M5" s="2884"/>
      <c r="N5" s="2884"/>
      <c r="O5" s="2884"/>
      <c r="P5" s="2884"/>
    </row>
    <row r="6" spans="1:16" ht="15" thickBot="1">
      <c r="A6" s="1830"/>
      <c r="B6" s="3151" t="s">
        <v>1797</v>
      </c>
      <c r="C6" s="3151"/>
      <c r="D6" s="48">
        <f>ROUND($D$3*E6/$E$3,2)</f>
        <v>9989</v>
      </c>
      <c r="E6" s="49">
        <f>E3-E5</f>
        <v>27421.7</v>
      </c>
      <c r="F6" s="2884"/>
      <c r="G6" s="2878" t="s">
        <v>1798</v>
      </c>
      <c r="H6" s="1308" t="s">
        <v>1799</v>
      </c>
      <c r="I6" s="2879">
        <f>ROUND(F31/D31,2)</f>
        <v>2.75</v>
      </c>
      <c r="J6" s="2884"/>
      <c r="K6" s="2884"/>
      <c r="L6" s="2884"/>
      <c r="M6" s="2884"/>
      <c r="N6" s="2884"/>
      <c r="O6" s="2884"/>
      <c r="P6" s="2884"/>
    </row>
    <row r="7" spans="1:16" ht="15.75" thickBot="1">
      <c r="A7" s="3143"/>
      <c r="B7" s="3144"/>
      <c r="C7" s="3145"/>
      <c r="D7" s="1827" t="s">
        <v>1793</v>
      </c>
      <c r="E7" s="1831"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9989</v>
      </c>
      <c r="E8" s="51">
        <f>SUMIF('数据-基础表'!BB10:BK10,"地上",'数据-基础表'!BB5:BK5)</f>
        <v>27421.7</v>
      </c>
      <c r="F8" s="2884"/>
      <c r="G8" s="2885"/>
      <c r="H8" s="2885"/>
      <c r="I8" s="2884"/>
      <c r="J8" s="2884"/>
      <c r="K8" s="2884"/>
      <c r="L8" s="2884"/>
      <c r="M8" s="2884"/>
      <c r="N8" s="2884"/>
      <c r="O8" s="2884"/>
      <c r="P8" s="2884"/>
    </row>
    <row r="9" spans="1:16">
      <c r="A9" s="1832"/>
      <c r="B9" s="1833"/>
      <c r="C9" s="48" t="s">
        <v>1805</v>
      </c>
      <c r="D9" s="48">
        <f t="shared" si="0"/>
        <v>0</v>
      </c>
      <c r="E9" s="52">
        <v>0</v>
      </c>
      <c r="F9" s="2884"/>
      <c r="G9" s="2885"/>
      <c r="H9" s="2885"/>
      <c r="I9" s="2884"/>
      <c r="J9" s="2884"/>
      <c r="K9" s="2884"/>
      <c r="L9" s="2884"/>
      <c r="M9" s="2884"/>
      <c r="N9" s="2884"/>
      <c r="O9" s="2884"/>
      <c r="P9" s="2884"/>
    </row>
    <row r="10" spans="1:16">
      <c r="A10" s="1832"/>
      <c r="B10" s="1833"/>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1809</v>
      </c>
      <c r="D16" s="50">
        <f>SUM(D8:D15)</f>
        <v>9989</v>
      </c>
      <c r="E16" s="53">
        <f>SUM(E8:E15)</f>
        <v>27421.7</v>
      </c>
      <c r="F16" s="2884"/>
      <c r="G16" s="2885"/>
      <c r="H16" s="1834" t="s">
        <v>1821</v>
      </c>
      <c r="I16" s="1835"/>
      <c r="J16" s="1301"/>
      <c r="K16" s="3140" t="s">
        <v>1821</v>
      </c>
      <c r="L16" s="3141"/>
      <c r="M16" s="3141"/>
      <c r="N16" s="3141"/>
      <c r="O16" s="3141"/>
      <c r="P16" s="3142"/>
    </row>
    <row r="17" spans="1:19" ht="15">
      <c r="A17" s="1836" t="s">
        <v>1822</v>
      </c>
      <c r="B17" s="1837" t="s">
        <v>1823</v>
      </c>
      <c r="C17" s="1838" t="s">
        <v>1824</v>
      </c>
      <c r="D17" s="1839" t="s">
        <v>1812</v>
      </c>
      <c r="E17" s="1840" t="s">
        <v>1813</v>
      </c>
      <c r="F17" s="1841"/>
      <c r="G17" s="1842"/>
      <c r="H17" s="1843" t="s">
        <v>1825</v>
      </c>
      <c r="I17" s="1844" t="s">
        <v>1810</v>
      </c>
      <c r="J17" s="1301"/>
      <c r="K17" s="3137" t="s">
        <v>1826</v>
      </c>
      <c r="L17" s="3138"/>
      <c r="M17" s="3139"/>
      <c r="N17" s="3137" t="s">
        <v>1827</v>
      </c>
      <c r="O17" s="3138"/>
      <c r="P17" s="3139"/>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4" t="s">
        <v>3264</v>
      </c>
      <c r="D19" s="48">
        <f>ROUND($D$3*E19/$E$3,2)</f>
        <v>9989</v>
      </c>
      <c r="E19" s="56">
        <f t="shared" ref="E19:E26" si="1">SUM(F19:G19)</f>
        <v>27421.7</v>
      </c>
      <c r="F19" s="3023">
        <f>'数据-基础表'!I13</f>
        <v>27421.7</v>
      </c>
      <c r="G19" s="3024"/>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9989</v>
      </c>
      <c r="S19" s="1158">
        <f t="shared" si="5"/>
        <v>27421.7</v>
      </c>
    </row>
    <row r="20" spans="1:19">
      <c r="A20" s="1857"/>
      <c r="B20" s="50" t="s">
        <v>1839</v>
      </c>
      <c r="C20" s="1854"/>
      <c r="D20" s="48">
        <f t="shared" ref="D20:D26" si="6">ROUND($D$3*E20/$E$3,2)</f>
        <v>0</v>
      </c>
      <c r="E20" s="56">
        <f t="shared" si="1"/>
        <v>0</v>
      </c>
      <c r="F20" s="3023"/>
      <c r="G20" s="3024"/>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9989</v>
      </c>
      <c r="E27" s="1303">
        <f>IF(SUM(E19:E26)='数据-基础表'!BA5,SUM(E19:E26),IF(F27="地上面积有误","面积有误","地下面积有误"))</f>
        <v>27421.7</v>
      </c>
      <c r="F27" s="1302">
        <f>IF(SUM(F19:F26)=E8,SUM(F19:F26),"地上面积有误")</f>
        <v>27421.7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9989</v>
      </c>
      <c r="S27" s="1157">
        <f>IF(SUM(S19:S26)=$E$3,SUM(S19:S26),SUM(S19:S26)&amp;"误差"&amp;ROUND(SUM(S19:S26)-E3,2))</f>
        <v>27421.7</v>
      </c>
    </row>
    <row r="28" spans="1:19">
      <c r="A28" s="1857"/>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1841</v>
      </c>
      <c r="C29" s="1861"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1844</v>
      </c>
      <c r="D31" s="685">
        <f>D27+D30</f>
        <v>9989</v>
      </c>
      <c r="E31" s="685">
        <f>E27+E30</f>
        <v>27421.7</v>
      </c>
      <c r="F31" s="686">
        <f>F27+F30</f>
        <v>27421.7</v>
      </c>
      <c r="G31" s="687">
        <f>G27+G30</f>
        <v>0</v>
      </c>
      <c r="H31" s="2884"/>
      <c r="I31" s="2884"/>
      <c r="J31" s="2884"/>
      <c r="K31" s="2884"/>
      <c r="L31" s="2884"/>
      <c r="M31" s="2884"/>
      <c r="N31" s="2884"/>
      <c r="O31" s="2884"/>
      <c r="P31" s="2884"/>
    </row>
    <row r="32" spans="1:19">
      <c r="A32" s="1829"/>
      <c r="B32" s="1829" t="s">
        <v>1845</v>
      </c>
      <c r="C32" s="1829"/>
      <c r="D32" s="1829"/>
      <c r="E32" s="1184">
        <f>SUMIF(C19:C26,"*住宅*",E19:E26)</f>
        <v>0</v>
      </c>
      <c r="F32" s="1829"/>
      <c r="G32" s="1829"/>
      <c r="H32" s="2884"/>
      <c r="I32" s="2884"/>
      <c r="J32" s="2884"/>
      <c r="K32" s="2884"/>
      <c r="L32" s="2884"/>
      <c r="M32" s="2884"/>
      <c r="N32" s="2884"/>
      <c r="O32" s="2884"/>
      <c r="P32" s="2884"/>
    </row>
    <row r="33" spans="5:11">
      <c r="E33" s="1865"/>
      <c r="J33" s="1824"/>
      <c r="K33" s="28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20" zoomScaleNormal="12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5" customFormat="1" ht="15.75" thickBot="1">
      <c r="A2" s="1870" t="s">
        <v>1847</v>
      </c>
      <c r="B2" s="1176">
        <f>项目基本情况!D3</f>
        <v>44306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3"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3265</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办公楼</v>
      </c>
      <c r="B6" s="1900" t="str">
        <f>IF(A6=0,"","经营性")</f>
        <v>经营性</v>
      </c>
      <c r="C6" s="1901" t="s">
        <v>6</v>
      </c>
      <c r="D6" s="967">
        <f>SUMIF(项目基本情况!D$12:I$12,C6,项目基本情况!D$14:I$14)</f>
        <v>50</v>
      </c>
      <c r="E6" s="966">
        <f>IF(B6="","",SUMIF(项目基本情况!D$12:I$12,C6,项目基本情况!D$13:I$13))</f>
        <v>60098</v>
      </c>
      <c r="F6" s="68">
        <f>SUMIF(项目基本情况!D$12:I$12,C6,项目基本情况!D$15:I$15)</f>
        <v>43.26</v>
      </c>
      <c r="G6" s="69">
        <f>IF(ISERROR(ROUND(POWER(1+H6,D6-F6)*(POWER(1+H6,F6)-1)/(POWER(1+H6,D6)-1),3)),0,ROUND(POWER(1+H6,D6-F6)*(POWER(1+H6,F6)-1)/(POWER(1+H6,D6)-1),3))</f>
        <v>0.95699999999999996</v>
      </c>
      <c r="H6" s="741">
        <v>4.4999999999999998E-2</v>
      </c>
      <c r="I6" s="741">
        <v>0.05</v>
      </c>
      <c r="J6" s="70">
        <v>8.5000000000000006E-2</v>
      </c>
      <c r="K6" s="1161">
        <f>SUMIF('数据-汇总表'!C$19:C$33,A6,'数据-汇总表'!E$19:E$33)</f>
        <v>27421.7</v>
      </c>
      <c r="L6" s="3057">
        <f>4000+2250</f>
        <v>6250</v>
      </c>
      <c r="M6" s="71">
        <f t="shared" ref="M6:M14" si="0">ROUND(K6*L6/10000,0)</f>
        <v>17139</v>
      </c>
      <c r="N6" s="740">
        <f>ROUND(1-(2021-2020)/60,2)</f>
        <v>0.98</v>
      </c>
      <c r="O6" s="71" t="str">
        <f>IF($N$5="成新度","——",ROUND(M6*N6,0))</f>
        <v>——</v>
      </c>
      <c r="P6" s="72" t="str">
        <f>IF($N$5="成新度","——",M6-O6)</f>
        <v>——</v>
      </c>
      <c r="Q6" s="743">
        <v>0.15</v>
      </c>
      <c r="R6" s="73">
        <f ca="1">SUMIF('数据-汇总表'!C$19:C$33,A6,'数据-汇总表'!R$19:R$27)</f>
        <v>9989</v>
      </c>
      <c r="S6" s="54">
        <f>IF('数据-汇总表'!$I$17="按面积比例",SUMIF('数据-汇总表'!C$19:C$33,A6,'数据-汇总表'!K$19:K$33),SUMIF('数据-汇总表'!C$19:C$33,A6,'数据-汇总表'!N$19:N$33))</f>
        <v>0</v>
      </c>
      <c r="T6" s="1334">
        <f>ROUND($L$14*S6/10000,0)</f>
        <v>0</v>
      </c>
      <c r="U6" s="74">
        <v>2</v>
      </c>
      <c r="V6" s="75">
        <v>2.5000000000000001E-2</v>
      </c>
      <c r="W6" s="75">
        <v>0.1</v>
      </c>
      <c r="X6" s="1171"/>
      <c r="Y6" s="76">
        <f>N6</f>
        <v>0.98</v>
      </c>
      <c r="Z6" s="77"/>
      <c r="AA6" s="70"/>
      <c r="AB6" s="70"/>
      <c r="AC6" s="1171"/>
      <c r="AD6" s="78"/>
      <c r="AE6" s="1172">
        <f ca="1">IF(AN6="",0,SUMIF(INDIRECT("'"&amp;AN6&amp;"'"&amp;"!E:E"),$AE$5,INDIRECT("'"&amp;AN6&amp;"'"&amp;"!F:F")))</f>
        <v>43.26</v>
      </c>
      <c r="AF6" s="1533"/>
      <c r="AG6" s="143">
        <f>IF(AF6="",0,AE6-AF6)</f>
        <v>0</v>
      </c>
      <c r="AH6" s="79"/>
      <c r="AI6" s="81">
        <v>365</v>
      </c>
      <c r="AJ6" s="82"/>
      <c r="AK6" s="83">
        <v>1.4999999999999999E-2</v>
      </c>
      <c r="AL6" s="84">
        <v>2E-3</v>
      </c>
      <c r="AM6" s="85">
        <v>1.4999999999999999E-2</v>
      </c>
      <c r="AN6" s="1902" t="s">
        <v>3276</v>
      </c>
      <c r="AO6" s="55">
        <f ca="1">SUMIF(INDIRECT("'"&amp;AN6&amp;"'"&amp;"!A:A"),"总价",INDIRECT("'"&amp;AN6&amp;"'"&amp;"!B:B"))</f>
        <v>27373</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0.95699999999999996</v>
      </c>
      <c r="H16" s="95">
        <f>ROUND(SUMPRODUCT(H6:H13,K6:K13)/SUMPRODUCT((H6:H13&gt;0)*(K6:K13)),3)</f>
        <v>4.4999999999999998E-2</v>
      </c>
      <c r="I16" s="96"/>
      <c r="J16" s="96"/>
      <c r="K16" s="97">
        <f>SUM(K6:K15)</f>
        <v>27421.7</v>
      </c>
      <c r="L16" s="98">
        <f>ROUND(M16*10000/SUM(K6:K14),0)</f>
        <v>6250</v>
      </c>
      <c r="M16" s="98">
        <f>SUM(M6:M14)</f>
        <v>17139</v>
      </c>
      <c r="N16" s="99">
        <f>ROUND(SUMPRODUCT(M6:M14,N6:N14)/M16,3)</f>
        <v>0.98</v>
      </c>
      <c r="O16" s="98">
        <f>SUM(O6:O14)</f>
        <v>0</v>
      </c>
      <c r="P16" s="98">
        <f>SUM(P6:P14)</f>
        <v>0</v>
      </c>
      <c r="Q16" s="100">
        <f>ROUND(SUMPRODUCT(Q6:Q13,K6:K13)/SUMPRODUCT((Q6:Q13&gt;0)*(K6:K13)),2)</f>
        <v>0.15</v>
      </c>
      <c r="R16" s="1165">
        <f ca="1">SUM(R6:R13)</f>
        <v>9989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3051</v>
      </c>
      <c r="D19" s="2902"/>
      <c r="E19" s="2899"/>
      <c r="F19" s="2899"/>
      <c r="G19" s="2899"/>
      <c r="H19" s="2899"/>
      <c r="I19" s="2899"/>
      <c r="J19" s="2899"/>
      <c r="K19" s="2898"/>
      <c r="L19" s="3060" t="s">
        <v>3304</v>
      </c>
      <c r="M19" s="3060" t="s">
        <v>3305</v>
      </c>
      <c r="N19" s="3060" t="s">
        <v>3306</v>
      </c>
      <c r="O19" s="3060" t="s">
        <v>3307</v>
      </c>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2</v>
      </c>
      <c r="C20" s="3028" t="s">
        <v>3049</v>
      </c>
      <c r="D20" s="2902"/>
      <c r="E20" s="2899"/>
      <c r="F20" s="2899"/>
      <c r="G20" s="2899"/>
      <c r="H20" s="2899"/>
      <c r="I20" s="2899"/>
      <c r="J20" s="2899"/>
      <c r="K20" s="2898"/>
      <c r="L20" s="3060" t="s">
        <v>3301</v>
      </c>
      <c r="M20" s="2898">
        <v>7349.11</v>
      </c>
      <c r="N20" s="2898">
        <v>2700</v>
      </c>
      <c r="O20" s="3061">
        <f>ROUND((M20*N20+M21*N21+M22*N22)/K6,0)</f>
        <v>2269</v>
      </c>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v>2</v>
      </c>
      <c r="C21" s="2899"/>
      <c r="D21" s="2902"/>
      <c r="E21" s="2899"/>
      <c r="F21" s="2899"/>
      <c r="G21" s="2899"/>
      <c r="H21" s="2899"/>
      <c r="I21" s="2899"/>
      <c r="J21" s="2899"/>
      <c r="K21" s="2898"/>
      <c r="L21" s="3060" t="s">
        <v>3302</v>
      </c>
      <c r="M21" s="2898">
        <v>7621.33</v>
      </c>
      <c r="N21" s="2898">
        <f>N20</f>
        <v>2700</v>
      </c>
      <c r="O21" s="2898"/>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2</v>
      </c>
      <c r="C22" s="2899"/>
      <c r="D22" s="2902"/>
      <c r="E22" s="2899"/>
      <c r="F22" s="2899"/>
      <c r="G22" s="2899"/>
      <c r="H22" s="2899"/>
      <c r="I22" s="2899"/>
      <c r="J22" s="2899"/>
      <c r="K22" s="2898"/>
      <c r="L22" s="3060" t="s">
        <v>3303</v>
      </c>
      <c r="M22" s="2898">
        <v>8078.66</v>
      </c>
      <c r="N22" s="2898">
        <f>N20</f>
        <v>2700</v>
      </c>
      <c r="O22" s="2898"/>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150</v>
      </c>
      <c r="C27" s="3029" t="s">
        <v>3053</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220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603</v>
      </c>
      <c r="C29" s="3030" t="s">
        <v>3040</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1" t="s">
        <v>3041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1" t="s">
        <v>3042</v>
      </c>
      <c r="D34" s="2910" t="s">
        <v>3050</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1" t="s">
        <v>3043</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1" t="s">
        <v>3044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120">
        <v>0.02</v>
      </c>
      <c r="C37" s="3031" t="s">
        <v>3045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118">
        <v>0.02</v>
      </c>
      <c r="C38" s="3031" t="s">
        <v>3045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2" t="s">
        <v>3308</v>
      </c>
      <c r="B40" s="1210">
        <f ca="1">IF(A40="利息：取LPR",存贷款利率!G1,存贷款利率!G1+C40)</f>
        <v>4.3499999999999997E-2</v>
      </c>
      <c r="C40" s="3041">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1919</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1921</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1922</v>
      </c>
      <c r="B44" s="124">
        <v>7.0000000000000007E-2</v>
      </c>
      <c r="C44" s="3031" t="s">
        <v>3054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1923</v>
      </c>
      <c r="B45" s="122">
        <v>0.03</v>
      </c>
      <c r="C45" s="3030" t="s">
        <v>3046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1924</v>
      </c>
      <c r="B46" s="122">
        <v>0.02</v>
      </c>
      <c r="C46" s="3030" t="s">
        <v>3047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1925</v>
      </c>
      <c r="B47" s="125">
        <v>0</v>
      </c>
      <c r="C47" s="3033" t="s">
        <v>3055</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1926</v>
      </c>
      <c r="B48" s="126">
        <v>0.04</v>
      </c>
      <c r="C48" s="3030" t="s">
        <v>3046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1927</v>
      </c>
      <c r="B49" s="122">
        <v>5.0000000000000001E-4</v>
      </c>
      <c r="C49" s="3030" t="s">
        <v>3048</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1928</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1929</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1930</v>
      </c>
      <c r="B52" s="129">
        <f>SUMIF(A54:A63,B53,B54:B63)</f>
        <v>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1931</v>
      </c>
      <c r="B53" s="1925" t="s">
        <v>442</v>
      </c>
      <c r="C53" s="2886" t="s">
        <v>1932</v>
      </c>
      <c r="D53" s="3032" t="s">
        <v>3052</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1933</v>
      </c>
      <c r="B54" s="80">
        <v>15</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1934</v>
      </c>
      <c r="B55" s="80">
        <v>10</v>
      </c>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1935</v>
      </c>
      <c r="B56" s="80">
        <v>5</v>
      </c>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1936</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1937</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1938</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152" t="s">
        <v>3032</v>
      </c>
      <c r="B1" s="3153"/>
      <c r="C1" s="3153"/>
      <c r="D1" s="3153"/>
      <c r="E1" s="3153"/>
      <c r="F1" s="3153"/>
      <c r="G1" s="315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7"/>
      <c r="I2" s="907"/>
      <c r="J2" s="907"/>
      <c r="K2" s="907"/>
      <c r="L2" s="907"/>
      <c r="M2" s="907"/>
      <c r="N2" s="907"/>
      <c r="O2" s="907"/>
      <c r="P2" s="907"/>
      <c r="Q2" s="907"/>
      <c r="R2" s="907"/>
    </row>
    <row r="3" spans="1:29" ht="48">
      <c r="A3" s="2665" t="s">
        <v>3029</v>
      </c>
      <c r="B3" s="2687" t="s">
        <v>2998</v>
      </c>
      <c r="C3" s="2688" t="s">
        <v>3030</v>
      </c>
      <c r="D3" s="2689"/>
      <c r="E3" s="2666" t="s">
        <v>3029</v>
      </c>
      <c r="F3" s="2690" t="s">
        <v>2999</v>
      </c>
      <c r="G3" s="2691" t="s">
        <v>3031</v>
      </c>
      <c r="H3" s="907"/>
      <c r="I3" s="907"/>
      <c r="J3" s="907"/>
      <c r="K3" s="907"/>
      <c r="L3" s="907"/>
      <c r="M3" s="907"/>
      <c r="N3" s="907"/>
      <c r="O3" s="907"/>
      <c r="P3" s="907"/>
      <c r="Q3" s="907"/>
      <c r="R3" s="907"/>
    </row>
    <row r="4" spans="1:29" ht="36.75">
      <c r="A4" s="2666"/>
      <c r="B4" s="329" t="s">
        <v>3000</v>
      </c>
      <c r="C4" s="2692" t="s">
        <v>3001</v>
      </c>
      <c r="D4" s="2689"/>
      <c r="E4" s="2693"/>
      <c r="F4" s="1558" t="s">
        <v>3002</v>
      </c>
      <c r="G4" s="2694" t="s">
        <v>3003</v>
      </c>
      <c r="H4" s="907"/>
      <c r="I4" s="907"/>
      <c r="J4" s="907"/>
      <c r="K4" s="907"/>
      <c r="L4" s="907"/>
      <c r="M4" s="907"/>
      <c r="N4" s="907"/>
      <c r="O4" s="907"/>
      <c r="P4" s="907"/>
      <c r="Q4" s="907"/>
      <c r="R4" s="907"/>
    </row>
    <row r="5" spans="1:29" ht="36.75">
      <c r="A5" s="2666"/>
      <c r="B5" s="329" t="s">
        <v>3004</v>
      </c>
      <c r="C5" s="2692" t="s">
        <v>3005</v>
      </c>
      <c r="D5" s="2689"/>
      <c r="E5" s="2693"/>
      <c r="F5" s="329" t="s">
        <v>3006</v>
      </c>
      <c r="G5" s="2694" t="s">
        <v>3007</v>
      </c>
      <c r="H5" s="907"/>
      <c r="I5" s="907"/>
      <c r="J5" s="907"/>
      <c r="K5" s="907"/>
      <c r="L5" s="907"/>
      <c r="M5" s="907"/>
      <c r="N5" s="907"/>
      <c r="O5" s="907"/>
      <c r="P5" s="907"/>
      <c r="Q5" s="907"/>
      <c r="R5" s="907"/>
    </row>
    <row r="6" spans="1:29" ht="36">
      <c r="A6" s="2666"/>
      <c r="B6" s="329" t="s">
        <v>3008</v>
      </c>
      <c r="C6" s="2694" t="s">
        <v>3003</v>
      </c>
      <c r="D6" s="2689"/>
      <c r="E6" s="2693"/>
      <c r="F6" s="329" t="s">
        <v>3009</v>
      </c>
      <c r="G6" s="2694" t="s">
        <v>3010</v>
      </c>
      <c r="H6" s="907"/>
      <c r="I6" s="907"/>
      <c r="J6" s="907"/>
      <c r="K6" s="907"/>
      <c r="L6" s="907"/>
      <c r="M6" s="907"/>
      <c r="N6" s="907"/>
      <c r="O6" s="907"/>
      <c r="P6" s="907"/>
      <c r="Q6" s="907"/>
      <c r="R6" s="907"/>
    </row>
    <row r="7" spans="1:29" ht="24.75" thickBot="1">
      <c r="A7" s="2666"/>
      <c r="B7" s="329" t="s">
        <v>3006</v>
      </c>
      <c r="C7" s="2694" t="s">
        <v>3007</v>
      </c>
      <c r="D7" s="2695"/>
      <c r="E7" s="2696"/>
      <c r="F7" s="2697" t="s">
        <v>3011</v>
      </c>
      <c r="G7" s="2698" t="s">
        <v>3012</v>
      </c>
      <c r="H7" s="907"/>
      <c r="I7" s="907"/>
      <c r="J7" s="907"/>
      <c r="K7" s="907"/>
      <c r="L7" s="907"/>
      <c r="M7" s="907"/>
      <c r="N7" s="907"/>
      <c r="O7" s="907"/>
      <c r="P7" s="907"/>
      <c r="Q7" s="907"/>
      <c r="R7" s="907"/>
    </row>
    <row r="8" spans="1:29">
      <c r="A8" s="2666"/>
      <c r="B8" s="329" t="s">
        <v>3009</v>
      </c>
      <c r="C8" s="2694" t="s">
        <v>3010</v>
      </c>
      <c r="D8" s="2695"/>
      <c r="E8" s="2695"/>
      <c r="F8" s="2699"/>
      <c r="G8" s="2699"/>
      <c r="H8" s="907"/>
      <c r="I8" s="907"/>
      <c r="J8" s="907"/>
      <c r="K8" s="907"/>
      <c r="L8" s="907"/>
      <c r="M8" s="907"/>
      <c r="N8" s="907"/>
      <c r="O8" s="907"/>
      <c r="P8" s="907"/>
      <c r="Q8" s="907"/>
      <c r="R8" s="907"/>
    </row>
    <row r="9" spans="1:29" ht="24">
      <c r="A9" s="2666"/>
      <c r="B9" s="329" t="s">
        <v>3013</v>
      </c>
      <c r="C9" s="2692" t="s">
        <v>3014</v>
      </c>
      <c r="D9" s="2689"/>
      <c r="E9" s="2695"/>
      <c r="F9" s="2699"/>
      <c r="G9" s="2699"/>
      <c r="H9" s="907"/>
      <c r="I9" s="907"/>
      <c r="J9" s="907"/>
      <c r="K9" s="907"/>
      <c r="L9" s="907"/>
      <c r="M9" s="907"/>
      <c r="N9" s="907"/>
      <c r="O9" s="907"/>
      <c r="P9" s="907"/>
      <c r="Q9" s="907"/>
      <c r="R9" s="907"/>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9"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9" t="s">
        <v>3009</v>
      </c>
      <c r="G20" s="2727" t="str">
        <f>G6</f>
        <v>估价对象所在区域基础设施水平</v>
      </c>
    </row>
    <row r="21" spans="1:18" ht="25.5">
      <c r="A21" s="2670"/>
      <c r="B21" s="329" t="s">
        <v>3006</v>
      </c>
      <c r="C21" s="2727" t="str">
        <f>C7</f>
        <v>估价对象所在区域公共配套设施齐备情况</v>
      </c>
      <c r="D21" s="2689"/>
      <c r="E21" s="2671"/>
      <c r="F21" s="2726" t="s">
        <v>3024</v>
      </c>
      <c r="G21" s="2729"/>
    </row>
    <row r="22" spans="1:18" ht="13.5" customHeight="1">
      <c r="A22" s="2670"/>
      <c r="B22" s="329" t="s">
        <v>3009</v>
      </c>
      <c r="C22" s="2727" t="str">
        <f>C8</f>
        <v>估价对象所在区域基础设施水平</v>
      </c>
      <c r="D22" s="2689"/>
      <c r="E22" s="2671"/>
      <c r="F22" s="2726" t="s">
        <v>3015</v>
      </c>
      <c r="G22" s="2728"/>
    </row>
    <row r="23" spans="1:18" s="907" customFormat="1" ht="15" thickBot="1">
      <c r="A23" s="2670"/>
      <c r="B23" s="2726" t="s">
        <v>3024</v>
      </c>
      <c r="C23" s="2729"/>
      <c r="D23" s="1928"/>
      <c r="E23" s="2672"/>
      <c r="F23" s="2730" t="s">
        <v>3025</v>
      </c>
      <c r="G23" s="2731"/>
      <c r="H23" s="2715"/>
      <c r="I23" s="2716"/>
      <c r="J23" s="2715"/>
      <c r="K23" s="2715"/>
      <c r="L23" s="2716"/>
      <c r="M23" s="2715"/>
      <c r="N23" s="2715"/>
      <c r="O23" s="2716"/>
      <c r="P23" s="2715"/>
      <c r="Q23" s="2715"/>
      <c r="R23" s="2717"/>
    </row>
    <row r="24" spans="1:18" s="907" customFormat="1" ht="15" thickBot="1">
      <c r="A24" s="2673"/>
      <c r="B24" s="2730" t="s">
        <v>3026</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27421.7</v>
      </c>
      <c r="C1" s="2912"/>
      <c r="D1" s="2912"/>
      <c r="E1" s="2912"/>
      <c r="F1" s="2912"/>
      <c r="G1" s="2913"/>
      <c r="H1" s="2914"/>
      <c r="I1" s="2914"/>
      <c r="J1" s="2914"/>
      <c r="K1" s="2914"/>
    </row>
    <row r="2" spans="1:11" ht="16.5">
      <c r="A2" s="2736" t="s">
        <v>1319</v>
      </c>
      <c r="B2" s="2736">
        <f>SUM(C14:C23)</f>
        <v>9989</v>
      </c>
      <c r="C2" s="2912"/>
      <c r="D2" s="2912"/>
      <c r="E2" s="2912"/>
      <c r="F2" s="2912"/>
      <c r="G2" s="2913"/>
      <c r="H2" s="2914"/>
      <c r="I2" s="2914"/>
      <c r="J2" s="2914"/>
      <c r="K2" s="2914"/>
    </row>
    <row r="3" spans="1:11" ht="16.5">
      <c r="A3" s="2736" t="s">
        <v>1328</v>
      </c>
      <c r="B3" s="2738">
        <f>项目基本情况!D3</f>
        <v>44306</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26505</v>
      </c>
      <c r="C5" s="2736">
        <f ca="1">ROUND(B5*10000/$B$1,0)</f>
        <v>9666</v>
      </c>
      <c r="D5" s="2736">
        <f ca="1">ROUND(B5*10000/$B$2,0)</f>
        <v>26534</v>
      </c>
      <c r="E5" s="2912"/>
      <c r="F5" s="2913"/>
      <c r="G5" s="2913"/>
      <c r="H5" s="2914"/>
      <c r="I5" s="2914"/>
      <c r="J5" s="2914"/>
      <c r="K5" s="2914"/>
    </row>
    <row r="6" spans="1:11" ht="16.5">
      <c r="A6" s="2736" t="s">
        <v>1322</v>
      </c>
      <c r="B6" s="2736">
        <f ca="1">SUM(G14:G23)</f>
        <v>26505</v>
      </c>
      <c r="C6" s="2736">
        <f ca="1">ROUND(B6*10000/$B$1,0)</f>
        <v>9666</v>
      </c>
      <c r="D6" s="2736">
        <f ca="1">ROUND(B6*10000/$B$2,0)</f>
        <v>26534</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 ca="1">SUM(I14:I23)</f>
        <v>24946</v>
      </c>
      <c r="C8" s="2736">
        <f ca="1">ROUND(B8*10000/$B$1,0)</f>
        <v>9097</v>
      </c>
      <c r="D8" s="2736">
        <f ca="1">ROUND(B8*10000/$B$2,0)</f>
        <v>24973</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27421.7</v>
      </c>
      <c r="C14" s="2742">
        <f>结果表!C118</f>
        <v>9989</v>
      </c>
      <c r="D14" s="2742">
        <f ca="1">结果表!H118</f>
        <v>26505</v>
      </c>
      <c r="E14" s="2742">
        <f ca="1">ROUND(D14*10000/B14,0)</f>
        <v>9666</v>
      </c>
      <c r="F14" s="2742">
        <f ca="1">ROUND(D14*10000/C14,0)</f>
        <v>26534</v>
      </c>
      <c r="G14" s="2742">
        <f ca="1">结果表!D122</f>
        <v>26505</v>
      </c>
      <c r="H14" s="2742" t="str">
        <f>结果表!D124</f>
        <v>——</v>
      </c>
      <c r="I14" s="2742">
        <f ca="1">结果表!D126</f>
        <v>24946</v>
      </c>
      <c r="J14" s="2913"/>
      <c r="K14" s="2914"/>
    </row>
    <row r="15" spans="1:11" ht="16.5">
      <c r="A15" s="2741" t="s">
        <v>1315</v>
      </c>
      <c r="B15" s="2743"/>
      <c r="C15" s="2743"/>
      <c r="D15" s="2743"/>
      <c r="E15" s="2742" t="e">
        <f t="shared" ref="E15:E23" si="0">ROUND(D15*10000/B15,0)</f>
        <v>#DIV/0!</v>
      </c>
      <c r="F15" s="2742" t="e">
        <f t="shared" ref="F15:F23" si="1">ROUND(D15*10000/C15,0)</f>
        <v>#DIV/0!</v>
      </c>
      <c r="G15" s="1501"/>
      <c r="H15" s="1501"/>
      <c r="I15" s="2743"/>
      <c r="J15" s="2913"/>
      <c r="K15" s="2914"/>
    </row>
    <row r="16" spans="1:11" ht="16.5">
      <c r="A16" s="2741" t="s">
        <v>1314</v>
      </c>
      <c r="B16" s="2743"/>
      <c r="C16" s="2743"/>
      <c r="D16" s="2743"/>
      <c r="E16" s="2742" t="e">
        <f t="shared" si="0"/>
        <v>#DIV/0!</v>
      </c>
      <c r="F16" s="2742" t="e">
        <f t="shared" si="1"/>
        <v>#DIV/0!</v>
      </c>
      <c r="G16" s="1501"/>
      <c r="H16" s="1501"/>
      <c r="I16" s="2743"/>
      <c r="J16" s="2914"/>
      <c r="K16" s="2914"/>
    </row>
    <row r="17" spans="1:11" ht="16.5">
      <c r="A17" s="2741" t="s">
        <v>1313</v>
      </c>
      <c r="B17" s="2743"/>
      <c r="C17" s="2743"/>
      <c r="D17" s="2743"/>
      <c r="E17" s="2742" t="e">
        <f t="shared" si="0"/>
        <v>#DIV/0!</v>
      </c>
      <c r="F17" s="2742" t="e">
        <f t="shared" si="1"/>
        <v>#DIV/0!</v>
      </c>
      <c r="G17" s="1501"/>
      <c r="H17" s="1501"/>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188" t="str">
        <f>项目基本情况!S2</f>
        <v>杭州市滨江区长河街道越达巷82号工业用房房地产</v>
      </c>
      <c r="B2" s="3189"/>
      <c r="C2" s="3189"/>
      <c r="D2" s="3189"/>
      <c r="E2" s="3189"/>
      <c r="F2" s="3189"/>
      <c r="G2" s="3189"/>
      <c r="H2" s="3189"/>
      <c r="I2" s="3190"/>
    </row>
    <row r="3" spans="1:12" ht="12.75">
      <c r="A3" s="3192" t="s">
        <v>1950</v>
      </c>
      <c r="B3" s="3193"/>
      <c r="C3" s="3193"/>
      <c r="D3" s="3193"/>
      <c r="E3" s="3193"/>
      <c r="F3" s="3193"/>
      <c r="G3" s="3193"/>
      <c r="H3" s="3193"/>
      <c r="I3" s="3193"/>
    </row>
    <row r="4" spans="1:12" ht="14.25">
      <c r="A4" s="1941" t="s">
        <v>1951</v>
      </c>
      <c r="B4" s="1942" t="s">
        <v>1952</v>
      </c>
      <c r="C4" s="1943" t="s">
        <v>3266</v>
      </c>
      <c r="D4" s="1943" t="s">
        <v>3276</v>
      </c>
      <c r="E4" s="3194" t="s">
        <v>1953</v>
      </c>
      <c r="F4" s="3195"/>
      <c r="G4" s="3195"/>
      <c r="H4" s="3195"/>
      <c r="I4" s="319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8" t="s">
        <v>1954</v>
      </c>
      <c r="B5" s="3155">
        <v>25</v>
      </c>
      <c r="C5" s="3171"/>
      <c r="D5" s="3191"/>
      <c r="E5" s="136" t="s">
        <v>1955</v>
      </c>
      <c r="F5" s="1944"/>
      <c r="G5" s="1944"/>
      <c r="H5" s="1944"/>
      <c r="I5" s="1558"/>
    </row>
    <row r="6" spans="1:12" ht="12.75">
      <c r="A6" s="3168"/>
      <c r="B6" s="3155"/>
      <c r="C6" s="3172"/>
      <c r="D6" s="3191"/>
      <c r="E6" s="136" t="s">
        <v>1956</v>
      </c>
      <c r="F6" s="1944"/>
      <c r="G6" s="1944"/>
      <c r="H6" s="1944"/>
      <c r="I6" s="1558"/>
    </row>
    <row r="7" spans="1:12" ht="12.75">
      <c r="A7" s="3168"/>
      <c r="B7" s="3155"/>
      <c r="C7" s="3173"/>
      <c r="D7" s="3191"/>
      <c r="E7" s="136" t="s">
        <v>1957</v>
      </c>
      <c r="F7" s="1944"/>
      <c r="G7" s="1944"/>
      <c r="H7" s="1944"/>
      <c r="I7" s="1558"/>
    </row>
    <row r="8" spans="1:12" ht="12.75">
      <c r="A8" s="3168" t="s">
        <v>1958</v>
      </c>
      <c r="B8" s="3155">
        <v>15</v>
      </c>
      <c r="C8" s="3171"/>
      <c r="D8" s="3191"/>
      <c r="E8" s="136" t="s">
        <v>1959</v>
      </c>
      <c r="F8" s="1944"/>
      <c r="G8" s="1944"/>
      <c r="H8" s="1944"/>
      <c r="I8" s="1558"/>
    </row>
    <row r="9" spans="1:12" ht="12.75">
      <c r="A9" s="3168"/>
      <c r="B9" s="3155"/>
      <c r="C9" s="3173"/>
      <c r="D9" s="3191"/>
      <c r="E9" s="136" t="s">
        <v>1960</v>
      </c>
      <c r="F9" s="1944"/>
      <c r="G9" s="1944"/>
      <c r="H9" s="1944"/>
      <c r="I9" s="1558"/>
    </row>
    <row r="10" spans="1:12" ht="12.75">
      <c r="A10" s="3168" t="s">
        <v>1961</v>
      </c>
      <c r="B10" s="3155">
        <v>15</v>
      </c>
      <c r="C10" s="3171"/>
      <c r="D10" s="3191"/>
      <c r="E10" s="136" t="s">
        <v>1962</v>
      </c>
      <c r="F10" s="1944"/>
      <c r="G10" s="1944"/>
      <c r="H10" s="1944"/>
      <c r="I10" s="1558"/>
    </row>
    <row r="11" spans="1:12" ht="12.75">
      <c r="A11" s="3168"/>
      <c r="B11" s="3155"/>
      <c r="C11" s="3173"/>
      <c r="D11" s="3191"/>
      <c r="E11" s="136" t="s">
        <v>1963</v>
      </c>
      <c r="F11" s="1944"/>
      <c r="G11" s="1944"/>
      <c r="H11" s="1944"/>
      <c r="I11" s="1558"/>
    </row>
    <row r="12" spans="1:12" ht="12.75">
      <c r="A12" s="3168" t="s">
        <v>1964</v>
      </c>
      <c r="B12" s="3155">
        <v>15</v>
      </c>
      <c r="C12" s="3171"/>
      <c r="D12" s="3191"/>
      <c r="E12" s="136" t="s">
        <v>1965</v>
      </c>
      <c r="F12" s="1944"/>
      <c r="G12" s="1944"/>
      <c r="H12" s="1944"/>
      <c r="I12" s="1558"/>
    </row>
    <row r="13" spans="1:12" ht="12.75">
      <c r="A13" s="3168"/>
      <c r="B13" s="3155"/>
      <c r="C13" s="3173"/>
      <c r="D13" s="3191"/>
      <c r="E13" s="136" t="s">
        <v>1966</v>
      </c>
      <c r="F13" s="1944"/>
      <c r="G13" s="1944"/>
      <c r="H13" s="1944"/>
      <c r="I13" s="1558"/>
    </row>
    <row r="14" spans="1:12" ht="12.75">
      <c r="A14" s="3168" t="s">
        <v>1967</v>
      </c>
      <c r="B14" s="3155">
        <v>30</v>
      </c>
      <c r="C14" s="3171">
        <v>1</v>
      </c>
      <c r="D14" s="3191">
        <v>0</v>
      </c>
      <c r="E14" s="136" t="s">
        <v>1968</v>
      </c>
      <c r="F14" s="1944"/>
      <c r="G14" s="1944"/>
      <c r="H14" s="1944"/>
      <c r="I14" s="1558"/>
    </row>
    <row r="15" spans="1:12" ht="12.75">
      <c r="A15" s="3168"/>
      <c r="B15" s="3155"/>
      <c r="C15" s="3172"/>
      <c r="D15" s="3191"/>
      <c r="E15" s="136" t="s">
        <v>1969</v>
      </c>
      <c r="F15" s="1944"/>
      <c r="G15" s="1944"/>
      <c r="H15" s="1944"/>
      <c r="I15" s="1558"/>
    </row>
    <row r="16" spans="1:12" ht="12.75">
      <c r="A16" s="3168"/>
      <c r="B16" s="3155"/>
      <c r="C16" s="3173"/>
      <c r="D16" s="3191"/>
      <c r="E16" s="136" t="s">
        <v>1970</v>
      </c>
      <c r="F16" s="1944"/>
      <c r="G16" s="1944"/>
      <c r="H16" s="1944"/>
      <c r="I16" s="1558"/>
    </row>
    <row r="17" spans="1:36" ht="15">
      <c r="A17" s="1945" t="s">
        <v>1971</v>
      </c>
      <c r="B17" s="60"/>
      <c r="C17" s="137">
        <f>SUM(C5:C16)</f>
        <v>1</v>
      </c>
      <c r="D17" s="137">
        <f>SUM(D5:D16)</f>
        <v>0</v>
      </c>
      <c r="E17" s="134"/>
      <c r="F17" s="134"/>
      <c r="G17" s="134"/>
      <c r="H17" s="134"/>
      <c r="I17" s="134"/>
      <c r="K17" s="308"/>
      <c r="L17" s="308" t="s">
        <v>1972</v>
      </c>
      <c r="M17" s="308" t="s">
        <v>1973</v>
      </c>
    </row>
    <row r="18" spans="1:36" ht="31.9" customHeight="1" thickBot="1">
      <c r="A18" s="1946" t="s">
        <v>1974</v>
      </c>
      <c r="B18" s="1947"/>
      <c r="C18" s="138">
        <f>ROUND(C17/SUM(C17:D17),2)</f>
        <v>1</v>
      </c>
      <c r="D18" s="138">
        <f>1-C18</f>
        <v>0</v>
      </c>
      <c r="E18" s="3178" t="s">
        <v>2873</v>
      </c>
      <c r="F18" s="3179"/>
      <c r="G18" s="3179"/>
      <c r="H18" s="3179"/>
      <c r="I18" s="3179"/>
      <c r="K18" s="308" t="s">
        <v>1975</v>
      </c>
      <c r="L18" s="308">
        <f>IF(C1="",'数据-汇总表'!E3,SUMIF(项目类型,C1,'数据-汇总表'!E17:E26)+SUMIF(项目类型,C1,'数据-汇总表'!I17:I26))</f>
        <v>27421.7</v>
      </c>
      <c r="M18" s="308">
        <f>IF(C1="",'数据-汇总表'!E3,SUMIF(项目类型,C1,'数据-汇总表'!E17:E26))</f>
        <v>27421.7</v>
      </c>
    </row>
    <row r="19" spans="1:36" ht="15">
      <c r="A19" s="1948" t="s">
        <v>1976</v>
      </c>
      <c r="B19" s="1949" t="s">
        <v>1977</v>
      </c>
      <c r="C19" s="139">
        <f ca="1">SUMIF(INDIRECT("'"&amp;C4&amp;"'"&amp;"!A:A"),结果表!B19,INDIRECT("'"&amp;C4&amp;"'"&amp;"!B:B"))</f>
        <v>26505</v>
      </c>
      <c r="D19" s="140">
        <f ca="1">SUMIF(INDIRECT("'"&amp;D4&amp;"'"&amp;"!A:A"),结果表!B19,INDIRECT("'"&amp;D4&amp;"'"&amp;"!B:B"))</f>
        <v>27373</v>
      </c>
      <c r="E19" s="1948" t="s">
        <v>1978</v>
      </c>
      <c r="F19" s="1949" t="s">
        <v>1977</v>
      </c>
      <c r="G19" s="141">
        <f ca="1">ROUND(C19*$C$18+D19*$D$18,0)</f>
        <v>26505</v>
      </c>
      <c r="H19" s="1950" t="s">
        <v>1979</v>
      </c>
      <c r="I19" s="134"/>
      <c r="K19" s="308" t="s">
        <v>1980</v>
      </c>
      <c r="L19" s="308">
        <f>IF(C1="",'数据-汇总表'!D3,SUMIF(项目类型,C1,'数据-汇总表'!D17:D26)+SUMIF(项目类型,C1,'数据-汇总表'!H17:H27))</f>
        <v>9989</v>
      </c>
      <c r="M19" s="308">
        <f>IF(C1="",'数据-汇总表'!D3,SUMIF(项目类型,C1,'数据-汇总表'!D17:D26))</f>
        <v>9989</v>
      </c>
    </row>
    <row r="20" spans="1:36" ht="15">
      <c r="A20" s="1951"/>
      <c r="B20" s="1157" t="s">
        <v>1981</v>
      </c>
      <c r="C20" s="142">
        <f ca="1">SUMIF(INDIRECT("'"&amp;C4&amp;"'"&amp;"!A:A"),结果表!B20,INDIRECT("'"&amp;C4&amp;"'"&amp;"!B:B"))</f>
        <v>9666</v>
      </c>
      <c r="D20" s="143">
        <f ca="1">SUMIF(INDIRECT("'"&amp;D4&amp;"'"&amp;"!A:A"),结果表!B20,INDIRECT("'"&amp;D4&amp;"'"&amp;"!B:B"))</f>
        <v>9982</v>
      </c>
      <c r="E20" s="1951"/>
      <c r="F20" s="1157" t="s">
        <v>1981</v>
      </c>
      <c r="G20" s="144">
        <f ca="1">ROUND(C20*$C$18+D20*$D$18,0)</f>
        <v>9666</v>
      </c>
      <c r="H20" s="917" t="s">
        <v>1982</v>
      </c>
      <c r="I20" s="134"/>
    </row>
    <row r="21" spans="1:36" ht="15" customHeight="1" thickBot="1">
      <c r="A21" s="937"/>
      <c r="B21" s="1952" t="s">
        <v>1983</v>
      </c>
      <c r="C21" s="728">
        <f ca="1">ROUND(C19*10000/L19,0)</f>
        <v>26534</v>
      </c>
      <c r="D21" s="729">
        <f ca="1">ROUND(D19*10000/L19,0)</f>
        <v>27403</v>
      </c>
      <c r="E21" s="937"/>
      <c r="F21" s="1952" t="s">
        <v>1983</v>
      </c>
      <c r="G21" s="145">
        <f ca="1">ROUND(G19*10000/L19,0)</f>
        <v>26534</v>
      </c>
      <c r="H21" s="1953" t="s">
        <v>1982</v>
      </c>
      <c r="I21" s="134"/>
    </row>
    <row r="22" spans="1:36" ht="15" thickBot="1">
      <c r="A22" s="1875" t="s">
        <v>1984</v>
      </c>
      <c r="B22" s="1954"/>
      <c r="C22" s="1955"/>
      <c r="D22" s="730">
        <f ca="1">IF(C19&lt;D19,D19/C19-1,C19/D19-1)</f>
        <v>3.274853801169586E-2</v>
      </c>
      <c r="E22" s="134"/>
      <c r="F22" s="134"/>
      <c r="G22" s="134"/>
      <c r="H22" s="134"/>
      <c r="I22" s="134"/>
      <c r="J22" s="734" t="s">
        <v>3309</v>
      </c>
    </row>
    <row r="23" spans="1:36" ht="13.5" thickBot="1">
      <c r="A23" s="1934"/>
      <c r="B23" s="1934"/>
      <c r="C23" s="1934"/>
      <c r="D23" s="1934"/>
      <c r="E23" s="134"/>
      <c r="F23" s="134"/>
      <c r="G23" s="134"/>
      <c r="H23" s="134"/>
      <c r="I23" s="134"/>
    </row>
    <row r="24" spans="1:36" ht="14.25">
      <c r="A24" s="3162" t="s">
        <v>1985</v>
      </c>
      <c r="B24" s="1949" t="s">
        <v>1977</v>
      </c>
      <c r="C24" s="141">
        <f>IF(B30=0,0,D30)</f>
        <v>0</v>
      </c>
      <c r="D24" s="1956"/>
      <c r="E24" s="134"/>
      <c r="F24" s="134"/>
      <c r="G24" s="134"/>
      <c r="H24" s="134"/>
      <c r="I24" s="134"/>
    </row>
    <row r="25" spans="1:36" ht="14.25">
      <c r="A25" s="3163"/>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3401">
        <v>26471</v>
      </c>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5"/>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26505</v>
      </c>
      <c r="D32" s="1962" t="s">
        <v>3267</v>
      </c>
      <c r="E32" s="134"/>
      <c r="F32" s="134"/>
      <c r="G32" s="134"/>
      <c r="H32" s="134"/>
      <c r="I32" s="134"/>
    </row>
    <row r="33" spans="1:15" ht="15">
      <c r="A33" s="894" t="s">
        <v>1992</v>
      </c>
      <c r="B33" s="1963"/>
      <c r="C33" s="1964" t="s">
        <v>3268</v>
      </c>
      <c r="D33" s="1965" t="s">
        <v>3266</v>
      </c>
      <c r="E33" s="1966" t="s">
        <v>1993</v>
      </c>
      <c r="F33" s="1967" t="str">
        <f>IF(D32="楼面单价","取值（单价）","取值（总价）")</f>
        <v>取值（总价）</v>
      </c>
      <c r="G33" s="134"/>
      <c r="H33" s="134"/>
      <c r="I33" s="134"/>
    </row>
    <row r="34" spans="1:15" ht="15">
      <c r="A34" s="1968"/>
      <c r="B34" s="1969" t="s">
        <v>1994</v>
      </c>
      <c r="C34" s="153">
        <f ca="1">IF(C33="自定义",F34,C32-C35)</f>
        <v>2650</v>
      </c>
      <c r="D34" s="970">
        <f ca="1">IF(C33="自定义",ROUND(C34/C32,3),IF(C33="收益比率",SUMIF(INDIRECT("'"&amp;D33&amp;"'"&amp;"!b:b"),"土地收益比率",INDIRECT("'"&amp;D33&amp;"'"&amp;"!c:c")),SUMIF(INDIRECT("'"&amp;D33&amp;"'"&amp;"!b:b"),"土地成本比率",INDIRECT("'"&amp;D33&amp;"'"&amp;"!c:c"))))</f>
        <v>9.9999999999999978E-2</v>
      </c>
      <c r="E34" s="1970" t="s">
        <v>1995</v>
      </c>
      <c r="F34" s="1499"/>
      <c r="G34" s="134"/>
      <c r="H34" s="134"/>
      <c r="I34" s="134"/>
    </row>
    <row r="35" spans="1:15" ht="15.75" thickBot="1">
      <c r="A35" s="1971"/>
      <c r="B35" s="1972" t="s">
        <v>1996</v>
      </c>
      <c r="C35" s="1332">
        <f ca="1">IF(C33="自定义",F35,ROUND(C32*D35,0))</f>
        <v>23855</v>
      </c>
      <c r="D35" s="1333">
        <f ca="1">IF(C33="自定义",ROUND(C35/C32,3),IF(C33="收益比率",SUMIF(INDIRECT("'"&amp;D33&amp;"'"&amp;"!b:b"),"建筑物收益比率",INDIRECT("'"&amp;D33&amp;"'"&amp;"!c:c")),SUMIF(INDIRECT("'"&amp;D33&amp;"'"&amp;"!b:b"),"建筑物成本比率",INDIRECT("'"&amp;D33&amp;"'"&amp;"!c:c"))))</f>
        <v>0.9</v>
      </c>
      <c r="E35" s="1973" t="s">
        <v>1997</v>
      </c>
      <c r="F35" s="159"/>
      <c r="G35" s="134"/>
      <c r="H35" s="134"/>
      <c r="I35" s="134"/>
    </row>
    <row r="36" spans="1:15" ht="15.75" thickBot="1">
      <c r="A36" s="3182" t="s">
        <v>1998</v>
      </c>
      <c r="B36" s="1974" t="s">
        <v>1999</v>
      </c>
      <c r="C36" s="150"/>
      <c r="D36" s="1975"/>
      <c r="E36" s="1976"/>
      <c r="F36" s="1977"/>
      <c r="G36" s="134"/>
      <c r="H36" s="134"/>
      <c r="I36" s="134"/>
    </row>
    <row r="37" spans="1:15" ht="15.75" thickBot="1">
      <c r="A37" s="3183"/>
      <c r="B37" s="1861" t="s">
        <v>2000</v>
      </c>
      <c r="C37" s="152"/>
      <c r="D37" s="1301"/>
      <c r="E37" s="1301"/>
      <c r="F37" s="1977"/>
      <c r="G37" s="134"/>
      <c r="H37" s="134"/>
      <c r="I37" s="134"/>
    </row>
    <row r="38" spans="1:15" ht="15.75" thickBot="1">
      <c r="A38" s="3184"/>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59" t="s">
        <v>2012</v>
      </c>
      <c r="B45" s="3160"/>
      <c r="C45" s="3161"/>
      <c r="D45" s="160">
        <f ca="1">ROUND(H101*F45,0)</f>
        <v>26505</v>
      </c>
      <c r="E45" s="161" t="s">
        <v>2013</v>
      </c>
      <c r="F45" s="162">
        <v>1</v>
      </c>
      <c r="G45" s="163" t="s">
        <v>2014</v>
      </c>
      <c r="H45" s="134"/>
      <c r="I45" s="134"/>
      <c r="J45" s="3240" t="s">
        <v>2015</v>
      </c>
      <c r="K45" s="3240"/>
      <c r="L45" s="3240"/>
      <c r="M45" s="3240"/>
      <c r="N45" s="3240"/>
      <c r="O45" s="3240"/>
    </row>
    <row r="46" spans="1:15" ht="14.25" customHeight="1">
      <c r="A46" s="3156" t="s">
        <v>2016</v>
      </c>
      <c r="B46" s="3157"/>
      <c r="C46" s="3157"/>
      <c r="D46" s="3157"/>
      <c r="E46" s="3157"/>
      <c r="F46" s="3157"/>
      <c r="G46" s="3158"/>
      <c r="H46" s="1993"/>
      <c r="I46" s="164"/>
      <c r="J46" s="2747">
        <v>1</v>
      </c>
      <c r="K46" s="3221" t="s">
        <v>2017</v>
      </c>
      <c r="L46" s="3221"/>
      <c r="M46" s="3241"/>
      <c r="N46" s="3241"/>
      <c r="O46" s="3241"/>
    </row>
    <row r="47" spans="1:15" ht="12" customHeight="1">
      <c r="A47" s="165" t="s">
        <v>2018</v>
      </c>
      <c r="B47" s="166"/>
      <c r="C47" s="167"/>
      <c r="D47" s="1247" t="s">
        <v>2019</v>
      </c>
      <c r="E47" s="308" t="s">
        <v>2020</v>
      </c>
      <c r="F47" s="168" t="s">
        <v>2021</v>
      </c>
      <c r="G47" s="2770" t="s">
        <v>2022</v>
      </c>
      <c r="H47" s="2771"/>
      <c r="I47" s="164"/>
      <c r="J47" s="2747">
        <v>2</v>
      </c>
      <c r="K47" s="3221" t="s">
        <v>2023</v>
      </c>
      <c r="L47" s="3221"/>
      <c r="M47" s="3242">
        <f>'数据-取费表'!B2</f>
        <v>44306</v>
      </c>
      <c r="N47" s="3242"/>
      <c r="O47" s="3242"/>
    </row>
    <row r="48" spans="1:15" ht="25.5">
      <c r="A48" s="3187" t="s">
        <v>2024</v>
      </c>
      <c r="B48" s="3170"/>
      <c r="C48" s="3170"/>
      <c r="D48" s="2548">
        <f ca="1">IF(H48="情况1",0,IF(H48="情况2",D52,IF(H48="情况3",D53,IF(H48="情况4",D54))))</f>
        <v>1414</v>
      </c>
      <c r="E48" s="2558" t="str">
        <f>IF(H48="情况4","(销售额-原购置价)×税（费）率","销售额×税（费）率")</f>
        <v>销售额×税（费）率</v>
      </c>
      <c r="F48" s="2772">
        <f>IF(H48="情况1","免征",'数据-取费表'!B41)</f>
        <v>5.6000000000000001E-2</v>
      </c>
      <c r="G48" s="2773" t="s">
        <v>2025</v>
      </c>
      <c r="H48" s="2774" t="s">
        <v>3281</v>
      </c>
      <c r="I48" s="1993"/>
      <c r="J48" s="2747">
        <v>3</v>
      </c>
      <c r="K48" s="3221" t="s">
        <v>2026</v>
      </c>
      <c r="L48" s="3221"/>
      <c r="M48" s="3243">
        <f ca="1">H101</f>
        <v>26505</v>
      </c>
      <c r="N48" s="3243"/>
      <c r="O48" s="3243"/>
    </row>
    <row r="49" spans="1:35" ht="25.5" customHeight="1">
      <c r="A49" s="2557" t="s">
        <v>2027</v>
      </c>
      <c r="B49" s="3154" t="s">
        <v>2028</v>
      </c>
      <c r="C49" s="3154"/>
      <c r="D49" s="1776">
        <v>0</v>
      </c>
      <c r="E49" s="330" t="s">
        <v>2029</v>
      </c>
      <c r="F49" s="2648" t="s">
        <v>34</v>
      </c>
      <c r="G49" s="3227"/>
      <c r="H49" s="2529" t="s">
        <v>2876</v>
      </c>
      <c r="I49" s="2530"/>
      <c r="J49" s="2747">
        <v>4</v>
      </c>
      <c r="K49" s="3221" t="str">
        <f>IF(项目基本情况!E8="房地产抵押价值","房地产抵押价值","抵押担保权已注销时的房地产抵押价值")</f>
        <v>房地产抵押价值</v>
      </c>
      <c r="L49" s="3221"/>
      <c r="M49" s="3243">
        <f ca="1">IF(项目基本情况!E8="房地产抵押价值",H107,H109)</f>
        <v>26505</v>
      </c>
      <c r="N49" s="3243"/>
      <c r="O49" s="3243"/>
    </row>
    <row r="50" spans="1:35" ht="25.5" customHeight="1">
      <c r="A50" s="2775"/>
      <c r="B50" s="3154" t="s">
        <v>2030</v>
      </c>
      <c r="C50" s="3154"/>
      <c r="D50" s="2776"/>
      <c r="E50" s="338"/>
      <c r="F50" s="2648"/>
      <c r="G50" s="3228"/>
      <c r="H50" s="2531" t="s">
        <v>2877</v>
      </c>
      <c r="I50" s="2530"/>
      <c r="J50" s="3240" t="s">
        <v>2031</v>
      </c>
      <c r="K50" s="3240"/>
      <c r="L50" s="3240"/>
      <c r="M50" s="3240"/>
      <c r="N50" s="3240"/>
      <c r="O50" s="3240"/>
    </row>
    <row r="51" spans="1:35" ht="20.45" customHeight="1">
      <c r="A51" s="2777"/>
      <c r="B51" s="3154" t="s">
        <v>2032</v>
      </c>
      <c r="C51" s="3154"/>
      <c r="D51" s="1247"/>
      <c r="E51" s="333"/>
      <c r="F51" s="2648"/>
      <c r="G51" s="3229"/>
      <c r="H51" s="2531" t="s">
        <v>2878</v>
      </c>
      <c r="I51" s="2530"/>
      <c r="J51" s="2748" t="s">
        <v>2033</v>
      </c>
      <c r="K51" s="3221" t="s">
        <v>2034</v>
      </c>
      <c r="L51" s="3221"/>
      <c r="M51" s="2748" t="s">
        <v>2035</v>
      </c>
      <c r="N51" s="2748" t="s">
        <v>2036</v>
      </c>
      <c r="O51" s="2748" t="s">
        <v>2037</v>
      </c>
    </row>
    <row r="52" spans="1:35" ht="24" customHeight="1">
      <c r="A52" s="2559" t="s">
        <v>2038</v>
      </c>
      <c r="B52" s="3154" t="s">
        <v>2039</v>
      </c>
      <c r="C52" s="3154"/>
      <c r="D52" s="1247">
        <f ca="1">ROUND(D45*'数据-取费表'!B41/(1+'数据-取费表'!C42),0)</f>
        <v>1414</v>
      </c>
      <c r="E52" s="2558" t="s">
        <v>2040</v>
      </c>
      <c r="F52" s="2778">
        <f>'数据-取费表'!B41</f>
        <v>5.6000000000000001E-2</v>
      </c>
      <c r="G52" s="2779"/>
      <c r="H52" s="2768"/>
      <c r="I52" s="1994"/>
      <c r="J52" s="2747">
        <v>1</v>
      </c>
      <c r="K52" s="3222" t="s">
        <v>2041</v>
      </c>
      <c r="L52" s="3222"/>
      <c r="M52" s="2749">
        <f ca="1">D48</f>
        <v>1414</v>
      </c>
      <c r="N52" s="2747" t="str">
        <f>E48</f>
        <v>销售额×税（费）率</v>
      </c>
      <c r="O52" s="2750">
        <f>F48</f>
        <v>5.6000000000000001E-2</v>
      </c>
    </row>
    <row r="53" spans="1:35" ht="12" customHeight="1">
      <c r="A53" s="2559" t="s">
        <v>2042</v>
      </c>
      <c r="B53" s="3180" t="s">
        <v>3037</v>
      </c>
      <c r="C53" s="3181"/>
      <c r="D53" s="1247">
        <f ca="1">ROUND(D45*'数据-取费表'!B41/(1+'数据-取费表'!C42),0)</f>
        <v>1414</v>
      </c>
      <c r="E53" s="2558" t="s">
        <v>2040</v>
      </c>
      <c r="F53" s="2778">
        <f>'数据-取费表'!B41</f>
        <v>5.6000000000000001E-2</v>
      </c>
      <c r="G53" s="2779"/>
      <c r="H53" s="2768"/>
      <c r="I53" s="1994"/>
      <c r="J53" s="2747">
        <v>2</v>
      </c>
      <c r="K53" s="3222" t="s">
        <v>2043</v>
      </c>
      <c r="L53" s="3222"/>
      <c r="M53" s="2749">
        <f t="shared" ref="M53:O54" ca="1" si="0">D55</f>
        <v>13</v>
      </c>
      <c r="N53" s="2747" t="str">
        <f t="shared" si="0"/>
        <v>销售额×税（费）率</v>
      </c>
      <c r="O53" s="2750">
        <f t="shared" si="0"/>
        <v>5.0000000000000001E-4</v>
      </c>
    </row>
    <row r="54" spans="1:35" ht="12" customHeight="1">
      <c r="A54" s="2559" t="s">
        <v>2044</v>
      </c>
      <c r="B54" s="3180" t="s">
        <v>3038</v>
      </c>
      <c r="C54" s="3181"/>
      <c r="D54" s="1247">
        <f ca="1">C68</f>
        <v>1414</v>
      </c>
      <c r="E54" s="333" t="s">
        <v>2045</v>
      </c>
      <c r="F54" s="2778">
        <f>'数据-取费表'!B41</f>
        <v>5.6000000000000001E-2</v>
      </c>
      <c r="G54" s="2779"/>
      <c r="H54" s="2780"/>
      <c r="I54" s="1994"/>
      <c r="J54" s="2747">
        <v>3</v>
      </c>
      <c r="K54" s="3222" t="s">
        <v>2046</v>
      </c>
      <c r="L54" s="3222"/>
      <c r="M54" s="2749">
        <f t="shared" ca="1" si="0"/>
        <v>132</v>
      </c>
      <c r="N54" s="2747" t="str">
        <f t="shared" si="0"/>
        <v>增值额×税（费）率</v>
      </c>
      <c r="O54" s="2751" t="str">
        <f t="shared" si="0"/>
        <v>——</v>
      </c>
    </row>
    <row r="55" spans="1:35" ht="24" customHeight="1">
      <c r="A55" s="3169" t="s">
        <v>2047</v>
      </c>
      <c r="B55" s="3170"/>
      <c r="C55" s="3170"/>
      <c r="D55" s="2548">
        <f ca="1">IF(H55="个人住宅",0,ROUND(D45*I55,0))</f>
        <v>13</v>
      </c>
      <c r="E55" s="2558" t="s">
        <v>2048</v>
      </c>
      <c r="F55" s="2778">
        <f>IF(H55="正常",I55,"免征")</f>
        <v>5.0000000000000001E-4</v>
      </c>
      <c r="G55" s="2779"/>
      <c r="H55" s="2774" t="s">
        <v>3269</v>
      </c>
      <c r="I55" s="170">
        <f>'数据-取费表'!B49</f>
        <v>5.0000000000000001E-4</v>
      </c>
      <c r="J55" s="2747" t="str">
        <f>IF(H59="非个人房产","",4)</f>
        <v/>
      </c>
      <c r="K55" s="3222" t="str">
        <f>IF(H59="非个人房产","——","个人所得税")</f>
        <v>——</v>
      </c>
      <c r="L55" s="3222"/>
      <c r="M55" s="2752" t="str">
        <f>D59</f>
        <v>——</v>
      </c>
      <c r="N55" s="2229" t="str">
        <f>E59</f>
        <v>——</v>
      </c>
      <c r="O55" s="2753" t="str">
        <f>F59</f>
        <v>——</v>
      </c>
    </row>
    <row r="56" spans="1:35" ht="24.75">
      <c r="A56" s="3169" t="s">
        <v>2049</v>
      </c>
      <c r="B56" s="3170"/>
      <c r="C56" s="3170"/>
      <c r="D56" s="2548">
        <f ca="1">IF(H56="个人住宅",D57,D58)</f>
        <v>132</v>
      </c>
      <c r="E56" s="2558" t="s">
        <v>2050</v>
      </c>
      <c r="F56" s="2778" t="str">
        <f>IF(H56="正常",F58,"免征")</f>
        <v>——</v>
      </c>
      <c r="G56" s="2781" t="s">
        <v>2051</v>
      </c>
      <c r="H56" s="2782" t="s">
        <v>3269</v>
      </c>
      <c r="I56" s="1995"/>
      <c r="J56" s="2747" t="str">
        <f>IF(项目基本情况!K6="上海银行",IF(J55="",4,J55+1),"")</f>
        <v/>
      </c>
      <c r="K56" s="3245" t="str">
        <f>IF(项目基本情况!K6="上海银行","其他处置费用","")</f>
        <v/>
      </c>
      <c r="L56" s="3246"/>
      <c r="M56" s="2749" t="str">
        <f>IF(项目基本情况!K6="上海银行",M69,"")</f>
        <v/>
      </c>
      <c r="N56" s="3245" t="str">
        <f>IF(项目基本情况!K6="上海银行","包含处置中涉及的律师、诉讼、拍卖、评估等费用","")</f>
        <v/>
      </c>
      <c r="O56" s="3248"/>
    </row>
    <row r="57" spans="1:35" ht="12.75">
      <c r="A57" s="2559" t="s">
        <v>2027</v>
      </c>
      <c r="B57" s="3180" t="s">
        <v>2052</v>
      </c>
      <c r="C57" s="3181"/>
      <c r="D57" s="1776">
        <v>0</v>
      </c>
      <c r="E57" s="330" t="s">
        <v>2029</v>
      </c>
      <c r="F57" s="308"/>
      <c r="G57" s="2779"/>
      <c r="H57" s="2783"/>
      <c r="I57" s="1995"/>
      <c r="J57" s="3222">
        <f>IF(AND(J55="",J56=""),4,IF(项目基本情况!K6="上海银行",结果表!J56+1,结果表!J55+1))</f>
        <v>4</v>
      </c>
      <c r="K57" s="3222" t="s">
        <v>2053</v>
      </c>
      <c r="L57" s="2754" t="s">
        <v>2054</v>
      </c>
      <c r="M57" s="2755"/>
      <c r="N57" s="2756">
        <f ca="1">SUMIF(M52:M56,"&lt;9e307")</f>
        <v>1559</v>
      </c>
      <c r="O57" s="2757"/>
      <c r="P57" s="2916">
        <f ca="1">N57/M49</f>
        <v>5.8819090737596683E-2</v>
      </c>
    </row>
    <row r="58" spans="1:35" ht="24.75">
      <c r="A58" s="2559" t="s">
        <v>2038</v>
      </c>
      <c r="B58" s="3180" t="s">
        <v>2055</v>
      </c>
      <c r="C58" s="3154"/>
      <c r="D58" s="2548">
        <f ca="1">IF(H58="转让取得",C81,C97)</f>
        <v>132</v>
      </c>
      <c r="E58" s="2558" t="s">
        <v>2050</v>
      </c>
      <c r="F58" s="308" t="s">
        <v>34</v>
      </c>
      <c r="G58" s="2779"/>
      <c r="H58" s="2782" t="s">
        <v>3282</v>
      </c>
      <c r="I58" s="1995"/>
      <c r="J58" s="3222"/>
      <c r="K58" s="3222"/>
      <c r="L58" s="2754" t="s">
        <v>2056</v>
      </c>
      <c r="M58" s="2758"/>
      <c r="N58" s="2759" t="str">
        <f ca="1">NUMBERSTRING(INT(N57*10000),2)&amp;"元整"</f>
        <v>壹仟伍佰伍拾玖万元整</v>
      </c>
      <c r="O58" s="2760"/>
    </row>
    <row r="59" spans="1:35" ht="24.75" thickBot="1">
      <c r="A59" s="3225" t="s">
        <v>2057</v>
      </c>
      <c r="B59" s="3226"/>
      <c r="C59" s="3226"/>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2051</v>
      </c>
      <c r="H59" s="2533" t="s">
        <v>3283</v>
      </c>
      <c r="I59" s="2532" t="s">
        <v>2879</v>
      </c>
      <c r="J59" s="3223">
        <f>J57+1</f>
        <v>5</v>
      </c>
      <c r="K59" s="3222" t="s">
        <v>2058</v>
      </c>
      <c r="L59" s="2747" t="s">
        <v>2054</v>
      </c>
      <c r="M59" s="2761"/>
      <c r="N59" s="2762">
        <f ca="1">M49-N57</f>
        <v>24946</v>
      </c>
      <c r="O59" s="2763"/>
    </row>
    <row r="60" spans="1:35" ht="12" customHeight="1">
      <c r="A60" s="1996"/>
      <c r="B60" s="1934"/>
      <c r="C60" s="1934"/>
      <c r="D60" s="1934"/>
      <c r="E60" s="1764"/>
      <c r="F60" s="1995"/>
      <c r="G60" s="1995"/>
      <c r="H60" s="1997"/>
      <c r="I60" s="134"/>
      <c r="J60" s="3224"/>
      <c r="K60" s="3222"/>
      <c r="L60" s="2754" t="s">
        <v>2056</v>
      </c>
      <c r="M60" s="2758"/>
      <c r="N60" s="2759" t="str">
        <f ca="1">NUMBERSTRING(INT(N59*10000),2)&amp;"元整"</f>
        <v>贰亿肆仟玖佰肆拾陆万元整</v>
      </c>
      <c r="O60" s="2760"/>
    </row>
    <row r="61" spans="1:35" ht="13.5" thickBot="1">
      <c r="A61" s="3167" t="s">
        <v>2059</v>
      </c>
      <c r="B61" s="3167"/>
      <c r="C61" s="3167"/>
      <c r="D61" s="3167"/>
      <c r="E61" s="3167"/>
      <c r="F61" s="1995"/>
      <c r="G61" s="1995"/>
      <c r="H61" s="1997"/>
      <c r="I61" s="134"/>
      <c r="J61" s="2747">
        <f>J59+1</f>
        <v>6</v>
      </c>
      <c r="K61" s="3222" t="s">
        <v>2060</v>
      </c>
      <c r="L61" s="3222"/>
      <c r="M61" s="2764"/>
      <c r="N61" s="2765">
        <f ca="1">ROUND(N59*10000/'数据-汇总表'!E3,0)</f>
        <v>9097</v>
      </c>
      <c r="O61" s="2766"/>
    </row>
    <row r="62" spans="1:35" ht="12.75">
      <c r="A62" s="3185" t="s">
        <v>2061</v>
      </c>
      <c r="B62" s="3186"/>
      <c r="C62" s="2210"/>
      <c r="D62" s="2210" t="s">
        <v>2062</v>
      </c>
      <c r="E62" s="171" t="s">
        <v>2063</v>
      </c>
      <c r="F62" s="1995"/>
      <c r="G62" s="1995"/>
      <c r="H62" s="1997"/>
      <c r="I62" s="134"/>
    </row>
    <row r="63" spans="1:35" ht="12.75">
      <c r="A63" s="178" t="s">
        <v>775</v>
      </c>
      <c r="B63" s="172" t="s">
        <v>2064</v>
      </c>
      <c r="C63" s="2788">
        <f ca="1">ROUND((C64+C65)/(1+'数据-取费表'!C42),0)</f>
        <v>25243</v>
      </c>
      <c r="D63" s="172"/>
      <c r="E63" s="173"/>
      <c r="F63" s="1995"/>
      <c r="G63" s="1995"/>
      <c r="H63" s="1997"/>
      <c r="I63" s="134"/>
      <c r="J63" s="3247" t="s">
        <v>2065</v>
      </c>
      <c r="K63" s="1502" t="s">
        <v>2066</v>
      </c>
      <c r="L63" s="1502">
        <f ca="1">IF(M49&gt;10000,M49*0.5%,IF(AND(M49&gt;1000,M49&lt;=10000),M49*1%,IF(AND(M49&gt;100,M49&lt;=1000),M49*3%,IF(AND(M49&gt;10,M49&lt;=100),M49*5%,M49*8%))))</f>
        <v>132.52500000000001</v>
      </c>
      <c r="M63" s="308">
        <f ca="1">ROUND(L63,1)</f>
        <v>132.5</v>
      </c>
      <c r="N63" s="2767"/>
      <c r="Z63" s="1939"/>
      <c r="AI63" s="1940"/>
    </row>
    <row r="64" spans="1:35" ht="14.25" customHeight="1">
      <c r="A64" s="174" t="s">
        <v>770</v>
      </c>
      <c r="B64" s="175" t="s">
        <v>2067</v>
      </c>
      <c r="C64" s="2789">
        <f ca="1">D45</f>
        <v>26505</v>
      </c>
      <c r="D64" s="175" t="s">
        <v>32</v>
      </c>
      <c r="E64" s="177"/>
      <c r="F64" s="1995"/>
      <c r="G64" s="1995"/>
      <c r="H64" s="1997"/>
      <c r="I64" s="134"/>
      <c r="J64" s="3247"/>
      <c r="K64" s="1502" t="s">
        <v>2068</v>
      </c>
      <c r="L64" s="1502">
        <f ca="1">IF(M49&gt;2000,M49*0.5%,IF(AND(M49&gt;1000,M49&lt;=2000),M49*0.6%,IF(AND(M49&gt;500,M49&lt;=1000),M49*0.7%,IF(AND(M49&gt;200,M49&lt;=500),M49*0.8%,IF(AND(M49&gt;100,M49&lt;=200),M49*0.9%,IF(AND(M49&gt;50,M49&lt;=100),M49*1%,IF(AND(M49&gt;20,M49&lt;=50),M49*1.5%,IF(AND(M49&gt;10,M49&lt;=20),M49*2%,IF(AND(M49&gt;1,M49&lt;=10),M49*2.5%)))))))))</f>
        <v>132.52500000000001</v>
      </c>
      <c r="M64" s="308">
        <f t="shared" ref="M64:M65" ca="1" si="1">ROUND(L64,1)</f>
        <v>132.5</v>
      </c>
      <c r="N64" s="2768" t="s">
        <v>2069</v>
      </c>
      <c r="Z64" s="1939"/>
      <c r="AI64" s="1940"/>
    </row>
    <row r="65" spans="1:35" ht="14.25" customHeight="1">
      <c r="A65" s="174" t="s">
        <v>771</v>
      </c>
      <c r="B65" s="175" t="s">
        <v>2070</v>
      </c>
      <c r="C65" s="2790"/>
      <c r="D65" s="175"/>
      <c r="E65" s="177"/>
      <c r="F65" s="1995"/>
      <c r="G65" s="1995"/>
      <c r="H65" s="1997"/>
      <c r="I65" s="134"/>
      <c r="J65" s="3247"/>
      <c r="K65" s="1502" t="s">
        <v>2071</v>
      </c>
      <c r="L65" s="1502">
        <f ca="1">IF(M49&gt;1000,M49*0.1%,IF(AND(M49&gt;500,M49&lt;=1000),M49*0.5%,IF(AND(M49&gt;50,M49&lt;=500),M49*1%,IF(AND(M49&gt;1,M49&lt;=50),M49*1.5%))))</f>
        <v>26.504999999999999</v>
      </c>
      <c r="M65" s="308">
        <f t="shared" ca="1" si="1"/>
        <v>26.5</v>
      </c>
      <c r="N65" s="2768" t="s">
        <v>2069</v>
      </c>
      <c r="Z65" s="1939"/>
      <c r="AI65" s="1940"/>
    </row>
    <row r="66" spans="1:35" ht="14.25" customHeight="1">
      <c r="A66" s="178" t="s">
        <v>772</v>
      </c>
      <c r="B66" s="179" t="s">
        <v>2072</v>
      </c>
      <c r="C66" s="2791"/>
      <c r="D66" s="179" t="s">
        <v>32</v>
      </c>
      <c r="E66" s="1510" t="s">
        <v>1337</v>
      </c>
      <c r="F66" s="1995"/>
      <c r="G66" s="1995"/>
      <c r="H66" s="1997"/>
      <c r="I66" s="134"/>
      <c r="J66" s="3247"/>
      <c r="K66" s="1502" t="s">
        <v>2073</v>
      </c>
      <c r="L66" s="1502">
        <f ca="1">M49*0.5%</f>
        <v>132.52500000000001</v>
      </c>
      <c r="M66" s="308">
        <f ca="1">IF(L66&gt;0.5,0.5,ROUND(L66,0))</f>
        <v>0.5</v>
      </c>
      <c r="N66" s="2768" t="s">
        <v>2074</v>
      </c>
      <c r="Z66" s="1939"/>
      <c r="AI66" s="1940"/>
    </row>
    <row r="67" spans="1:35" ht="14.25" customHeight="1">
      <c r="A67" s="178" t="s">
        <v>773</v>
      </c>
      <c r="B67" s="179" t="s">
        <v>2075</v>
      </c>
      <c r="C67" s="2792">
        <f ca="1">C63-C66</f>
        <v>25243</v>
      </c>
      <c r="D67" s="175" t="s">
        <v>32</v>
      </c>
      <c r="E67" s="177"/>
      <c r="F67" s="1995"/>
      <c r="G67" s="1995"/>
      <c r="H67" s="1997"/>
      <c r="I67" s="134"/>
      <c r="J67" s="3247"/>
      <c r="K67" s="1502" t="s">
        <v>2076</v>
      </c>
      <c r="L67" s="1502">
        <f ca="1">IF(M49&gt;=10000,(8.25+(M49-10000)*0.01%),IF(AND(M49&gt;=8000,M49&lt;10000),(7.85+(M49-8000)*0.02%),IF(AND(M49&gt;=5000,M49&lt;8000),(6.65+(M49-5000)*0.04%),IF(AND(M49&gt;=2000,M49&lt;5000),(4.25+(PM49-2000)*0.08%),IF(AND(M49&gt;=1000,M49&lt;2000),(2.75+(M49-1000)*0.15%),IF(AND(M49&gt;=100,M49&lt;1000),(0.5+(M49-100)*0.25%),IF(AND(M49&gt;0,M49&lt;100),M49*0.5%)))))))</f>
        <v>9.900500000000001</v>
      </c>
      <c r="M67" s="308">
        <f ca="1">ROUND(L67*0.9,1)</f>
        <v>8.9</v>
      </c>
      <c r="N67" s="2767"/>
      <c r="Z67" s="1939"/>
      <c r="AI67" s="1940"/>
    </row>
    <row r="68" spans="1:35" ht="14.25" customHeight="1" thickBot="1">
      <c r="A68" s="181" t="s">
        <v>774</v>
      </c>
      <c r="B68" s="182" t="s">
        <v>2077</v>
      </c>
      <c r="C68" s="2793">
        <f ca="1">IF(C67&lt;=0,0,ROUND(C67*D68,0))</f>
        <v>1414</v>
      </c>
      <c r="D68" s="2794">
        <f>'数据-取费表'!B41</f>
        <v>5.6000000000000001E-2</v>
      </c>
      <c r="E68" s="184"/>
      <c r="F68" s="1995"/>
      <c r="G68" s="1995"/>
      <c r="H68" s="1997"/>
      <c r="I68" s="134"/>
      <c r="J68" s="3247"/>
      <c r="K68" s="1502" t="s">
        <v>2078</v>
      </c>
      <c r="L68" s="1502">
        <f ca="1">IF(M49&gt;10000,M49*0.5%,IF(AND(M49&gt;5000,M49&lt;=10000),M49*1%,IF(AND(M49&gt;1000,M49&lt;=5000),M49*2%,IF(AND(M49&gt;200,M49&lt;=1000),M49*3%,M49*5%))))</f>
        <v>132.52500000000001</v>
      </c>
      <c r="M68" s="308">
        <f ca="1">ROUND(L68,1)</f>
        <v>132.5</v>
      </c>
      <c r="N68" s="2767"/>
      <c r="Z68" s="1939"/>
      <c r="AI68" s="1940"/>
    </row>
    <row r="69" spans="1:35" s="1959" customFormat="1" ht="16.5" customHeight="1">
      <c r="A69" s="1998"/>
      <c r="B69" s="1999"/>
      <c r="C69" s="2000"/>
      <c r="D69" s="2001"/>
      <c r="E69" s="2002"/>
      <c r="F69" s="1764"/>
      <c r="G69" s="1764"/>
      <c r="H69" s="1763"/>
      <c r="I69" s="1934"/>
      <c r="J69" s="3247"/>
      <c r="K69" s="1502" t="s">
        <v>2079</v>
      </c>
      <c r="L69" s="1502"/>
      <c r="M69" s="308">
        <f ca="1">ROUND(SUM(M63:M68),0)</f>
        <v>433</v>
      </c>
      <c r="N69" s="2769">
        <f ca="1">M69/M49</f>
        <v>1.6336540275419732E-2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6" t="s">
        <v>2080</v>
      </c>
      <c r="B70" s="3207"/>
      <c r="C70" s="3207"/>
      <c r="D70" s="3207"/>
      <c r="E70" s="3207"/>
      <c r="F70" s="3207"/>
      <c r="G70" s="3207"/>
      <c r="H70" s="3207"/>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85" t="s">
        <v>2061</v>
      </c>
      <c r="B71" s="3186"/>
      <c r="C71" s="2210"/>
      <c r="D71" s="2210" t="s">
        <v>2062</v>
      </c>
      <c r="E71" s="185" t="s">
        <v>2063</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2">
        <f ca="1">ROUND(D45/(1+'数据-取费表'!C42),0)</f>
        <v>25243</v>
      </c>
      <c r="D72" s="175" t="s">
        <v>32</v>
      </c>
      <c r="E72" s="2555"/>
      <c r="F72" s="2554"/>
      <c r="G72" s="2554"/>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2">
        <f ca="1">C74+C78</f>
        <v>151</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5"/>
      <c r="D75" s="175" t="s">
        <v>32</v>
      </c>
      <c r="E75" s="190" t="s">
        <v>2085</v>
      </c>
      <c r="F75" s="2796"/>
      <c r="G75" s="190" t="s">
        <v>2086</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798">
        <v>0.05</v>
      </c>
      <c r="E76" s="3180" t="s">
        <v>2088</v>
      </c>
      <c r="F76" s="3154"/>
      <c r="G76" s="3154"/>
      <c r="H76" s="3205"/>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799">
        <f>'数据-取费表'!B48+'数据-取费表'!B49</f>
        <v>4.0500000000000001E-2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0">
        <f ca="1">ROUND(D45*D78/(1+'数据-取费表'!C42),0)</f>
        <v>151</v>
      </c>
      <c r="D78" s="2801">
        <f>'数据-取费表'!B43</f>
        <v>6.000000000000001E-3</v>
      </c>
      <c r="E78" s="3164" t="s">
        <v>2092</v>
      </c>
      <c r="F78" s="3165"/>
      <c r="G78" s="3165"/>
      <c r="H78" s="3174"/>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2">
        <f ca="1">C72-C73</f>
        <v>25092</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2">
        <f ca="1">IF(C79&lt;=0,0,C79/C73)</f>
        <v>166.17218543046357</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3">
        <f ca="1">ROUND(IF(C79&lt;=0,0,IF(C80&gt;=200%,C79*60%-C73*35%,IF(C80&gt;=100%,C79*50%-C73*15%,IF(C80&gt;=50%,C79*40%-C73*5%,IF(C80&lt;50%,C79*30%,0))))),0)</f>
        <v>15002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6" t="s">
        <v>2096</v>
      </c>
      <c r="B83" s="3207"/>
      <c r="C83" s="3207"/>
      <c r="D83" s="3207"/>
      <c r="E83" s="3207"/>
      <c r="F83" s="3207"/>
      <c r="G83" s="3207"/>
      <c r="H83" s="3207"/>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85" t="s">
        <v>2061</v>
      </c>
      <c r="B84" s="3186"/>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2">
        <f ca="1">ROUND(D45/(1+'数据-取费表'!C42),0)</f>
        <v>25243</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2">
        <f ca="1">IF(H88="仅含出让金",C87+C90+C91+C92+C93+C94,C87+C91+C92+C93+C94)</f>
        <v>24803</v>
      </c>
      <c r="D86" s="2805"/>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0">
        <f>C88+C89</f>
        <v>505</v>
      </c>
      <c r="D87" s="2801"/>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6">
        <v>485</v>
      </c>
      <c r="D88" s="2801"/>
      <c r="E88" s="199" t="s">
        <v>2099</v>
      </c>
      <c r="F88" s="2551"/>
      <c r="G88" s="200" t="s">
        <v>2100</v>
      </c>
      <c r="H88" s="2011" t="s">
        <v>3284</v>
      </c>
      <c r="I88" s="2008"/>
      <c r="J88" s="2745"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0">
        <f>ROUND(C88*D89,0)</f>
        <v>20</v>
      </c>
      <c r="D89" s="2801">
        <f>'数据-取费表'!B48+'数据-取费表'!B49</f>
        <v>4.0500000000000001E-2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6"/>
      <c r="D90" s="2801"/>
      <c r="E90" s="199" t="str">
        <f>IF(H88="-","土地取得成本中已包含该笔费用"," ")</f>
        <v xml:space="preserve"> </v>
      </c>
      <c r="F90" s="2551"/>
      <c r="G90" s="3249" t="s">
        <v>2871</v>
      </c>
      <c r="H90" s="3250"/>
      <c r="I90" s="2008"/>
      <c r="J90" s="2745"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0">
        <f ca="1">IF(H91="——",成本法!C33,I91)</f>
        <v>18458</v>
      </c>
      <c r="D91" s="2801"/>
      <c r="E91" s="3164" t="s">
        <v>2105</v>
      </c>
      <c r="F91" s="3165"/>
      <c r="G91" s="3165"/>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0">
        <f ca="1">ROUND((C87+C90+C91)*D92,0)</f>
        <v>1896</v>
      </c>
      <c r="D92" s="2807">
        <v>0.1</v>
      </c>
      <c r="E92" s="3164" t="s">
        <v>2108</v>
      </c>
      <c r="F92" s="3165"/>
      <c r="G92" s="3165"/>
      <c r="H92" s="3174"/>
      <c r="I92" s="2008"/>
      <c r="J92" s="2746"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0">
        <f ca="1">ROUND(D45*D93/(1+'数据-取费表'!C42),0)</f>
        <v>151</v>
      </c>
      <c r="D93" s="2801">
        <f>'数据-取费表'!B43</f>
        <v>6.000000000000001E-3</v>
      </c>
      <c r="E93" s="3164" t="s">
        <v>2092</v>
      </c>
      <c r="F93" s="3165"/>
      <c r="G93" s="3165"/>
      <c r="H93" s="3174"/>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6">
        <f ca="1">ROUND((C87+C90+C91)*D94,0)</f>
        <v>3793</v>
      </c>
      <c r="D94" s="2801">
        <v>0.2</v>
      </c>
      <c r="E94" s="3175" t="s">
        <v>2112</v>
      </c>
      <c r="F94" s="3176"/>
      <c r="G94" s="3176"/>
      <c r="H94" s="317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2">
        <f ca="1">ROUND(C85-C86,0)</f>
        <v>440</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2">
        <f ca="1">IF(C95&lt;=0,0,C95/C86)</f>
        <v>1.7739789541587711E-2</v>
      </c>
      <c r="D96" s="175" t="s">
        <v>32</v>
      </c>
      <c r="E96" s="2548" t="str">
        <f ca="1">IF(C96&gt;=200%,"增值额超过扣除项目金额200%",IF(C96&gt;=100%,"增值额超过扣除项目金额100%，未超过200%",IF(C96&gt;=50%,"增值额超过扣除项目金额50%，未超过100%",IF(C96&lt;50%,"增值额未超过扣除项目金额50%"))))</f>
        <v>增值额未超过扣除项目金额50%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3">
        <f ca="1">ROUND(IF(C95&lt;=0,0,IF(C96&gt;=200%,C95*60%-C86*35%,IF(C96&gt;=100%,C95*50%-C86*15%,IF(C96&gt;=50%,C95*40%-C86*5%,IF(C96&lt;50%,C95*30%,0))))),0)</f>
        <v>132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48" t="s">
        <v>2114</v>
      </c>
      <c r="B100" s="3149"/>
      <c r="C100" s="3149"/>
      <c r="D100" s="3166"/>
      <c r="E100" s="3149" t="s">
        <v>2115</v>
      </c>
      <c r="F100" s="3149"/>
      <c r="G100" s="3149"/>
      <c r="H100" s="3166"/>
      <c r="I100" s="134"/>
    </row>
    <row r="101" spans="1:35" ht="18.75" customHeight="1">
      <c r="A101" s="3230" t="s">
        <v>2116</v>
      </c>
      <c r="B101" s="3231"/>
      <c r="C101" s="2809" t="str">
        <f>C4</f>
        <v>成本法</v>
      </c>
      <c r="D101" s="2810" t="str">
        <f>D4</f>
        <v>收益法</v>
      </c>
      <c r="E101" s="3244" t="s">
        <v>2117</v>
      </c>
      <c r="F101" s="3198"/>
      <c r="G101" s="2014" t="s">
        <v>2118</v>
      </c>
      <c r="H101" s="2819">
        <f ca="1">H118</f>
        <v>26505</v>
      </c>
      <c r="I101" s="134"/>
    </row>
    <row r="102" spans="1:35" ht="18.75" customHeight="1">
      <c r="A102" s="3200" t="s">
        <v>2119</v>
      </c>
      <c r="B102" s="2808" t="s">
        <v>2118</v>
      </c>
      <c r="C102" s="2809">
        <f ca="1">C19</f>
        <v>26505</v>
      </c>
      <c r="D102" s="2810">
        <f ca="1">D19</f>
        <v>27373</v>
      </c>
      <c r="E102" s="3244"/>
      <c r="F102" s="3198"/>
      <c r="G102" s="2014" t="s">
        <v>2120</v>
      </c>
      <c r="H102" s="2779">
        <f ca="1">I118</f>
        <v>9666</v>
      </c>
      <c r="I102" s="134"/>
    </row>
    <row r="103" spans="1:35" ht="42.75" customHeight="1">
      <c r="A103" s="3200"/>
      <c r="B103" s="2808" t="s">
        <v>2120</v>
      </c>
      <c r="C103" s="2811">
        <f ca="1">C20</f>
        <v>9666</v>
      </c>
      <c r="D103" s="2812">
        <f ca="1">D20</f>
        <v>9982</v>
      </c>
      <c r="E103" s="3238" t="s">
        <v>2121</v>
      </c>
      <c r="F103" s="3239"/>
      <c r="G103" s="2015" t="s">
        <v>2122</v>
      </c>
      <c r="H103" s="2819">
        <f>IF(D36="正常操作",H104+H105+H106,H105+H106)</f>
        <v>0</v>
      </c>
      <c r="I103" s="134"/>
    </row>
    <row r="104" spans="1:35" ht="18.75" customHeight="1">
      <c r="A104" s="3200" t="s">
        <v>2123</v>
      </c>
      <c r="B104" s="2813" t="s">
        <v>2118</v>
      </c>
      <c r="C104" s="2814">
        <f ca="1">H118</f>
        <v>26505</v>
      </c>
      <c r="D104" s="2815"/>
      <c r="E104" s="1861" t="s">
        <v>2124</v>
      </c>
      <c r="F104" s="1852"/>
      <c r="G104" s="2015" t="s">
        <v>2122</v>
      </c>
      <c r="H104" s="2820">
        <f>IF(D36="同一抵押权人同一抵押物续贷",C36&amp;"（续贷，未扣减，详见特别提示）",C36)</f>
        <v>0</v>
      </c>
      <c r="I104" s="134"/>
    </row>
    <row r="105" spans="1:35" ht="18.75" customHeight="1" thickBot="1">
      <c r="A105" s="3201"/>
      <c r="B105" s="2816" t="s">
        <v>2120</v>
      </c>
      <c r="C105" s="2817">
        <f ca="1">I118</f>
        <v>9666</v>
      </c>
      <c r="D105" s="2818"/>
      <c r="E105" s="1861" t="s">
        <v>2125</v>
      </c>
      <c r="F105" s="1852"/>
      <c r="G105" s="2015" t="s">
        <v>2122</v>
      </c>
      <c r="H105" s="2821">
        <f>C37</f>
        <v>0</v>
      </c>
      <c r="I105" s="134"/>
    </row>
    <row r="106" spans="1:35" ht="18.75" customHeight="1">
      <c r="A106" s="1934" t="s">
        <v>2126</v>
      </c>
      <c r="B106" s="1934"/>
      <c r="C106" s="1934"/>
      <c r="D106" s="1934"/>
      <c r="E106" s="2016" t="s">
        <v>2127</v>
      </c>
      <c r="F106" s="1852"/>
      <c r="G106" s="2015" t="s">
        <v>2122</v>
      </c>
      <c r="H106" s="2821">
        <f>C38</f>
        <v>0</v>
      </c>
      <c r="I106" s="134"/>
    </row>
    <row r="107" spans="1:35" ht="18.75" customHeight="1">
      <c r="A107" s="134"/>
      <c r="B107" s="134"/>
      <c r="C107" s="134"/>
      <c r="D107" s="134"/>
      <c r="E107" s="3197" t="str">
        <f>IF(项目基本情况!E8="已注销","——","3.房地产抵押价值")</f>
        <v>3.房地产抵押价值</v>
      </c>
      <c r="F107" s="3198"/>
      <c r="G107" s="2014" t="s">
        <v>2118</v>
      </c>
      <c r="H107" s="2819">
        <f ca="1">IF(E107="——","——",H101-H103)</f>
        <v>26505</v>
      </c>
      <c r="I107" s="134"/>
    </row>
    <row r="108" spans="1:35" ht="18.75" customHeight="1">
      <c r="A108" s="134"/>
      <c r="B108" s="134"/>
      <c r="C108" s="134"/>
      <c r="D108" s="134"/>
      <c r="E108" s="3197"/>
      <c r="F108" s="3198"/>
      <c r="G108" s="2014" t="s">
        <v>2120</v>
      </c>
      <c r="H108" s="2779">
        <f ca="1">ROUND(H107*10000/'数据-汇总表'!E3,0)</f>
        <v>9666</v>
      </c>
      <c r="I108" s="134"/>
    </row>
    <row r="109" spans="1:35" ht="18.75" customHeight="1">
      <c r="A109" s="134"/>
      <c r="B109" s="134"/>
      <c r="C109" s="134"/>
      <c r="D109" s="134"/>
      <c r="E109" s="3197" t="str">
        <f>IF(项目基本情况!E8="已注销及未注销","4.抵押担保权已注销时的房地产抵押价值",IF(项目基本情况!E8="已注销","3.抵押担保权已注销时的房地产抵押价值","——"))</f>
        <v>——</v>
      </c>
      <c r="F109" s="3198"/>
      <c r="G109" s="2014" t="s">
        <v>2118</v>
      </c>
      <c r="H109" s="2822" t="str">
        <f>IF(E109="——","——",H101-H105-H106)</f>
        <v>——</v>
      </c>
      <c r="I109" s="134"/>
    </row>
    <row r="110" spans="1:35" ht="18.75" customHeight="1">
      <c r="A110" s="134"/>
      <c r="B110" s="134"/>
      <c r="C110" s="134"/>
      <c r="D110" s="134"/>
      <c r="E110" s="3197"/>
      <c r="F110" s="3198"/>
      <c r="G110" s="2014" t="s">
        <v>2120</v>
      </c>
      <c r="H110" s="2779" t="str">
        <f>IF(H109="——","——",ROUND(H109*10000/'数据-汇总表'!E3,0))</f>
        <v>——</v>
      </c>
      <c r="I110" s="134"/>
    </row>
    <row r="111" spans="1:35" ht="18.75" customHeight="1">
      <c r="A111" s="134"/>
      <c r="B111" s="134"/>
      <c r="C111" s="134"/>
      <c r="D111" s="134"/>
      <c r="E111" s="3232" t="str">
        <f>IF(项目基本情况!E9="抵押净值",IF(OR(项目基本情况!E8="已注销",项目基本情况!E8="房地产抵押价值"),"4.抵押净值","5.抵押净值"),"——")</f>
        <v>4.抵押净值</v>
      </c>
      <c r="F111" s="3199"/>
      <c r="G111" s="2014" t="s">
        <v>2118</v>
      </c>
      <c r="H111" s="2819">
        <f ca="1">IF(E111="——","——",N59)</f>
        <v>24946</v>
      </c>
      <c r="I111" s="134"/>
    </row>
    <row r="112" spans="1:35" ht="18.75" customHeight="1" thickBot="1">
      <c r="A112" s="134"/>
      <c r="B112" s="134"/>
      <c r="C112" s="134"/>
      <c r="D112" s="134"/>
      <c r="E112" s="3233"/>
      <c r="F112" s="3234"/>
      <c r="G112" s="2017" t="s">
        <v>2120</v>
      </c>
      <c r="H112" s="2823">
        <f ca="1">IF(E111="——","——",N61)</f>
        <v>9097</v>
      </c>
      <c r="I112" s="134"/>
    </row>
    <row r="113" spans="1:27" ht="18.75" customHeight="1">
      <c r="A113" s="134"/>
      <c r="B113" s="134"/>
      <c r="C113" s="134"/>
      <c r="D113" s="134"/>
      <c r="E113" s="3202" t="s">
        <v>2126</v>
      </c>
      <c r="F113" s="3202"/>
      <c r="G113" s="3202"/>
      <c r="H113" s="3202"/>
      <c r="I113" s="134"/>
    </row>
    <row r="114" spans="1:27" ht="3.75" customHeight="1">
      <c r="A114" s="1934"/>
      <c r="B114" s="1934"/>
      <c r="C114" s="1934"/>
      <c r="D114" s="1934"/>
      <c r="E114" s="1996"/>
      <c r="F114" s="1996"/>
      <c r="G114" s="1996"/>
      <c r="H114" s="1996"/>
      <c r="I114" s="1934"/>
    </row>
    <row r="115" spans="1:27" ht="18.75" customHeight="1">
      <c r="A115" s="3215" t="s">
        <v>2128</v>
      </c>
      <c r="B115" s="3216"/>
      <c r="C115" s="3216"/>
      <c r="D115" s="3216"/>
      <c r="E115" s="3216"/>
      <c r="F115" s="3216"/>
      <c r="G115" s="3216"/>
      <c r="H115" s="3216"/>
      <c r="I115" s="3217"/>
    </row>
    <row r="116" spans="1:27" ht="27" customHeight="1">
      <c r="A116" s="3168" t="s">
        <v>2129</v>
      </c>
      <c r="B116" s="3203" t="s">
        <v>2130</v>
      </c>
      <c r="C116" s="3203" t="s">
        <v>2131</v>
      </c>
      <c r="D116" s="3219" t="s">
        <v>2132</v>
      </c>
      <c r="E116" s="3220"/>
      <c r="F116" s="3211" t="s">
        <v>2133</v>
      </c>
      <c r="G116" s="3211"/>
      <c r="H116" s="3168" t="s">
        <v>2134</v>
      </c>
      <c r="I116" s="3168"/>
    </row>
    <row r="117" spans="1:27" ht="18.75" customHeight="1">
      <c r="A117" s="3168"/>
      <c r="B117" s="3204"/>
      <c r="C117" s="3204"/>
      <c r="D117" s="2553" t="s">
        <v>2135</v>
      </c>
      <c r="E117" s="2553" t="s">
        <v>2136</v>
      </c>
      <c r="F117" s="2553" t="s">
        <v>2135</v>
      </c>
      <c r="G117" s="2553" t="s">
        <v>2137</v>
      </c>
      <c r="H117" s="2553" t="s">
        <v>2135</v>
      </c>
      <c r="I117" s="2553" t="s">
        <v>2137</v>
      </c>
    </row>
    <row r="118" spans="1:27" ht="24.75" customHeight="1">
      <c r="A118" s="2824" t="str">
        <f>项目基本情况!S2</f>
        <v>杭州市滨江区长河街道越达巷82号工业用房房地产</v>
      </c>
      <c r="B118" s="2553">
        <f>M18</f>
        <v>27421.7</v>
      </c>
      <c r="C118" s="2553">
        <f>M19</f>
        <v>9989</v>
      </c>
      <c r="D118" s="2553">
        <f ca="1">ROUND(IF(D32="总价",C34,E118*B118/10000),0)</f>
        <v>2650</v>
      </c>
      <c r="E118" s="2553">
        <f ca="1">ROUND(IF(C33="自定义",IF(D32="楼面单价",C34,D118*10000/B118),I118-G118),0)</f>
        <v>967</v>
      </c>
      <c r="F118" s="2553">
        <f ca="1">ROUND(IF(D32="总价",C35,G118*B118/10000),0)</f>
        <v>23855</v>
      </c>
      <c r="G118" s="2553">
        <f ca="1">ROUND(IF(D32="楼面单价",C35,F118*10000/B118),0)</f>
        <v>8699</v>
      </c>
      <c r="H118" s="2553">
        <f ca="1">ROUND(IF(D32="总价",C32,I118*B118/10000),0)</f>
        <v>26505</v>
      </c>
      <c r="I118" s="2553">
        <f ca="1">ROUND(IF(D32="楼面单价",C32,H118*10000/B118),0)</f>
        <v>9666</v>
      </c>
    </row>
    <row r="119" spans="1:27" ht="18.75" customHeight="1">
      <c r="A119" s="3168" t="s">
        <v>2138</v>
      </c>
      <c r="B119" s="3168"/>
      <c r="C119" s="3168"/>
      <c r="D119" s="3208" t="str">
        <f ca="1">NUMBERSTRING(INT(D118*10000),2)&amp;"元整"</f>
        <v>贰仟陆佰伍拾万元整</v>
      </c>
      <c r="E119" s="3210"/>
      <c r="F119" s="3208" t="str">
        <f ca="1">NUMBERSTRING(INT(F118*10000),2)&amp;"元整"</f>
        <v>贰亿叁仟捌佰伍拾伍万元整</v>
      </c>
      <c r="G119" s="3210"/>
      <c r="H119" s="3208" t="str">
        <f ca="1">NUMBERSTRING(INT(H118*10000),2)&amp;"元整"</f>
        <v>贰亿陆仟伍佰零伍万元整</v>
      </c>
      <c r="I119" s="3210"/>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12" t="s">
        <v>2138</v>
      </c>
      <c r="B121" s="3213"/>
      <c r="C121" s="3214"/>
      <c r="D121" s="3208" t="str">
        <f>IF(D120=0,"零元整",NUMBERSTRING(INT(D120*10000),2)&amp;"元整")</f>
        <v>零元整</v>
      </c>
      <c r="E121" s="3209"/>
      <c r="F121" s="3209"/>
      <c r="G121" s="3209"/>
      <c r="H121" s="3209"/>
      <c r="I121" s="3210"/>
      <c r="AA121" s="734"/>
    </row>
    <row r="122" spans="1:27" ht="18.75" customHeight="1">
      <c r="A122" s="3199" t="str">
        <f>IF(项目基本情况!B9="房地产市场价值","",MID(E107,3,LEN(E107)-2))</f>
        <v>房地产抵押价值</v>
      </c>
      <c r="B122" s="3199"/>
      <c r="C122" s="3199"/>
      <c r="D122" s="3235">
        <f ca="1">H107</f>
        <v>26505</v>
      </c>
      <c r="E122" s="3236"/>
      <c r="F122" s="3236"/>
      <c r="G122" s="3236"/>
      <c r="H122" s="3236"/>
      <c r="I122" s="3237"/>
      <c r="AA122" s="734"/>
    </row>
    <row r="123" spans="1:27" ht="18.75" customHeight="1">
      <c r="A123" s="3168" t="s">
        <v>2138</v>
      </c>
      <c r="B123" s="3168"/>
      <c r="C123" s="3168"/>
      <c r="D123" s="3208" t="str">
        <f ca="1">NUMBERSTRING(INT(D122*10000),2)&amp;"元整"</f>
        <v>贰亿陆仟伍佰零伍万元整</v>
      </c>
      <c r="E123" s="3209"/>
      <c r="F123" s="3209"/>
      <c r="G123" s="3209"/>
      <c r="H123" s="3209"/>
      <c r="I123" s="3210"/>
      <c r="AA123" s="734"/>
    </row>
    <row r="124" spans="1:27" ht="18.75" customHeight="1">
      <c r="A124" s="3199" t="str">
        <f>IF(项目基本情况!B9="房地产市场价值","",MID(E109,3,LEN(E109)-2))</f>
        <v/>
      </c>
      <c r="B124" s="3199"/>
      <c r="C124" s="3199"/>
      <c r="D124" s="3235" t="str">
        <f>H109</f>
        <v>——</v>
      </c>
      <c r="E124" s="3236"/>
      <c r="F124" s="3236"/>
      <c r="G124" s="3236"/>
      <c r="H124" s="3236"/>
      <c r="I124" s="3237"/>
      <c r="AA124" s="734"/>
    </row>
    <row r="125" spans="1:27" ht="18.75" customHeight="1">
      <c r="A125" s="3168" t="s">
        <v>2138</v>
      </c>
      <c r="B125" s="3168"/>
      <c r="C125" s="3168"/>
      <c r="D125" s="3208" t="e">
        <f>NUMBERSTRING(INT(D124*10000),2)&amp;"元整"</f>
        <v>#VALUE!</v>
      </c>
      <c r="E125" s="3209"/>
      <c r="F125" s="3209"/>
      <c r="G125" s="3209"/>
      <c r="H125" s="3209"/>
      <c r="I125" s="3210"/>
      <c r="AA125" s="734"/>
    </row>
    <row r="126" spans="1:27" ht="18.75" customHeight="1">
      <c r="A126" s="3199" t="str">
        <f>IF(项目基本情况!B9="房地产市场价值","",MID(E111,3,LEN(E111)-2))</f>
        <v>抵押净值</v>
      </c>
      <c r="B126" s="3199"/>
      <c r="C126" s="3199"/>
      <c r="D126" s="3235">
        <f ca="1">H111</f>
        <v>24946</v>
      </c>
      <c r="E126" s="3236"/>
      <c r="F126" s="3236"/>
      <c r="G126" s="3236"/>
      <c r="H126" s="3236"/>
      <c r="I126" s="3237"/>
      <c r="AA126" s="734"/>
    </row>
    <row r="127" spans="1:27" ht="18.75" customHeight="1">
      <c r="A127" s="3168" t="s">
        <v>2138</v>
      </c>
      <c r="B127" s="3168"/>
      <c r="C127" s="3168"/>
      <c r="D127" s="3208" t="str">
        <f ca="1">NUMBERSTRING(INT(D126*10000),2)&amp;"元整"</f>
        <v>贰亿肆仟玖佰肆拾陆万元整</v>
      </c>
      <c r="E127" s="3209"/>
      <c r="F127" s="3209"/>
      <c r="G127" s="3209"/>
      <c r="H127" s="3209"/>
      <c r="I127" s="3210"/>
      <c r="AA127" s="734"/>
    </row>
    <row r="128" spans="1:27" ht="21.75" customHeight="1">
      <c r="A128" s="3218" t="s">
        <v>2139</v>
      </c>
      <c r="B128" s="3218"/>
      <c r="C128" s="3218"/>
      <c r="D128" s="3218"/>
      <c r="E128" s="3218"/>
      <c r="F128" s="3218"/>
      <c r="G128" s="3218"/>
      <c r="H128" s="3218"/>
      <c r="I128" s="3218"/>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115" zoomScaleNormal="70" zoomScaleSheetLayoutView="115"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7</v>
      </c>
    </row>
    <row r="2" spans="1:9" s="206" customFormat="1" ht="18" customHeight="1">
      <c r="A2" s="207" t="s">
        <v>2148</v>
      </c>
      <c r="B2" s="208">
        <f ca="1">IF(D2="——",C52,C52-E2)</f>
        <v>26505</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9666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1930</v>
      </c>
      <c r="D5" s="217" t="s">
        <v>2155</v>
      </c>
      <c r="E5" s="218" t="s">
        <v>2156</v>
      </c>
      <c r="F5" s="218" t="s">
        <v>2157</v>
      </c>
      <c r="G5" s="219"/>
    </row>
    <row r="6" spans="1:9" s="220" customFormat="1" ht="13.5" customHeight="1">
      <c r="A6" s="886" t="s">
        <v>2158</v>
      </c>
      <c r="B6" s="221" t="s">
        <v>2159</v>
      </c>
      <c r="C6" s="222">
        <f>'土地比较法-工业'!B2</f>
        <v>1275</v>
      </c>
      <c r="D6" s="223"/>
      <c r="E6" s="224"/>
      <c r="F6" s="224"/>
      <c r="G6" s="225"/>
    </row>
    <row r="7" spans="1:9" s="220" customFormat="1" ht="13.5" customHeight="1">
      <c r="A7" s="886" t="s">
        <v>2160</v>
      </c>
      <c r="B7" s="221" t="s">
        <v>2161</v>
      </c>
      <c r="C7" s="226">
        <f>ROUND(C6*F7,0)</f>
        <v>52</v>
      </c>
      <c r="D7" s="226"/>
      <c r="E7" s="224"/>
      <c r="F7" s="227">
        <f>IF(项目基本情况!B8="出让",0,'数据-取费表'!B48+'数据-取费表'!B49)</f>
        <v>4.0500000000000001E-2</v>
      </c>
      <c r="G7" s="225"/>
    </row>
    <row r="8" spans="1:9" s="229" customFormat="1">
      <c r="A8" s="886" t="s">
        <v>2162</v>
      </c>
      <c r="B8" s="221" t="s">
        <v>2163</v>
      </c>
      <c r="C8" s="226">
        <f ca="1">IF(G8="已包含在土地购买价格中","0",IF(B1="",'数据-取费表'!B29,IF(G9="全部缴纳",C9+C10,H9)))</f>
        <v>603</v>
      </c>
      <c r="D8" s="228"/>
      <c r="E8" s="226"/>
      <c r="F8" s="227"/>
      <c r="G8" s="2043" t="s">
        <v>3272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150</v>
      </c>
      <c r="F9" s="227"/>
      <c r="G9" s="2044" t="s">
        <v>3273</v>
      </c>
      <c r="H9" s="1299"/>
      <c r="I9" s="2045" t="s">
        <v>2165</v>
      </c>
    </row>
    <row r="10" spans="1:9" s="220" customFormat="1" ht="13.5" customHeight="1">
      <c r="A10" s="887" t="s">
        <v>801</v>
      </c>
      <c r="B10" s="230" t="s">
        <v>2166</v>
      </c>
      <c r="C10" s="231">
        <f ca="1">ROUND(D10*E10/10000,0)</f>
        <v>603</v>
      </c>
      <c r="D10" s="954">
        <f ca="1">IF(B1="",'数据-汇总表'!E6,IF(INDIRECT("'数据-取费表'!c"&amp;$G$1)="住宅",INDIRECT("'数据-取费表'!s"&amp;$G$1),INDIRECT("'数据-取费表'!k"&amp;$G$1)+INDIRECT("'数据-取费表'!s"&amp;$G$1)))</f>
        <v>27421.7</v>
      </c>
      <c r="E10" s="231">
        <f>'数据-取费表'!B28</f>
        <v>220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27421.7</v>
      </c>
      <c r="E19" s="217">
        <f>'数据-取费表'!B31</f>
        <v>200</v>
      </c>
      <c r="F19" s="237"/>
      <c r="G19" s="2043" t="s">
        <v>3274</v>
      </c>
    </row>
    <row r="20" spans="1:7" s="220" customFormat="1" ht="13.5" customHeight="1">
      <c r="A20" s="261" t="s">
        <v>2179</v>
      </c>
      <c r="B20" s="216" t="s">
        <v>2180</v>
      </c>
      <c r="C20" s="238">
        <f ca="1">ROUND((C5+C19)*F20,0)</f>
        <v>39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174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172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295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295</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2642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18458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17139</v>
      </c>
      <c r="D34" s="223"/>
      <c r="E34" s="226"/>
      <c r="F34" s="263">
        <f ca="1">IF('数据-取费表'!B24=0,1,IF(B1="",'数据-取费表'!N16,INDIRECT("'数据-取费表'!n"&amp;$G$1)))</f>
        <v>1</v>
      </c>
      <c r="G34" s="225" t="s">
        <v>2212</v>
      </c>
    </row>
    <row r="35" spans="1:7" ht="13.5" customHeight="1">
      <c r="A35" s="888" t="s">
        <v>796</v>
      </c>
      <c r="B35" s="221" t="s">
        <v>2213</v>
      </c>
      <c r="C35" s="226">
        <f ca="1">ROUND(C34*F35,0)</f>
        <v>514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548</v>
      </c>
      <c r="D37" s="223">
        <f ca="1">D19</f>
        <v>27421.7</v>
      </c>
      <c r="E37" s="255">
        <f>'数据-取费表'!B35</f>
        <v>200</v>
      </c>
      <c r="F37" s="265"/>
      <c r="G37" s="267" t="s">
        <v>2218</v>
      </c>
    </row>
    <row r="38" spans="1:7" ht="13.5" customHeight="1">
      <c r="A38" s="888" t="s">
        <v>799</v>
      </c>
      <c r="B38" s="221" t="s">
        <v>2219</v>
      </c>
      <c r="C38" s="226">
        <f ca="1">ROUND(C34*F38,0)</f>
        <v>257</v>
      </c>
      <c r="D38" s="226"/>
      <c r="E38" s="226"/>
      <c r="F38" s="265">
        <f>'数据-取费表'!B36</f>
        <v>1.4999999999999999E-2</v>
      </c>
      <c r="G38" s="225" t="s">
        <v>2214</v>
      </c>
    </row>
    <row r="39" spans="1:7" s="220" customFormat="1" ht="13.5" customHeight="1">
      <c r="A39" s="261" t="s">
        <v>2220</v>
      </c>
      <c r="B39" s="216" t="s">
        <v>2221</v>
      </c>
      <c r="C39" s="238">
        <f ca="1">ROUND(C33*F20,0)</f>
        <v>369</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819</v>
      </c>
      <c r="D41" s="241">
        <f ca="1">C44</f>
        <v>8.9999999999999998E-4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803</v>
      </c>
      <c r="D42" s="244"/>
      <c r="E42" s="244"/>
      <c r="F42" s="245"/>
      <c r="G42" s="3251" t="s">
        <v>2230</v>
      </c>
    </row>
    <row r="43" spans="1:7" ht="13.5" customHeight="1">
      <c r="A43" s="888" t="s">
        <v>792</v>
      </c>
      <c r="B43" s="221" t="s">
        <v>2231</v>
      </c>
      <c r="C43" s="244">
        <f ca="1">ROUND(IF('数据-取费表'!B22&lt;=1,C39*F22*'数据-取费表'!B21/2,C39*(POWER((1+F22),'数据-取费表'!B21/2)-1)),0)</f>
        <v>16</v>
      </c>
      <c r="D43" s="244"/>
      <c r="E43" s="244"/>
      <c r="F43" s="245"/>
      <c r="G43" s="3252"/>
    </row>
    <row r="44" spans="1:7" ht="13.5" customHeight="1">
      <c r="A44" s="888" t="s">
        <v>793</v>
      </c>
      <c r="B44" s="221" t="s">
        <v>2232</v>
      </c>
      <c r="C44" s="244">
        <f ca="1">ROUND(IF('数据-取费表'!B22&lt;=1,C40*F22*'数据-取费表'!B21/2,C40*(POWER((1+F22),'数据-取费表'!B21/2)-1)),4)</f>
        <v>8.9999999999999998E-4</v>
      </c>
      <c r="D44" s="244"/>
      <c r="E44" s="244"/>
      <c r="F44" s="245"/>
      <c r="G44" s="3253"/>
    </row>
    <row r="45" spans="1:7" s="220" customFormat="1" ht="13.5" customHeight="1">
      <c r="A45" s="261" t="s">
        <v>2233</v>
      </c>
      <c r="B45" s="250" t="s">
        <v>2199</v>
      </c>
      <c r="C45" s="251">
        <f ca="1">C46</f>
        <v>2824</v>
      </c>
      <c r="D45" s="241">
        <f ca="1">C47</f>
        <v>3.0000000000000001E-3</v>
      </c>
      <c r="E45" s="242" t="s">
        <v>2225</v>
      </c>
      <c r="F45" s="2538">
        <f ca="1">F27</f>
        <v>0.15</v>
      </c>
      <c r="G45" s="253" t="s">
        <v>2234</v>
      </c>
    </row>
    <row r="46" spans="1:7" s="220" customFormat="1" ht="13.5" customHeight="1">
      <c r="A46" s="888" t="s">
        <v>791</v>
      </c>
      <c r="B46" s="254" t="s">
        <v>2235</v>
      </c>
      <c r="C46" s="255">
        <f ca="1">ROUND((C33+C39)*F27,0)</f>
        <v>2824</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24350</v>
      </c>
      <c r="D49" s="238"/>
      <c r="E49" s="238"/>
      <c r="F49" s="270"/>
      <c r="G49" s="240" t="s">
        <v>2240</v>
      </c>
    </row>
    <row r="50" spans="1:7" s="264" customFormat="1" ht="24">
      <c r="A50" s="261" t="s">
        <v>2241</v>
      </c>
      <c r="B50" s="216" t="s">
        <v>2242</v>
      </c>
      <c r="C50" s="238"/>
      <c r="D50" s="238"/>
      <c r="E50" s="238"/>
      <c r="F50" s="270">
        <f>IF('数据-取费表'!B24=0,'数据-取费表'!N16,1)</f>
        <v>0.98</v>
      </c>
      <c r="G50" s="253" t="s">
        <v>2243</v>
      </c>
    </row>
    <row r="51" spans="1:7" ht="16.5" customHeight="1">
      <c r="A51" s="261" t="s">
        <v>2244</v>
      </c>
      <c r="B51" s="216" t="s">
        <v>2245</v>
      </c>
      <c r="C51" s="238">
        <f ca="1">ROUND(C49*F50,0)</f>
        <v>23863</v>
      </c>
      <c r="D51" s="238"/>
      <c r="E51" s="238"/>
      <c r="F51" s="270"/>
      <c r="G51" s="240" t="s">
        <v>2246</v>
      </c>
    </row>
    <row r="52" spans="1:7" s="214" customFormat="1" ht="16.5" thickBot="1">
      <c r="A52" s="271" t="s">
        <v>2247</v>
      </c>
      <c r="B52" s="272"/>
      <c r="C52" s="273">
        <f ca="1">C31+C51</f>
        <v>26505</v>
      </c>
      <c r="D52" s="272"/>
      <c r="E52" s="272"/>
      <c r="F52" s="272"/>
      <c r="G52" s="274"/>
    </row>
    <row r="55" spans="1:7" ht="15">
      <c r="B55" s="276" t="s">
        <v>2248</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2" t="str">
        <f>项目基本情况!B1</f>
        <v>杭州市滨江区长河街道越达巷82号工业用房房地产抵押价值预评估</v>
      </c>
      <c r="C37" s="3062"/>
      <c r="D37" s="3062"/>
      <c r="E37" s="3062"/>
      <c r="F37" s="3062"/>
      <c r="G37" s="3062"/>
      <c r="H37" s="3062"/>
      <c r="I37" s="3062"/>
    </row>
    <row r="38" spans="1:9">
      <c r="A38" s="953"/>
      <c r="B38" s="953"/>
    </row>
    <row r="39" spans="1:9">
      <c r="A39" s="951" t="s">
        <v>818</v>
      </c>
      <c r="B39" s="951" t="s">
        <v>820</v>
      </c>
    </row>
    <row r="40" spans="1:9">
      <c r="A40" s="951"/>
      <c r="B40" s="1660" t="str">
        <f>项目基本情况!B5</f>
        <v>房天下</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25439</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9277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6032774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4.0500000000000001E-2</v>
      </c>
      <c r="G7" s="225"/>
    </row>
    <row r="8" spans="1:8" s="229" customFormat="1">
      <c r="A8" s="886" t="s">
        <v>2162</v>
      </c>
      <c r="B8" s="221" t="s">
        <v>2163</v>
      </c>
      <c r="C8" s="226">
        <f ca="1">IF(G8="已包含在土地购买价格中",0,C9+C10)</f>
        <v>6032774</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2166</v>
      </c>
      <c r="C10" s="231">
        <f ca="1">ROUND(D10*E10,0)</f>
        <v>6032774</v>
      </c>
      <c r="D10" s="954">
        <f ca="1">IF(B1="",'数据-汇总表'!E6,IF(INDIRECT("'数据-取费表'!c"&amp;$G$1)="住宅",INDIRECT("'数据-取费表'!s"&amp;$G$1),INDIRECT("'数据-取费表'!k"&amp;$G$1)+INDIRECT("'数据-取费表'!s"&amp;$G$1)))</f>
        <v>27421.7</v>
      </c>
      <c r="E10" s="231">
        <f>'数据-取费表'!B28</f>
        <v>220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5484340</v>
      </c>
      <c r="D19" s="958">
        <f ca="1">D9+D10</f>
        <v>27421.7</v>
      </c>
      <c r="E19" s="217">
        <f>'数据-取费表'!B31</f>
        <v>200</v>
      </c>
      <c r="F19" s="237"/>
      <c r="G19" s="2043"/>
    </row>
    <row r="20" spans="1:7" s="220" customFormat="1" ht="13.5" customHeight="1">
      <c r="A20" s="261" t="s">
        <v>2260</v>
      </c>
      <c r="B20" s="216" t="s">
        <v>2261</v>
      </c>
      <c r="C20" s="238">
        <f ca="1">ROUND((C5+C19)*F20,0)</f>
        <v>230342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1033802</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536267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487515</v>
      </c>
      <c r="D24" s="244"/>
      <c r="E24" s="244"/>
      <c r="F24" s="245"/>
      <c r="G24" s="246" t="s">
        <v>2272</v>
      </c>
    </row>
    <row r="25" spans="1:7" s="220" customFormat="1" ht="24">
      <c r="A25" s="888" t="s">
        <v>2162</v>
      </c>
      <c r="B25" s="221" t="s">
        <v>2273</v>
      </c>
      <c r="C25" s="1290">
        <f ca="1">ROUND(IF('数据-取费表'!B22&lt;=1,C20*F22*'数据-取费表'!B22/2,C20*(POWER((1+F22),'数据-取费表'!B22/2)-1)),0)</f>
        <v>10020</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1762118</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1762118</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15760052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184582318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171385625</v>
      </c>
      <c r="D34" s="223"/>
      <c r="E34" s="226"/>
      <c r="F34" s="263"/>
      <c r="G34" s="225"/>
    </row>
    <row r="35" spans="1:7" ht="13.5" customHeight="1">
      <c r="A35" s="888" t="s">
        <v>796</v>
      </c>
      <c r="B35" s="221" t="s">
        <v>2213</v>
      </c>
      <c r="C35" s="226">
        <f ca="1">ROUND(C34*F35,0)</f>
        <v>5141569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5484340</v>
      </c>
      <c r="D37" s="223">
        <f ca="1">D19</f>
        <v>27421.7</v>
      </c>
      <c r="E37" s="255">
        <f>'数据-取费表'!B35</f>
        <v>200</v>
      </c>
      <c r="F37" s="265"/>
      <c r="G37" s="267"/>
    </row>
    <row r="38" spans="1:7" ht="13.5" customHeight="1">
      <c r="A38" s="888" t="s">
        <v>799</v>
      </c>
      <c r="B38" s="221" t="s">
        <v>2219</v>
      </c>
      <c r="C38" s="226">
        <f ca="1">ROUND(C34*F38,0)</f>
        <v>2570784</v>
      </c>
      <c r="D38" s="226"/>
      <c r="E38" s="226"/>
      <c r="F38" s="265">
        <f>'数据-取费表'!B36</f>
        <v>1.4999999999999999E-2</v>
      </c>
      <c r="G38" s="225" t="s">
        <v>2214</v>
      </c>
    </row>
    <row r="39" spans="1:7" s="220" customFormat="1" ht="13.5" customHeight="1">
      <c r="A39" s="261" t="s">
        <v>2220</v>
      </c>
      <c r="B39" s="216" t="s">
        <v>2221</v>
      </c>
      <c r="C39" s="238">
        <f ca="1">ROUND(C33*F20,0)</f>
        <v>3691646</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8189918</v>
      </c>
      <c r="D41" s="241">
        <f ca="1">C44</f>
        <v>8.9999999999999998E-4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8029331</v>
      </c>
      <c r="D42" s="244"/>
      <c r="E42" s="244"/>
      <c r="F42" s="245"/>
      <c r="G42" s="3251" t="s">
        <v>2277</v>
      </c>
    </row>
    <row r="43" spans="1:7" ht="13.5" customHeight="1">
      <c r="A43" s="888" t="s">
        <v>792</v>
      </c>
      <c r="B43" s="221" t="s">
        <v>2231</v>
      </c>
      <c r="C43" s="244">
        <f ca="1">ROUND(IF('数据-取费表'!B22&lt;=1,C39*F22*'数据-取费表'!B20/2,C39*(POWER((1+F22),'数据-取费表'!B20/2)-1)),0)</f>
        <v>160587</v>
      </c>
      <c r="D43" s="244"/>
      <c r="E43" s="244"/>
      <c r="F43" s="245"/>
      <c r="G43" s="3252"/>
    </row>
    <row r="44" spans="1:7" ht="13.5" customHeight="1">
      <c r="A44" s="888" t="s">
        <v>793</v>
      </c>
      <c r="B44" s="221" t="s">
        <v>2232</v>
      </c>
      <c r="C44" s="244">
        <f ca="1">ROUND(IF('数据-取费表'!B22&lt;=1,C40*F22*'数据-取费表'!B20/2,C40*(POWER((1+F22),'数据-取费表'!B20/2)-1)),4)</f>
        <v>8.9999999999999998E-4</v>
      </c>
      <c r="D44" s="244"/>
      <c r="E44" s="244"/>
      <c r="F44" s="245"/>
      <c r="G44" s="3253"/>
    </row>
    <row r="45" spans="1:7" s="220" customFormat="1" ht="13.5" customHeight="1">
      <c r="A45" s="261" t="s">
        <v>2233</v>
      </c>
      <c r="B45" s="250" t="s">
        <v>2199</v>
      </c>
      <c r="C45" s="251">
        <f ca="1">C46</f>
        <v>28241095</v>
      </c>
      <c r="D45" s="241">
        <f ca="1">C47</f>
        <v>3.0000000000000001E-3</v>
      </c>
      <c r="E45" s="242" t="s">
        <v>2225</v>
      </c>
      <c r="F45" s="2538">
        <f ca="1">F27</f>
        <v>0.15</v>
      </c>
      <c r="G45" s="253" t="s">
        <v>2234</v>
      </c>
    </row>
    <row r="46" spans="1:7" s="220" customFormat="1" ht="13.5" customHeight="1">
      <c r="A46" s="888" t="s">
        <v>791</v>
      </c>
      <c r="B46" s="254" t="s">
        <v>2235</v>
      </c>
      <c r="C46" s="255">
        <f ca="1">ROUND((C33+C39)*F27,0)</f>
        <v>28241095</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243503443</v>
      </c>
      <c r="D49" s="238"/>
      <c r="E49" s="238"/>
      <c r="F49" s="270"/>
      <c r="G49" s="240" t="s">
        <v>2240</v>
      </c>
    </row>
    <row r="50" spans="1:7" s="264" customFormat="1">
      <c r="A50" s="261" t="s">
        <v>2241</v>
      </c>
      <c r="B50" s="216" t="s">
        <v>2242</v>
      </c>
      <c r="C50" s="238"/>
      <c r="D50" s="238"/>
      <c r="E50" s="238"/>
      <c r="F50" s="270">
        <f>IF('数据-取费表'!B24=0,'数据-取费表'!N16,1)</f>
        <v>0.98</v>
      </c>
      <c r="G50" s="253"/>
    </row>
    <row r="51" spans="1:7" ht="16.5" customHeight="1">
      <c r="A51" s="261" t="s">
        <v>2244</v>
      </c>
      <c r="B51" s="216" t="s">
        <v>2279</v>
      </c>
      <c r="C51" s="238">
        <f ca="1">ROUND(C49*F50,0)</f>
        <v>238633374</v>
      </c>
      <c r="D51" s="238"/>
      <c r="E51" s="238"/>
      <c r="F51" s="270"/>
      <c r="G51" s="240" t="s">
        <v>2246</v>
      </c>
    </row>
    <row r="52" spans="1:7" s="214" customFormat="1" ht="16.5" thickBot="1">
      <c r="A52" s="271" t="s">
        <v>2247</v>
      </c>
      <c r="B52" s="272"/>
      <c r="C52" s="273">
        <f ca="1">C31+C51</f>
        <v>254393426</v>
      </c>
      <c r="D52" s="272"/>
      <c r="E52" s="272"/>
      <c r="F52" s="272"/>
      <c r="G52" s="274"/>
    </row>
    <row r="55" spans="1:7" ht="15">
      <c r="B55" s="276" t="s">
        <v>2248</v>
      </c>
      <c r="C55" s="277"/>
    </row>
    <row r="56" spans="1:7">
      <c r="B56" s="279" t="s">
        <v>1478</v>
      </c>
      <c r="C56" s="281">
        <f ca="1">1-C57</f>
        <v>6.2000000000000055E-2</v>
      </c>
    </row>
    <row r="57" spans="1:7">
      <c r="B57" s="279" t="s">
        <v>1479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4"/>
      <c r="F1" s="3034"/>
      <c r="G1" s="2897"/>
      <c r="H1" s="3034"/>
      <c r="I1" s="3034"/>
      <c r="J1" s="3034"/>
      <c r="K1" s="3035">
        <f>MATCH(C1,'数据-取费表'!A6:A16,0)+5</f>
        <v>7</v>
      </c>
    </row>
    <row r="2" spans="1:33" ht="18" customHeight="1">
      <c r="A2" s="207" t="s">
        <v>2148</v>
      </c>
      <c r="B2" s="210">
        <f ca="1">C32</f>
        <v>0</v>
      </c>
      <c r="C2" s="282" t="s">
        <v>2281</v>
      </c>
      <c r="D2" s="282"/>
      <c r="E2" s="3034"/>
      <c r="F2" s="3034"/>
      <c r="G2" s="3034"/>
      <c r="H2" s="3034"/>
      <c r="I2" s="3034"/>
      <c r="J2" s="3034"/>
      <c r="K2" s="3034"/>
    </row>
    <row r="3" spans="1:33" ht="18" customHeight="1" thickBot="1">
      <c r="A3" s="209" t="s">
        <v>2150</v>
      </c>
      <c r="B3" s="210">
        <f ca="1">ROUND(B2*10000/IF(C1="",'数据-汇总表'!E3,INDIRECT("'数据-取费表'!K"&amp;$K$1)),0)</f>
        <v>0</v>
      </c>
      <c r="C3" s="282" t="s">
        <v>2282</v>
      </c>
      <c r="D3" s="282"/>
      <c r="E3" s="3034"/>
      <c r="F3" s="3034"/>
      <c r="G3" s="3034"/>
      <c r="H3" s="3034"/>
      <c r="I3" s="3034"/>
      <c r="J3" s="3034"/>
      <c r="K3" s="3034"/>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27421.7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27421.7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2316</v>
      </c>
      <c r="C20" s="24">
        <f ca="1">ROUND(D20*E20/10000,0)</f>
        <v>603</v>
      </c>
      <c r="D20" s="955">
        <f ca="1">IF(C1="",'数据-汇总表'!E6,IF(INDIRECT("'数据-取费表'!c"&amp;$K$1)="住宅",INDIRECT("'数据-取费表'!s"&amp;$K$1),INDIRECT("'数据-取费表'!k"&amp;$K$1)+INDIRECT("'数据-取费表'!s"&amp;$K$1)))</f>
        <v>27421.7</v>
      </c>
      <c r="E20" s="24">
        <f>'数据-取费表'!B28</f>
        <v>220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3.8600000000000002E-2</v>
      </c>
      <c r="D24" s="287" t="s">
        <v>15</v>
      </c>
      <c r="E24" s="287"/>
      <c r="F24" s="925">
        <f>IF(项目基本情况!B8="出让",0,'数据-取费表'!B48+'数据-取费表'!B49)</f>
        <v>4.0500000000000001E-2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Normal="70" zoomScaleSheetLayoutView="10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3263</v>
      </c>
      <c r="D1" s="1547" t="s">
        <v>70</v>
      </c>
      <c r="E1" s="1548" t="s">
        <v>1352</v>
      </c>
      <c r="F1" s="1193">
        <f ca="1">J53</f>
        <v>43.26</v>
      </c>
      <c r="G1" s="1563">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27373</v>
      </c>
      <c r="C2" s="1572" t="s">
        <v>1481</v>
      </c>
      <c r="D2" s="1572"/>
      <c r="E2" s="1573"/>
      <c r="F2" s="1574"/>
      <c r="G2" s="2932"/>
      <c r="H2" s="2921"/>
      <c r="I2" s="2921"/>
      <c r="J2" s="2921"/>
      <c r="K2" s="2922"/>
      <c r="L2" s="2921"/>
      <c r="M2" s="2921"/>
    </row>
    <row r="3" spans="1:37" ht="18" customHeight="1" thickBot="1">
      <c r="A3" s="1575" t="s">
        <v>1482</v>
      </c>
      <c r="B3" s="1576">
        <f ca="1">IF(ISERROR(B2*10000/F43),0,ROUND(B2*10000/F43,0))</f>
        <v>9982</v>
      </c>
      <c r="C3" s="1572" t="s">
        <v>1483</v>
      </c>
      <c r="D3" s="1572"/>
      <c r="E3" s="1573"/>
      <c r="F3" s="1574"/>
      <c r="G3" s="2932"/>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1804</v>
      </c>
      <c r="D5" s="1549" t="s">
        <v>1367</v>
      </c>
      <c r="E5" s="1203"/>
      <c r="F5" s="1204"/>
      <c r="G5" s="1569"/>
      <c r="H5" s="305">
        <v>1</v>
      </c>
      <c r="I5" s="306" t="s">
        <v>1366</v>
      </c>
      <c r="J5" s="1202">
        <f ca="1">J6+J10+J12</f>
        <v>0</v>
      </c>
      <c r="K5" s="1549" t="s">
        <v>1367</v>
      </c>
      <c r="L5" s="1203"/>
      <c r="M5" s="1204"/>
    </row>
    <row r="6" spans="1:37" ht="18" customHeight="1">
      <c r="A6" s="1201" t="s">
        <v>1003</v>
      </c>
      <c r="B6" s="3256" t="s">
        <v>1368</v>
      </c>
      <c r="C6" s="1206">
        <f ca="1">ROUND(F6*F8*F7*(1-F9)/10000,0)</f>
        <v>1802</v>
      </c>
      <c r="D6" s="160" t="s">
        <v>2850</v>
      </c>
      <c r="E6" s="308" t="s">
        <v>1370</v>
      </c>
      <c r="F6" s="309">
        <f ca="1">INDIRECT("'数据-取费表'!u"&amp;$G$1)</f>
        <v>2</v>
      </c>
      <c r="G6" s="1569"/>
      <c r="H6" s="1201" t="s">
        <v>1003</v>
      </c>
      <c r="I6" s="3256" t="s">
        <v>1368</v>
      </c>
      <c r="J6" s="307">
        <f ca="1">ROUND(M6*M8*M7*(1-M9)/10000,0)</f>
        <v>0</v>
      </c>
      <c r="K6" s="160" t="s">
        <v>2849</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27421.7</v>
      </c>
      <c r="G7" s="1569"/>
      <c r="H7" s="310"/>
      <c r="I7" s="3257"/>
      <c r="J7" s="312"/>
      <c r="K7" s="313"/>
      <c r="L7" s="308" t="s">
        <v>1371</v>
      </c>
      <c r="M7" s="309">
        <f ca="1">F7</f>
        <v>27421.7</v>
      </c>
    </row>
    <row r="8" spans="1:37" ht="18" customHeight="1">
      <c r="A8" s="310"/>
      <c r="B8" s="3257"/>
      <c r="C8" s="312"/>
      <c r="D8" s="313"/>
      <c r="E8" s="308" t="s">
        <v>1372</v>
      </c>
      <c r="F8" s="309">
        <f ca="1">INDIRECT("'数据-取费表'!ai"&amp;$G$1)</f>
        <v>365</v>
      </c>
      <c r="G8" s="1569"/>
      <c r="H8" s="310"/>
      <c r="I8" s="3257"/>
      <c r="J8" s="312"/>
      <c r="K8" s="313"/>
      <c r="L8" s="308" t="s">
        <v>1372</v>
      </c>
      <c r="M8" s="309">
        <f ca="1">INDIRECT("'数据-取费表'!ai"&amp;$G$1)</f>
        <v>365</v>
      </c>
    </row>
    <row r="9" spans="1:37" ht="18" customHeight="1">
      <c r="A9" s="310"/>
      <c r="B9" s="3258"/>
      <c r="C9" s="312"/>
      <c r="D9" s="313"/>
      <c r="E9" s="308" t="s">
        <v>1373</v>
      </c>
      <c r="F9" s="318">
        <f ca="1">INDIRECT("'数据-取费表'!w"&amp;$G$1)</f>
        <v>0.1</v>
      </c>
      <c r="G9" s="1569"/>
      <c r="H9" s="310"/>
      <c r="I9" s="3258"/>
      <c r="J9" s="312"/>
      <c r="K9" s="313"/>
      <c r="L9" s="319" t="s">
        <v>1373</v>
      </c>
      <c r="M9" s="320">
        <f ca="1">INDIRECT("'数据-取费表'!ab"&amp;$G$1)</f>
        <v>0</v>
      </c>
    </row>
    <row r="10" spans="1:37" ht="18" customHeight="1">
      <c r="A10" s="1201" t="s">
        <v>1007</v>
      </c>
      <c r="B10" s="1550" t="s">
        <v>1374</v>
      </c>
      <c r="C10" s="322">
        <f ca="1">ROUND(IF(F10="押一",C6/12*F11,IF(F10="押二",C6/12*2*F11,IF(F10="押三",C6/12*3*F11,C11*F11))),0)</f>
        <v>2</v>
      </c>
      <c r="D10" s="1551" t="s">
        <v>2858</v>
      </c>
      <c r="E10" s="319" t="s">
        <v>1375</v>
      </c>
      <c r="F10" s="1276" t="s">
        <v>3277</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23863</v>
      </c>
      <c r="D13" s="1241" t="s">
        <v>1380</v>
      </c>
      <c r="E13" s="1241" t="s">
        <v>1381</v>
      </c>
      <c r="F13" s="1242">
        <f ca="1">INDIRECT("'数据-取费表'!y"&amp;$G$1)</f>
        <v>0.98</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17139</v>
      </c>
      <c r="D14" s="1530" t="s">
        <v>1383</v>
      </c>
      <c r="E14" s="1527"/>
      <c r="F14" s="325"/>
      <c r="G14" s="1569"/>
      <c r="H14" s="1113" t="s">
        <v>1003</v>
      </c>
      <c r="I14" s="308" t="s">
        <v>1384</v>
      </c>
      <c r="J14" s="24">
        <f ca="1">C29</f>
        <v>24350</v>
      </c>
      <c r="K14" s="15"/>
      <c r="L14" s="916"/>
      <c r="M14" s="917"/>
    </row>
    <row r="15" spans="1:37" s="1582" customFormat="1" ht="18" customHeight="1" thickBot="1">
      <c r="A15" s="1113" t="s">
        <v>1004</v>
      </c>
      <c r="B15" s="308" t="s">
        <v>1385</v>
      </c>
      <c r="C15" s="24">
        <f ca="1">ROUND(C14*F15,0)</f>
        <v>514</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575</v>
      </c>
      <c r="K16" s="1247" t="s">
        <v>1390</v>
      </c>
      <c r="L16" s="1248"/>
      <c r="M16" s="1204"/>
    </row>
    <row r="17" spans="1:37" s="1582" customFormat="1" ht="18" customHeight="1">
      <c r="A17" s="1113" t="s">
        <v>1355</v>
      </c>
      <c r="B17" s="308" t="s">
        <v>1391</v>
      </c>
      <c r="C17" s="24">
        <f ca="1">ROUND(F17*(F43+INDIRECT("'数据-取费表'!S"&amp;$G$1))/10000,0)</f>
        <v>548</v>
      </c>
      <c r="D17" s="308" t="s">
        <v>1392</v>
      </c>
      <c r="E17" s="308" t="s">
        <v>1393</v>
      </c>
      <c r="F17" s="26">
        <f>'数据-取费表'!B35</f>
        <v>200</v>
      </c>
      <c r="G17" s="1581"/>
      <c r="H17" s="1113" t="s">
        <v>1003</v>
      </c>
      <c r="I17" s="308" t="s">
        <v>1394</v>
      </c>
      <c r="J17" s="2535">
        <f ca="1">ROUND(IF(AND(项目基本情况!B11="自然人",项目基本情况!B10="北京市"),J6*M17/(1+'数据-取费表'!C42),J18+J19+J20),0)</f>
        <v>210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257</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18458</v>
      </c>
      <c r="D19" s="136" t="s">
        <v>1401</v>
      </c>
      <c r="E19" s="1545"/>
      <c r="F19" s="26"/>
      <c r="G19" s="1569"/>
      <c r="H19" s="1113" t="s">
        <v>1004</v>
      </c>
      <c r="I19" s="308" t="s">
        <v>1402</v>
      </c>
      <c r="J19" s="24">
        <f ca="1">IF(K19="按租金收入计税",ROUND(J6*M19/(1+'数据-取费表'!C42),2),ROUND(C29*M19*0.7,2))</f>
        <v>204.54</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369</v>
      </c>
      <c r="D20" s="329" t="s">
        <v>1405</v>
      </c>
      <c r="E20" s="308" t="s">
        <v>1387</v>
      </c>
      <c r="F20" s="328">
        <f>'数据-取费表'!B37</f>
        <v>0.02</v>
      </c>
      <c r="G20" s="1581"/>
      <c r="H20" s="1113" t="s">
        <v>1354</v>
      </c>
      <c r="I20" s="160" t="s">
        <v>1406</v>
      </c>
      <c r="J20" s="25">
        <f ca="1">ROUND(M20*M21/10000,2)</f>
        <v>4.99</v>
      </c>
      <c r="K20" s="330" t="s">
        <v>1407</v>
      </c>
      <c r="L20" s="308" t="s">
        <v>1408</v>
      </c>
      <c r="M20" s="331">
        <f>'数据-取费表'!B52</f>
        <v>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9989</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365.3</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819</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-575</v>
      </c>
      <c r="K25" s="1255" t="s">
        <v>1429</v>
      </c>
      <c r="L25" s="1256"/>
      <c r="M25" s="1257"/>
    </row>
    <row r="26" spans="1:37">
      <c r="A26" s="1113" t="s">
        <v>1002</v>
      </c>
      <c r="B26" s="308" t="s">
        <v>1430</v>
      </c>
      <c r="C26" s="24">
        <f ca="1">ROUND((C19+C20)*F26,0)</f>
        <v>2824</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24350</v>
      </c>
      <c r="D29" s="1252"/>
      <c r="E29" s="1250"/>
      <c r="F29" s="1253"/>
      <c r="G29" s="1581"/>
      <c r="H29" s="340" t="s">
        <v>1001</v>
      </c>
      <c r="I29" s="341" t="s">
        <v>1444</v>
      </c>
      <c r="J29" s="342">
        <f ca="1">ROUND(J26/(1+F40)^F41,0)</f>
        <v>0</v>
      </c>
      <c r="K29" s="343" t="s">
        <v>1445</v>
      </c>
      <c r="L29" s="344"/>
      <c r="M29" s="345">
        <f ca="1">INDIRECT("'数据-取费表'!k"&amp;$G$1)</f>
        <v>27421.7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747</v>
      </c>
      <c r="D30" s="1247" t="s">
        <v>1390</v>
      </c>
      <c r="E30" s="1248"/>
      <c r="F30" s="1204"/>
      <c r="G30" s="1569"/>
      <c r="H30" s="2923"/>
      <c r="I30" s="1583"/>
      <c r="J30" s="1584"/>
      <c r="K30" s="2699"/>
      <c r="L30" s="2924"/>
      <c r="M30" s="2925"/>
    </row>
    <row r="31" spans="1:37" ht="18" customHeight="1">
      <c r="A31" s="1113" t="s">
        <v>1003</v>
      </c>
      <c r="B31" s="308" t="s">
        <v>1394</v>
      </c>
      <c r="C31" s="2535">
        <f ca="1">ROUND(IF(AND(项目基本情况!B11="自然人",项目基本情况!B10="北京市"),C6*F31/(1+'数据-取费表'!C42),C32+C33+C34),0)</f>
        <v>307</v>
      </c>
      <c r="D31" s="1530" t="s">
        <v>1395</v>
      </c>
      <c r="E31" s="1529" t="s">
        <v>1446</v>
      </c>
      <c r="F31" s="2534" t="str">
        <f>IF(项目基本情况!B11="企业","——",IF('数据-取费表'!B10="住宅",IF(F6*F7*F8/12/(1+'数据-取费表'!F30)&gt;100000,4%,2.5%),IF(F6*F7*F8/12/(1+'数据-取费表'!F30)&gt;100000,12%,7%)))</f>
        <v>——</v>
      </c>
      <c r="G31" s="1569"/>
      <c r="H31" s="3036" t="s">
        <v>3057</v>
      </c>
      <c r="I31" s="1583"/>
      <c r="J31" s="1584"/>
      <c r="K31" s="2699"/>
      <c r="L31" s="2924"/>
      <c r="M31" s="2925"/>
    </row>
    <row r="32" spans="1:37" ht="18" customHeight="1">
      <c r="A32" s="1113" t="s">
        <v>1002</v>
      </c>
      <c r="B32" s="308" t="s">
        <v>1398</v>
      </c>
      <c r="C32" s="24">
        <f ca="1">IF(项目基本情况!B11="自然人","——",ROUND(C6*F32/(1+'数据-取费表'!C42),2))</f>
        <v>96.11</v>
      </c>
      <c r="D32" s="1529" t="s">
        <v>1399</v>
      </c>
      <c r="E32" s="308" t="s">
        <v>1387</v>
      </c>
      <c r="F32" s="337">
        <f>'数据-取费表'!B41</f>
        <v>5.6000000000000001E-2</v>
      </c>
      <c r="G32" s="1569"/>
      <c r="H32" s="2923"/>
      <c r="I32" s="1583"/>
      <c r="J32" s="1584"/>
      <c r="K32" s="2699"/>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205.94</v>
      </c>
      <c r="D33" s="1555" t="s">
        <v>3278</v>
      </c>
      <c r="E33" s="308" t="s">
        <v>1387</v>
      </c>
      <c r="F33" s="328">
        <f>IF(D33="按票据","——",IF(D33="按租金收入计税",'数据-取费表'!B51,'数据-取费表'!B50))</f>
        <v>0.12</v>
      </c>
      <c r="G33" s="1569"/>
      <c r="H33" s="2926"/>
      <c r="I33" s="1583"/>
      <c r="J33" s="1584"/>
      <c r="K33" s="2927"/>
      <c r="L33" s="2926"/>
      <c r="M33" s="2926"/>
    </row>
    <row r="34" spans="1:18" ht="18" customHeight="1">
      <c r="A34" s="1201" t="s">
        <v>1354</v>
      </c>
      <c r="B34" s="160" t="s">
        <v>1406</v>
      </c>
      <c r="C34" s="25">
        <f ca="1">IF(项目基本情况!B11="自然人","——",ROUND(F34*F35/10000,2))</f>
        <v>4.99</v>
      </c>
      <c r="D34" s="330" t="s">
        <v>1407</v>
      </c>
      <c r="E34" s="308" t="s">
        <v>1408</v>
      </c>
      <c r="F34" s="331">
        <f>'数据-取费表'!B52</f>
        <v>5</v>
      </c>
      <c r="G34" s="1569"/>
      <c r="H34" s="2923"/>
      <c r="I34" s="1583"/>
      <c r="J34" s="1584"/>
      <c r="K34" s="2928"/>
      <c r="L34" s="2929"/>
      <c r="M34" s="2929"/>
    </row>
    <row r="35" spans="1:18" ht="18" customHeight="1">
      <c r="A35" s="1263"/>
      <c r="B35" s="1261"/>
      <c r="C35" s="29"/>
      <c r="D35" s="333"/>
      <c r="E35" s="308" t="s">
        <v>1412</v>
      </c>
      <c r="F35" s="309">
        <f ca="1">INDIRECT("'数据-取费表'!r"&amp;$G$1)</f>
        <v>9989</v>
      </c>
      <c r="G35" s="1569"/>
      <c r="H35" s="2923"/>
      <c r="I35" s="1583"/>
      <c r="J35" s="1584"/>
      <c r="K35" s="2927"/>
      <c r="L35" s="2926"/>
      <c r="M35" s="2926"/>
    </row>
    <row r="36" spans="1:18" ht="18" customHeight="1">
      <c r="A36" s="1262" t="s">
        <v>1007</v>
      </c>
      <c r="B36" s="308" t="s">
        <v>1414</v>
      </c>
      <c r="C36" s="24">
        <f ca="1">ROUND(C29*F36,1)</f>
        <v>365.3</v>
      </c>
      <c r="D36" s="1529" t="s">
        <v>1447</v>
      </c>
      <c r="E36" s="308" t="s">
        <v>1387</v>
      </c>
      <c r="F36" s="334">
        <f ca="1">INDIRECT("'数据-取费表'!Ak"&amp;$G$1)</f>
        <v>1.4999999999999999E-2</v>
      </c>
      <c r="G36" s="1569"/>
      <c r="H36" s="2926"/>
      <c r="I36" s="1583"/>
      <c r="J36" s="1584"/>
      <c r="K36" s="2768"/>
      <c r="L36" s="2926"/>
      <c r="M36" s="2926"/>
    </row>
    <row r="37" spans="1:18" ht="18" customHeight="1">
      <c r="A37" s="1113" t="s">
        <v>1043</v>
      </c>
      <c r="B37" s="308" t="s">
        <v>1418</v>
      </c>
      <c r="C37" s="24">
        <f ca="1">ROUND(C13*F37,1)</f>
        <v>47.7</v>
      </c>
      <c r="D37" s="1529" t="s">
        <v>1419</v>
      </c>
      <c r="E37" s="308" t="s">
        <v>1420</v>
      </c>
      <c r="F37" s="336">
        <f ca="1">INDIRECT("'数据-取费表'!Al"&amp;$G$1)</f>
        <v>2E-3</v>
      </c>
      <c r="G37" s="1569"/>
      <c r="H37" s="2926"/>
      <c r="I37" s="1583"/>
      <c r="J37" s="1584"/>
      <c r="K37" s="2768"/>
      <c r="L37" s="2926"/>
      <c r="M37" s="2926"/>
    </row>
    <row r="38" spans="1:18" ht="18" customHeight="1" thickBot="1">
      <c r="A38" s="1249" t="s">
        <v>1358</v>
      </c>
      <c r="B38" s="1250" t="s">
        <v>1404</v>
      </c>
      <c r="C38" s="1251">
        <f ca="1">ROUND(C5*F38,1)</f>
        <v>27.1</v>
      </c>
      <c r="D38" s="1252" t="s">
        <v>1424</v>
      </c>
      <c r="E38" s="1250" t="s">
        <v>1420</v>
      </c>
      <c r="F38" s="1246">
        <f ca="1">INDIRECT("'数据-取费表'!Am"&amp;$G$1)</f>
        <v>1.4999999999999999E-2</v>
      </c>
      <c r="G38" s="1569"/>
      <c r="H38" s="2926"/>
      <c r="I38" s="1583"/>
      <c r="J38" s="1584"/>
      <c r="K38" s="2930"/>
      <c r="L38" s="2926"/>
      <c r="M38" s="2926"/>
    </row>
    <row r="39" spans="1:18" ht="24.6" customHeight="1" thickTop="1">
      <c r="A39" s="1239" t="s">
        <v>999</v>
      </c>
      <c r="B39" s="1254" t="s">
        <v>1448</v>
      </c>
      <c r="C39" s="316">
        <f ca="1">C5-C30</f>
        <v>1057</v>
      </c>
      <c r="D39" s="1255" t="s">
        <v>1449</v>
      </c>
      <c r="E39" s="1256"/>
      <c r="F39" s="1257"/>
      <c r="G39" s="1569"/>
      <c r="H39" s="2926"/>
      <c r="I39" s="1583"/>
      <c r="J39" s="1584"/>
      <c r="K39" s="2930"/>
      <c r="L39" s="2926"/>
      <c r="M39" s="2926"/>
    </row>
    <row r="40" spans="1:18" ht="18" customHeight="1">
      <c r="A40" s="305" t="s">
        <v>1000</v>
      </c>
      <c r="B40" s="306" t="s">
        <v>1450</v>
      </c>
      <c r="C40" s="307">
        <f ca="1">ROUND(C39*(1-((1+F42)/(1+F40))^F41)/(F40-F42),0)</f>
        <v>27373</v>
      </c>
      <c r="D40" s="330" t="s">
        <v>1434</v>
      </c>
      <c r="E40" s="308" t="s">
        <v>1435</v>
      </c>
      <c r="F40" s="318">
        <f ca="1">INDIRECT("'数据-取费表'!I"&amp;$G$1)</f>
        <v>0.05</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43.26</v>
      </c>
      <c r="G41" s="1569"/>
      <c r="H41" s="1353"/>
      <c r="I41" s="1583"/>
      <c r="J41" s="1584"/>
      <c r="K41" s="2768"/>
      <c r="L41" s="1353"/>
      <c r="M41" s="1353"/>
    </row>
    <row r="42" spans="1:18" ht="18" customHeight="1">
      <c r="A42" s="314"/>
      <c r="B42" s="315"/>
      <c r="C42" s="316"/>
      <c r="D42" s="333"/>
      <c r="E42" s="308" t="s">
        <v>1442</v>
      </c>
      <c r="F42" s="318">
        <f ca="1">INDIRECT("'数据-取费表'!v"&amp;$G$1)</f>
        <v>2.5000000000000001E-2</v>
      </c>
      <c r="G42" s="1569"/>
      <c r="H42" s="1353"/>
      <c r="I42" s="1583"/>
      <c r="J42" s="1584"/>
      <c r="K42" s="2768"/>
      <c r="L42" s="1353"/>
      <c r="M42" s="1353"/>
    </row>
    <row r="43" spans="1:18" ht="18" customHeight="1" thickBot="1">
      <c r="A43" s="340" t="s">
        <v>1001</v>
      </c>
      <c r="B43" s="341" t="s">
        <v>1452</v>
      </c>
      <c r="C43" s="342">
        <f ca="1">ROUND(C40*10000/F43,0)</f>
        <v>9982</v>
      </c>
      <c r="D43" s="343" t="s">
        <v>1453</v>
      </c>
      <c r="E43" s="344" t="s">
        <v>1454</v>
      </c>
      <c r="F43" s="345">
        <f ca="1">INDIRECT("'数据-取费表'!k"&amp;$G$1)</f>
        <v>27421.7</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1" t="s">
        <v>1484</v>
      </c>
      <c r="P45" s="1646"/>
      <c r="Q45" s="1646"/>
      <c r="R45" s="1646"/>
    </row>
    <row r="46" spans="1:18" s="1569" customFormat="1" ht="13.5" thickBot="1">
      <c r="A46" s="1589" t="s">
        <v>1485</v>
      </c>
      <c r="C46" s="1590">
        <f ca="1">C68-C40</f>
        <v>-70665</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3279</v>
      </c>
      <c r="K47" s="1601" t="s">
        <v>1492</v>
      </c>
      <c r="L47" s="1602">
        <f ca="1">INDIRECT("'数据-取费表'!d"&amp;$G$1)</f>
        <v>50</v>
      </c>
      <c r="M47" s="1565" t="str">
        <f>IF(ISNUMBER(FIND("住宅",C1)),"住宅","非住宅")</f>
        <v>非住宅</v>
      </c>
      <c r="O47" s="1603" t="s">
        <v>1008</v>
      </c>
      <c r="P47" s="1604" t="s">
        <v>1493</v>
      </c>
      <c r="Q47" s="1605">
        <f ca="1">C40+J29</f>
        <v>27373</v>
      </c>
      <c r="R47" s="1605" t="s">
        <v>1494</v>
      </c>
    </row>
    <row r="48" spans="1:18" s="1569" customFormat="1" ht="28.5" thickBot="1">
      <c r="A48" s="1270" t="s">
        <v>1103</v>
      </c>
      <c r="B48" s="306" t="s">
        <v>1366</v>
      </c>
      <c r="C48" s="1544">
        <f ca="1">C49+C53+C55</f>
        <v>0</v>
      </c>
      <c r="D48" s="1272"/>
      <c r="E48" s="1273"/>
      <c r="F48" s="1093"/>
      <c r="G48" s="731"/>
      <c r="H48" s="732"/>
      <c r="I48" s="1606" t="s">
        <v>1495</v>
      </c>
      <c r="J48" s="1607" t="s">
        <v>3280</v>
      </c>
      <c r="K48" s="1608" t="s">
        <v>1496</v>
      </c>
      <c r="L48" s="1609">
        <f ca="1">INDIRECT("'数据-取费表'!f"&amp;$G$1)</f>
        <v>43.26</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c r="K49" s="1608" t="s">
        <v>1500</v>
      </c>
      <c r="L49" s="1612"/>
      <c r="O49" s="1613" t="s">
        <v>1010</v>
      </c>
      <c r="P49" s="1604" t="s">
        <v>1501</v>
      </c>
      <c r="Q49" s="1605">
        <f ca="1">C29</f>
        <v>24350</v>
      </c>
      <c r="R49" s="1605" t="s">
        <v>1494</v>
      </c>
    </row>
    <row r="50" spans="1:18" s="1569" customFormat="1" ht="13.5" thickBot="1">
      <c r="A50" s="1107"/>
      <c r="B50" s="1110"/>
      <c r="C50" s="1278"/>
      <c r="D50" s="1084"/>
      <c r="E50" s="1187" t="s">
        <v>1371</v>
      </c>
      <c r="F50" s="1188">
        <f ca="1">F7</f>
        <v>27421.7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60</v>
      </c>
      <c r="K51" s="1619" t="s">
        <v>1506</v>
      </c>
      <c r="L51" s="1620">
        <f ca="1">ROUND(-PV(INDIRECT("'数据-取费表'!h"&amp;$G$1),J51,(C39-C13*C76),0),0)</f>
        <v>-20047</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43.26</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43.26</v>
      </c>
      <c r="K53" s="3254" t="s">
        <v>1513</v>
      </c>
      <c r="L53" s="3255"/>
      <c r="O53" s="1603" t="s">
        <v>1014</v>
      </c>
      <c r="P53" s="1604" t="s">
        <v>1514</v>
      </c>
      <c r="Q53" s="1605">
        <f ca="1">Q47+Q48</f>
        <v>27373</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23863</v>
      </c>
      <c r="D56" s="1632"/>
      <c r="E56" s="1633"/>
      <c r="F56" s="1625"/>
      <c r="I56" s="1634" t="s">
        <v>1519</v>
      </c>
      <c r="J56" s="1635" t="s">
        <v>3261</v>
      </c>
      <c r="K56" s="1606" t="s">
        <v>1520</v>
      </c>
      <c r="L56" s="1609" t="str">
        <f ca="1">IF(L48&lt;J51,"——",L48-J53)</f>
        <v>——</v>
      </c>
      <c r="O56" s="1603" t="s">
        <v>1008</v>
      </c>
      <c r="P56" s="1604" t="s">
        <v>1493</v>
      </c>
      <c r="Q56" s="1605">
        <f ca="1">C40+J29</f>
        <v>27373</v>
      </c>
      <c r="R56" s="1605" t="s">
        <v>1494</v>
      </c>
    </row>
    <row r="57" spans="1:18" s="1569" customFormat="1" ht="24.75" thickBot="1">
      <c r="A57" s="1636"/>
      <c r="B57" s="1081" t="s">
        <v>1443</v>
      </c>
      <c r="C57" s="244">
        <f ca="1">C29</f>
        <v>24350</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2463</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2050</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2045.4</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4.99</v>
      </c>
      <c r="D62" s="1096" t="s">
        <v>1462</v>
      </c>
      <c r="E62" s="1081" t="s">
        <v>1463</v>
      </c>
      <c r="F62" s="331">
        <f t="shared" si="0"/>
        <v>5</v>
      </c>
      <c r="I62" s="1647" t="s">
        <v>1535</v>
      </c>
      <c r="J62" s="1648" t="s">
        <v>1536</v>
      </c>
      <c r="K62" s="1648" t="s">
        <v>1537</v>
      </c>
      <c r="L62" s="1648" t="s">
        <v>1538</v>
      </c>
      <c r="M62" s="1649" t="s">
        <v>1539</v>
      </c>
      <c r="O62" s="1603" t="s">
        <v>1014</v>
      </c>
      <c r="P62" s="1604" t="s">
        <v>1540</v>
      </c>
      <c r="Q62" s="1605">
        <f ca="1">Q56+Q57</f>
        <v>27373</v>
      </c>
      <c r="R62" s="1605" t="s">
        <v>1015</v>
      </c>
    </row>
    <row r="63" spans="1:18" s="1569" customFormat="1" ht="13.5" thickBot="1">
      <c r="A63" s="332"/>
      <c r="B63" s="1087"/>
      <c r="C63" s="29"/>
      <c r="D63" s="1097"/>
      <c r="E63" s="1081" t="s">
        <v>1464</v>
      </c>
      <c r="F63" s="309">
        <f t="shared" ca="1" si="0"/>
        <v>9989</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365.3</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47.7</v>
      </c>
      <c r="D65" s="1095" t="s">
        <v>1419</v>
      </c>
      <c r="E65" s="1081" t="s">
        <v>1420</v>
      </c>
      <c r="F65" s="336">
        <f t="shared" ca="1" si="0"/>
        <v>2E-3</v>
      </c>
      <c r="I65" s="1647" t="s">
        <v>1544</v>
      </c>
      <c r="J65" s="1648">
        <v>40</v>
      </c>
      <c r="K65" s="1648">
        <v>30</v>
      </c>
      <c r="L65" s="1648">
        <v>50</v>
      </c>
      <c r="M65" s="1650">
        <v>0.02</v>
      </c>
      <c r="O65" s="1603" t="s">
        <v>1008</v>
      </c>
      <c r="P65" s="1604" t="s">
        <v>1545</v>
      </c>
      <c r="Q65" s="1605">
        <f ca="1">C40+J29</f>
        <v>27373</v>
      </c>
      <c r="R65" s="1605" t="s">
        <v>1494</v>
      </c>
    </row>
    <row r="66" spans="1:18" s="1569" customFormat="1" ht="16.5" thickBot="1">
      <c r="A66" s="1113" t="s">
        <v>1469</v>
      </c>
      <c r="B66" s="1081" t="s">
        <v>1404</v>
      </c>
      <c r="C66" s="24">
        <f ca="1">ROUND(C48*F66,1)</f>
        <v>0</v>
      </c>
      <c r="D66" s="1095" t="s">
        <v>1470</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-2463</v>
      </c>
      <c r="D67" s="1094" t="s">
        <v>1429</v>
      </c>
      <c r="E67" s="1099"/>
      <c r="F67" s="1100"/>
      <c r="O67" s="1613" t="s">
        <v>1010</v>
      </c>
      <c r="P67" s="1604" t="s">
        <v>1527</v>
      </c>
      <c r="Q67" s="1651">
        <f ca="1">L51</f>
        <v>-20047</v>
      </c>
      <c r="R67" s="1605" t="s">
        <v>1547</v>
      </c>
    </row>
    <row r="68" spans="1:18" s="1569" customFormat="1" ht="16.5" thickBot="1">
      <c r="A68" s="1078" t="s">
        <v>1000</v>
      </c>
      <c r="B68" s="1079" t="s">
        <v>1450</v>
      </c>
      <c r="C68" s="307">
        <f ca="1">ROUND(C67*(1-((1+F70)/(1+F68))^F69)/(F68-F70),0)</f>
        <v>-43292</v>
      </c>
      <c r="D68" s="1096" t="s">
        <v>1434</v>
      </c>
      <c r="E68" s="1081" t="s">
        <v>1435</v>
      </c>
      <c r="F68" s="318">
        <f ca="1">F40</f>
        <v>0.05</v>
      </c>
      <c r="O68" s="1613" t="s">
        <v>1011</v>
      </c>
      <c r="P68" s="1652" t="s">
        <v>1548</v>
      </c>
      <c r="Q68" s="1605">
        <f ca="1">ROUND(Q69-Q70*Q71,0)</f>
        <v>-971</v>
      </c>
      <c r="R68" s="1605" t="s">
        <v>1019</v>
      </c>
    </row>
    <row r="69" spans="1:18" s="1569" customFormat="1" ht="13.5" thickBot="1">
      <c r="A69" s="1082"/>
      <c r="B69" s="1083"/>
      <c r="C69" s="312"/>
      <c r="D69" s="1101" t="s">
        <v>1438</v>
      </c>
      <c r="E69" s="1081" t="s">
        <v>1439</v>
      </c>
      <c r="F69" s="339">
        <f ca="1">F41</f>
        <v>43.26</v>
      </c>
      <c r="O69" s="1613" t="s">
        <v>1016</v>
      </c>
      <c r="P69" s="1652" t="s">
        <v>1549</v>
      </c>
      <c r="Q69" s="1605">
        <f ca="1">C39</f>
        <v>1057</v>
      </c>
      <c r="R69" s="1605" t="s">
        <v>1494</v>
      </c>
    </row>
    <row r="70" spans="1:18" s="1569" customFormat="1" ht="13.5" thickBot="1">
      <c r="A70" s="1085"/>
      <c r="B70" s="1086"/>
      <c r="C70" s="316"/>
      <c r="D70" s="1097"/>
      <c r="E70" s="1081" t="s">
        <v>1442</v>
      </c>
      <c r="F70" s="1185"/>
      <c r="O70" s="1613" t="s">
        <v>1017</v>
      </c>
      <c r="P70" s="1652" t="s">
        <v>1550</v>
      </c>
      <c r="Q70" s="1605">
        <f ca="1">C13</f>
        <v>23863</v>
      </c>
      <c r="R70" s="1605" t="s">
        <v>1494</v>
      </c>
    </row>
    <row r="71" spans="1:18" s="1569" customFormat="1" ht="13.5" thickBot="1">
      <c r="A71" s="1102" t="s">
        <v>1001</v>
      </c>
      <c r="B71" s="1103" t="s">
        <v>1452</v>
      </c>
      <c r="C71" s="342">
        <f ca="1">ROUND(C68*10000/F71,0)</f>
        <v>-15787</v>
      </c>
      <c r="D71" s="1104" t="s">
        <v>1453</v>
      </c>
      <c r="E71" s="1105" t="s">
        <v>1454</v>
      </c>
      <c r="F71" s="345">
        <f ca="1">F43</f>
        <v>27421.7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2028</v>
      </c>
      <c r="D75" s="1569"/>
      <c r="E75" s="1569"/>
      <c r="F75" s="1569"/>
      <c r="K75" s="1587"/>
      <c r="L75" s="1569"/>
      <c r="O75" s="1603" t="s">
        <v>1014</v>
      </c>
      <c r="P75" s="1604" t="s">
        <v>1514</v>
      </c>
      <c r="Q75" s="1605">
        <f ca="1">Q65+Q66</f>
        <v>27373</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-0.91900000000000004</v>
      </c>
    </row>
    <row r="80" spans="1:18">
      <c r="B80" s="346" t="s">
        <v>1476</v>
      </c>
      <c r="C80" s="280">
        <f ca="1">ROUND(C75/C39,3)</f>
        <v>1.919</v>
      </c>
    </row>
    <row r="81" spans="2:3">
      <c r="B81" s="276" t="s">
        <v>1477</v>
      </c>
      <c r="C81" s="244"/>
    </row>
    <row r="82" spans="2:3">
      <c r="B82" s="279" t="s">
        <v>1478</v>
      </c>
      <c r="C82" s="281">
        <f ca="1">1-C83</f>
        <v>0.128</v>
      </c>
    </row>
    <row r="83" spans="2:3">
      <c r="B83" s="279" t="s">
        <v>1479</v>
      </c>
      <c r="C83" s="280">
        <f ca="1">ROUND(C13/C40,3)</f>
        <v>0.872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56" t="s">
        <v>1368</v>
      </c>
      <c r="C6" s="1206">
        <f ca="1">ROUND(F6*F8*F7*(1-F9),0)</f>
        <v>0</v>
      </c>
      <c r="D6" s="160" t="s">
        <v>2847</v>
      </c>
      <c r="E6" s="308" t="s">
        <v>1370</v>
      </c>
      <c r="F6" s="309">
        <f ca="1">INDIRECT("'数据-取费表'!u"&amp;$G$1)</f>
        <v>0</v>
      </c>
      <c r="G6" s="1569"/>
      <c r="H6" s="1201" t="s">
        <v>1003</v>
      </c>
      <c r="I6" s="3256" t="s">
        <v>1368</v>
      </c>
      <c r="J6" s="307">
        <f ca="1">ROUND(M6*M8*M7*(1-M9),0)</f>
        <v>0</v>
      </c>
      <c r="K6" s="1561" t="s">
        <v>2848</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0</v>
      </c>
      <c r="G7" s="1569"/>
      <c r="H7" s="310"/>
      <c r="I7" s="3257"/>
      <c r="J7" s="312"/>
      <c r="K7" s="313"/>
      <c r="L7" s="308" t="s">
        <v>1371</v>
      </c>
      <c r="M7" s="309">
        <f ca="1">F7</f>
        <v>0</v>
      </c>
    </row>
    <row r="8" spans="1:37" ht="18" customHeight="1">
      <c r="A8" s="310"/>
      <c r="B8" s="3257"/>
      <c r="C8" s="312"/>
      <c r="D8" s="313"/>
      <c r="E8" s="308" t="s">
        <v>1372</v>
      </c>
      <c r="F8" s="309">
        <f ca="1">INDIRECT("'数据-取费表'!ai"&amp;$G$1)</f>
        <v>0</v>
      </c>
      <c r="G8" s="1569"/>
      <c r="H8" s="310"/>
      <c r="I8" s="3257"/>
      <c r="J8" s="312"/>
      <c r="K8" s="313"/>
      <c r="L8" s="308" t="s">
        <v>1372</v>
      </c>
      <c r="M8" s="309">
        <f ca="1">INDIRECT("'数据-取费表'!ai"&amp;$G$1)</f>
        <v>0</v>
      </c>
    </row>
    <row r="9" spans="1:37" ht="18" customHeight="1">
      <c r="A9" s="310"/>
      <c r="B9" s="3258"/>
      <c r="C9" s="312"/>
      <c r="D9" s="313"/>
      <c r="E9" s="308" t="s">
        <v>1373</v>
      </c>
      <c r="F9" s="318">
        <f ca="1">INDIRECT("'数据-取费表'!w"&amp;$G$1)</f>
        <v>0</v>
      </c>
      <c r="G9" s="1569"/>
      <c r="H9" s="310"/>
      <c r="I9" s="3258"/>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3"/>
      <c r="I30" s="1583"/>
      <c r="J30" s="1584"/>
      <c r="K30" s="2699"/>
      <c r="L30" s="2924"/>
      <c r="M30" s="2925"/>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6" t="s">
        <v>3057</v>
      </c>
      <c r="I31" s="1583"/>
      <c r="J31" s="1584"/>
      <c r="K31" s="2699"/>
      <c r="L31" s="2924"/>
      <c r="M31" s="2925"/>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3"/>
      <c r="I32" s="1583"/>
      <c r="J32" s="1584"/>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6"/>
      <c r="I33" s="1583"/>
      <c r="J33" s="1584"/>
      <c r="K33" s="2927"/>
      <c r="L33" s="2926"/>
      <c r="M33" s="2926"/>
    </row>
    <row r="34" spans="1:18" ht="18" customHeight="1">
      <c r="A34" s="1201" t="s">
        <v>1354</v>
      </c>
      <c r="B34" s="160" t="s">
        <v>1406</v>
      </c>
      <c r="C34" s="25">
        <f ca="1">IF(项目基本情况!B11="自然人","——",ROUND(F34*F35,))</f>
        <v>0</v>
      </c>
      <c r="D34" s="330" t="s">
        <v>1407</v>
      </c>
      <c r="E34" s="308" t="s">
        <v>1408</v>
      </c>
      <c r="F34" s="331">
        <f>'数据-取费表'!B52</f>
        <v>5</v>
      </c>
      <c r="G34" s="1569"/>
      <c r="H34" s="2923"/>
      <c r="I34" s="1583"/>
      <c r="J34" s="1584"/>
      <c r="K34" s="2928"/>
      <c r="L34" s="2929"/>
      <c r="M34" s="2929"/>
    </row>
    <row r="35" spans="1:18" ht="18" customHeight="1">
      <c r="A35" s="1263"/>
      <c r="B35" s="1261"/>
      <c r="C35" s="29"/>
      <c r="D35" s="333"/>
      <c r="E35" s="308" t="s">
        <v>1412</v>
      </c>
      <c r="F35" s="309">
        <f ca="1">INDIRECT("'数据-取费表'!r"&amp;$G$1)</f>
        <v>0</v>
      </c>
      <c r="G35" s="1569"/>
      <c r="H35" s="2923"/>
      <c r="I35" s="1583"/>
      <c r="J35" s="1584"/>
      <c r="K35" s="2927"/>
      <c r="L35" s="2926"/>
      <c r="M35" s="2926"/>
    </row>
    <row r="36" spans="1:18" ht="18" customHeight="1">
      <c r="A36" s="1262" t="s">
        <v>1007</v>
      </c>
      <c r="B36" s="308" t="s">
        <v>1414</v>
      </c>
      <c r="C36" s="24">
        <f ca="1">ROUND(C29*F36,0)</f>
        <v>0</v>
      </c>
      <c r="D36" s="1529" t="s">
        <v>1447</v>
      </c>
      <c r="E36" s="308" t="s">
        <v>1387</v>
      </c>
      <c r="F36" s="334">
        <f ca="1">INDIRECT("'数据-取费表'!Ak"&amp;$G$1)</f>
        <v>0</v>
      </c>
      <c r="G36" s="1569"/>
      <c r="H36" s="2926"/>
      <c r="I36" s="1583"/>
      <c r="J36" s="1584"/>
      <c r="K36" s="2768"/>
      <c r="L36" s="2926"/>
      <c r="M36" s="2926"/>
    </row>
    <row r="37" spans="1:18" ht="18" customHeight="1">
      <c r="A37" s="1113" t="s">
        <v>1043</v>
      </c>
      <c r="B37" s="308" t="s">
        <v>1418</v>
      </c>
      <c r="C37" s="24">
        <f ca="1">ROUND(C13*F37,0)</f>
        <v>0</v>
      </c>
      <c r="D37" s="1529" t="s">
        <v>1419</v>
      </c>
      <c r="E37" s="308" t="s">
        <v>1420</v>
      </c>
      <c r="F37" s="336">
        <f ca="1">INDIRECT("'数据-取费表'!Al"&amp;$G$1)</f>
        <v>0</v>
      </c>
      <c r="G37" s="1569"/>
      <c r="H37" s="2926"/>
      <c r="I37" s="1583"/>
      <c r="J37" s="1584"/>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9"/>
      <c r="H38" s="2926"/>
      <c r="I38" s="1583"/>
      <c r="J38" s="1584"/>
      <c r="K38" s="2930"/>
      <c r="L38" s="2926"/>
      <c r="M38" s="2926"/>
    </row>
    <row r="39" spans="1:18" ht="24.6" customHeight="1" thickTop="1">
      <c r="A39" s="1239" t="s">
        <v>999</v>
      </c>
      <c r="B39" s="1254" t="s">
        <v>1448</v>
      </c>
      <c r="C39" s="316">
        <f ca="1">C5-C30</f>
        <v>0</v>
      </c>
      <c r="D39" s="1255" t="s">
        <v>1449</v>
      </c>
      <c r="E39" s="1256"/>
      <c r="F39" s="1257"/>
      <c r="G39" s="1569"/>
      <c r="H39" s="2926"/>
      <c r="I39" s="1583"/>
      <c r="J39" s="1584"/>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8"/>
      <c r="L41" s="1353"/>
      <c r="M41" s="1353"/>
    </row>
    <row r="42" spans="1:18" ht="18" customHeight="1">
      <c r="A42" s="314"/>
      <c r="B42" s="315"/>
      <c r="C42" s="316"/>
      <c r="D42" s="333"/>
      <c r="E42" s="308" t="s">
        <v>1442</v>
      </c>
      <c r="F42" s="318">
        <f ca="1">INDIRECT("'数据-取费表'!v"&amp;$G$1)</f>
        <v>0</v>
      </c>
      <c r="G42" s="1569"/>
      <c r="H42" s="1353"/>
      <c r="I42" s="1583"/>
      <c r="J42" s="1584"/>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0</v>
      </c>
      <c r="K53" s="3254" t="s">
        <v>1513</v>
      </c>
      <c r="L53" s="3255"/>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34"/>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3"/>
      <c r="G1" s="1675"/>
      <c r="H1" s="1675"/>
      <c r="I1" s="1675"/>
      <c r="J1" s="1675"/>
      <c r="K1" s="1675"/>
      <c r="L1" s="1675"/>
      <c r="M1" s="1675"/>
      <c r="N1" s="1675"/>
      <c r="O1" s="1675"/>
      <c r="P1" s="1675"/>
      <c r="Q1" s="1675"/>
      <c r="R1" s="1675"/>
      <c r="S1" s="1675"/>
    </row>
    <row r="2" spans="1:22" ht="15.75">
      <c r="A2" s="2057" t="s">
        <v>2148</v>
      </c>
      <c r="B2" s="2058">
        <f ca="1">SUMIF(B6:B13,"&lt;&gt;#ref!",B6:B13)</f>
        <v>27373</v>
      </c>
      <c r="C2" s="2059" t="s">
        <v>2340</v>
      </c>
      <c r="D2" s="2060" t="s">
        <v>2341</v>
      </c>
      <c r="E2" s="2831">
        <f>SUM(E6:E13)</f>
        <v>27421.7</v>
      </c>
      <c r="F2" s="2933"/>
      <c r="G2" s="1675"/>
      <c r="H2" s="1675"/>
      <c r="I2" s="1675"/>
      <c r="J2" s="1675"/>
      <c r="K2" s="1675"/>
      <c r="L2" s="1675"/>
      <c r="M2" s="1675"/>
      <c r="N2" s="1675"/>
      <c r="O2" s="1675"/>
      <c r="P2" s="1675"/>
      <c r="Q2" s="1675"/>
      <c r="R2" s="1675"/>
      <c r="S2" s="1675"/>
    </row>
    <row r="3" spans="1:22" ht="15.75">
      <c r="A3" s="2057" t="s">
        <v>1360</v>
      </c>
      <c r="B3" s="2825">
        <f ca="1">ROUND(B2*10000/E2,0)</f>
        <v>9982</v>
      </c>
      <c r="C3" s="2059" t="s">
        <v>2348</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7" t="s">
        <v>2342</v>
      </c>
      <c r="B5" s="3259" t="s">
        <v>2343</v>
      </c>
      <c r="C5" s="3260"/>
      <c r="D5" s="2934"/>
      <c r="E5" s="2061" t="s">
        <v>2344</v>
      </c>
      <c r="F5" s="2062" t="s">
        <v>2345</v>
      </c>
      <c r="G5" s="1675"/>
      <c r="H5" s="1675"/>
      <c r="I5" s="1675"/>
      <c r="J5" s="1675"/>
      <c r="K5" s="1675"/>
      <c r="L5" s="1675"/>
      <c r="M5" s="1675"/>
      <c r="N5" s="1675"/>
      <c r="O5" s="1675"/>
      <c r="P5" s="1675"/>
      <c r="Q5" s="1675"/>
      <c r="R5" s="1675"/>
      <c r="S5" s="1675"/>
    </row>
    <row r="6" spans="1:22">
      <c r="A6" s="2828" t="str">
        <f>'数据-取费表'!AN6</f>
        <v>收益法</v>
      </c>
      <c r="B6" s="2826">
        <f ca="1">IF(F6="是",'数据-取费表'!AO6,0)</f>
        <v>27373</v>
      </c>
      <c r="C6" s="2059" t="s">
        <v>2340</v>
      </c>
      <c r="D6" s="2935"/>
      <c r="E6" s="2830">
        <f>IF(OR(A6=0,F6="否"),0,'数据-取费表'!K6+'数据-取费表'!S6)</f>
        <v>27421.7</v>
      </c>
      <c r="F6" s="2063" t="s">
        <v>2346</v>
      </c>
      <c r="G6" s="1675"/>
      <c r="H6" s="1675"/>
      <c r="I6" s="1675"/>
      <c r="J6" s="1675"/>
      <c r="K6" s="1675"/>
      <c r="L6" s="1675"/>
      <c r="M6" s="1675"/>
      <c r="N6" s="1675"/>
      <c r="O6" s="1675"/>
      <c r="P6" s="1675"/>
      <c r="Q6" s="1675"/>
      <c r="R6" s="1675"/>
      <c r="S6" s="1675"/>
    </row>
    <row r="7" spans="1:22">
      <c r="A7" s="2828">
        <f>'数据-取费表'!AN7</f>
        <v>0</v>
      </c>
      <c r="B7" s="2826" t="e">
        <f ca="1">IF(F7="是",'数据-取费表'!AO7,0)</f>
        <v>#REF!</v>
      </c>
      <c r="C7" s="2059" t="s">
        <v>2340</v>
      </c>
      <c r="D7" s="2935"/>
      <c r="E7" s="2830">
        <f>IF(OR(A7=0,F7="否"),0,'数据-取费表'!K7+'数据-取费表'!S7)</f>
        <v>0</v>
      </c>
      <c r="F7" s="2063" t="s">
        <v>2346</v>
      </c>
      <c r="G7" s="1675"/>
      <c r="H7" s="1675"/>
      <c r="I7" s="1675"/>
      <c r="J7" s="1675"/>
      <c r="K7" s="1675"/>
      <c r="L7" s="1675"/>
      <c r="M7" s="1675"/>
      <c r="N7" s="1675"/>
      <c r="O7" s="1675"/>
      <c r="P7" s="1675"/>
      <c r="Q7" s="1675"/>
      <c r="R7" s="1675"/>
      <c r="S7" s="1675"/>
    </row>
    <row r="8" spans="1:22">
      <c r="A8" s="2828">
        <f>'数据-取费表'!AN8</f>
        <v>0</v>
      </c>
      <c r="B8" s="2826" t="e">
        <f ca="1">IF(F8="是",'数据-取费表'!AO8,0)</f>
        <v>#REF!</v>
      </c>
      <c r="C8" s="2059" t="s">
        <v>2340</v>
      </c>
      <c r="D8" s="2935"/>
      <c r="E8" s="2830">
        <f>IF(OR(A8=0,F8="否"),0,'数据-取费表'!K8+'数据-取费表'!S8)</f>
        <v>0</v>
      </c>
      <c r="F8" s="2063" t="s">
        <v>2346</v>
      </c>
      <c r="G8" s="1675"/>
      <c r="H8" s="1675"/>
      <c r="I8" s="1675"/>
      <c r="J8" s="1675"/>
      <c r="K8" s="1675"/>
      <c r="L8" s="1675"/>
      <c r="M8" s="1675"/>
      <c r="N8" s="1675"/>
      <c r="O8" s="1675"/>
      <c r="P8" s="1675"/>
      <c r="Q8" s="1675"/>
      <c r="R8" s="1675"/>
      <c r="S8" s="1675"/>
    </row>
    <row r="9" spans="1:22">
      <c r="A9" s="2828">
        <f>'数据-取费表'!AN9</f>
        <v>0</v>
      </c>
      <c r="B9" s="2826" t="e">
        <f ca="1">IF(F9="是",'数据-取费表'!AO9,0)</f>
        <v>#REF!</v>
      </c>
      <c r="C9" s="2059" t="s">
        <v>2340</v>
      </c>
      <c r="D9" s="2935"/>
      <c r="E9" s="2830">
        <f>IF(OR(A9=0,F9="否"),0,'数据-取费表'!K9+'数据-取费表'!S9)</f>
        <v>0</v>
      </c>
      <c r="F9" s="2063" t="s">
        <v>2346</v>
      </c>
      <c r="G9" s="1675"/>
      <c r="H9" s="1675"/>
      <c r="I9" s="1675"/>
      <c r="J9" s="1675"/>
      <c r="K9" s="1675"/>
      <c r="L9" s="1675"/>
      <c r="M9" s="1675"/>
      <c r="N9" s="1675"/>
      <c r="O9" s="1675"/>
      <c r="P9" s="1675"/>
      <c r="Q9" s="1675"/>
      <c r="R9" s="1675"/>
      <c r="S9" s="1675"/>
    </row>
    <row r="10" spans="1:22">
      <c r="A10" s="2828">
        <f>'数据-取费表'!AN10</f>
        <v>0</v>
      </c>
      <c r="B10" s="2826" t="e">
        <f ca="1">IF(F10="是",'数据-取费表'!AO10,0)</f>
        <v>#REF!</v>
      </c>
      <c r="C10" s="2059" t="s">
        <v>2340</v>
      </c>
      <c r="D10" s="2935"/>
      <c r="E10" s="2830">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28">
        <f>'数据-取费表'!AN11</f>
        <v>0</v>
      </c>
      <c r="B11" s="2826" t="e">
        <f ca="1">IF(F11="是",'数据-取费表'!AO11,0)</f>
        <v>#REF!</v>
      </c>
      <c r="C11" s="2059" t="s">
        <v>2340</v>
      </c>
      <c r="D11" s="2935"/>
      <c r="E11" s="2830">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28">
        <f>'数据-取费表'!AN12</f>
        <v>0</v>
      </c>
      <c r="B12" s="2826" t="e">
        <f ca="1">IF(F12="是",'数据-取费表'!AO12,0)</f>
        <v>#REF!</v>
      </c>
      <c r="C12" s="2059" t="s">
        <v>2340</v>
      </c>
      <c r="D12" s="2935"/>
      <c r="E12" s="2830">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2340</v>
      </c>
      <c r="D13" s="2936"/>
      <c r="E13" s="2830">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34"/>
    </sheetView>
  </sheetViews>
  <sheetFormatPr defaultRowHeight="13.5"/>
  <cols>
    <col min="1" max="1" width="10.5" customWidth="1"/>
    <col min="2" max="2" width="12.875" customWidth="1"/>
    <col min="3" max="3" width="8.75" customWidth="1"/>
  </cols>
  <sheetData>
    <row r="1" spans="1:9" ht="14.25">
      <c r="A1" s="3277" t="s">
        <v>1044</v>
      </c>
      <c r="B1" s="3278"/>
      <c r="C1" s="3279"/>
      <c r="D1" s="3280">
        <f>SUM(I10,I15,I20,I21,I23)</f>
        <v>0</v>
      </c>
      <c r="E1" s="3280"/>
      <c r="F1" s="3280"/>
      <c r="G1" s="3280"/>
      <c r="H1" s="3280"/>
      <c r="I1" s="3281"/>
    </row>
    <row r="2" spans="1:9">
      <c r="A2" s="3267" t="s">
        <v>1045</v>
      </c>
      <c r="B2" s="3268" t="s">
        <v>1046</v>
      </c>
      <c r="C2" s="3268"/>
      <c r="D2" s="1211" t="s">
        <v>1047</v>
      </c>
      <c r="E2" s="1211" t="s">
        <v>1048</v>
      </c>
      <c r="F2" s="1211" t="s">
        <v>1049</v>
      </c>
      <c r="G2" s="1211" t="s">
        <v>1050</v>
      </c>
      <c r="H2" s="1211" t="s">
        <v>1051</v>
      </c>
      <c r="I2" s="1212" t="s">
        <v>1052</v>
      </c>
    </row>
    <row r="3" spans="1:9">
      <c r="A3" s="3267"/>
      <c r="B3" s="3268" t="s">
        <v>1053</v>
      </c>
      <c r="C3" s="3268"/>
      <c r="D3" s="1213"/>
      <c r="E3" s="1211"/>
      <c r="F3" s="1214"/>
      <c r="G3" s="1214"/>
      <c r="H3" s="1215"/>
      <c r="I3" s="1216">
        <f>ROUND(D3*E3*F3*G3*H3/10000,0)</f>
        <v>0</v>
      </c>
    </row>
    <row r="4" spans="1:9">
      <c r="A4" s="3267"/>
      <c r="B4" s="3268" t="s">
        <v>1054</v>
      </c>
      <c r="C4" s="3268"/>
      <c r="D4" s="1213"/>
      <c r="E4" s="1211"/>
      <c r="F4" s="1214"/>
      <c r="G4" s="1214"/>
      <c r="H4" s="1215"/>
      <c r="I4" s="1216">
        <f t="shared" ref="I4:I9" si="0">ROUND(D4*E4*F4*G4*H4/10000,0)</f>
        <v>0</v>
      </c>
    </row>
    <row r="5" spans="1:9">
      <c r="A5" s="3267"/>
      <c r="B5" s="3268" t="s">
        <v>1055</v>
      </c>
      <c r="C5" s="3268"/>
      <c r="D5" s="1213"/>
      <c r="E5" s="1211"/>
      <c r="F5" s="1214"/>
      <c r="G5" s="1214"/>
      <c r="H5" s="1215"/>
      <c r="I5" s="1216">
        <f t="shared" si="0"/>
        <v>0</v>
      </c>
    </row>
    <row r="6" spans="1:9">
      <c r="A6" s="3267"/>
      <c r="B6" s="3268" t="s">
        <v>1056</v>
      </c>
      <c r="C6" s="3268"/>
      <c r="D6" s="1213"/>
      <c r="E6" s="1211"/>
      <c r="F6" s="1214"/>
      <c r="G6" s="1214"/>
      <c r="H6" s="1215"/>
      <c r="I6" s="1216">
        <f t="shared" si="0"/>
        <v>0</v>
      </c>
    </row>
    <row r="7" spans="1:9">
      <c r="A7" s="3267"/>
      <c r="B7" s="3268" t="s">
        <v>1057</v>
      </c>
      <c r="C7" s="3268"/>
      <c r="D7" s="1213"/>
      <c r="E7" s="1211"/>
      <c r="F7" s="1214"/>
      <c r="G7" s="1214"/>
      <c r="H7" s="1215"/>
      <c r="I7" s="1216">
        <f t="shared" si="0"/>
        <v>0</v>
      </c>
    </row>
    <row r="8" spans="1:9">
      <c r="A8" s="3267"/>
      <c r="B8" s="3268" t="s">
        <v>1058</v>
      </c>
      <c r="C8" s="3268"/>
      <c r="D8" s="1213"/>
      <c r="E8" s="1211"/>
      <c r="F8" s="1214"/>
      <c r="G8" s="1214"/>
      <c r="H8" s="1215"/>
      <c r="I8" s="1216">
        <f t="shared" si="0"/>
        <v>0</v>
      </c>
    </row>
    <row r="9" spans="1:9">
      <c r="A9" s="3267"/>
      <c r="B9" s="3268" t="s">
        <v>1059</v>
      </c>
      <c r="C9" s="3268"/>
      <c r="D9" s="1213"/>
      <c r="E9" s="1211"/>
      <c r="F9" s="1214"/>
      <c r="G9" s="1214"/>
      <c r="H9" s="1215"/>
      <c r="I9" s="1216">
        <f t="shared" si="0"/>
        <v>0</v>
      </c>
    </row>
    <row r="10" spans="1:9">
      <c r="A10" s="3267"/>
      <c r="B10" s="3269" t="s">
        <v>1060</v>
      </c>
      <c r="C10" s="3269"/>
      <c r="D10" s="1217"/>
      <c r="E10" s="1217" t="e">
        <f>ROUND(D1*10000/D10/H9,0)</f>
        <v>#DIV/0!</v>
      </c>
      <c r="F10" s="1218"/>
      <c r="G10" s="1218"/>
      <c r="H10" s="1219"/>
      <c r="I10" s="1220">
        <f>SUM(I3:I9)</f>
        <v>0</v>
      </c>
    </row>
    <row r="11" spans="1:9" ht="14.25">
      <c r="A11" s="3267" t="s">
        <v>1061</v>
      </c>
      <c r="B11" s="3268" t="s">
        <v>1062</v>
      </c>
      <c r="C11" s="3268"/>
      <c r="D11" s="1213" t="s">
        <v>1063</v>
      </c>
      <c r="E11" s="1213" t="s">
        <v>1064</v>
      </c>
      <c r="F11" s="1214" t="s">
        <v>1065</v>
      </c>
      <c r="G11" s="1214" t="s">
        <v>1051</v>
      </c>
      <c r="H11" s="1221" t="s">
        <v>1066</v>
      </c>
      <c r="I11" s="1212" t="s">
        <v>1052</v>
      </c>
    </row>
    <row r="12" spans="1:9">
      <c r="A12" s="3267"/>
      <c r="B12" s="3268" t="s">
        <v>1067</v>
      </c>
      <c r="C12" s="3268"/>
      <c r="D12" s="1213"/>
      <c r="E12" s="1213"/>
      <c r="F12" s="1214"/>
      <c r="G12" s="1215"/>
      <c r="H12" s="1222"/>
      <c r="I12" s="1212">
        <f>ROUND(D12*E12*F12*G12/10000,0)</f>
        <v>0</v>
      </c>
    </row>
    <row r="13" spans="1:9">
      <c r="A13" s="3267"/>
      <c r="B13" s="3268" t="s">
        <v>1068</v>
      </c>
      <c r="C13" s="3268"/>
      <c r="D13" s="1213"/>
      <c r="E13" s="1213"/>
      <c r="F13" s="1214"/>
      <c r="G13" s="1215"/>
      <c r="H13" s="1222"/>
      <c r="I13" s="1212">
        <f>ROUND(D13*E13*F13*G13/10000,0)</f>
        <v>0</v>
      </c>
    </row>
    <row r="14" spans="1:9">
      <c r="A14" s="3267"/>
      <c r="B14" s="3268" t="s">
        <v>1069</v>
      </c>
      <c r="C14" s="3268"/>
      <c r="D14" s="1213"/>
      <c r="E14" s="1213"/>
      <c r="F14" s="1214"/>
      <c r="G14" s="1215"/>
      <c r="H14" s="1222"/>
      <c r="I14" s="1212">
        <f>ROUND(D14*E14*F14*G14/10000,0)</f>
        <v>0</v>
      </c>
    </row>
    <row r="15" spans="1:9">
      <c r="A15" s="3267"/>
      <c r="B15" s="3269" t="s">
        <v>1060</v>
      </c>
      <c r="C15" s="3269"/>
      <c r="D15" s="1217"/>
      <c r="E15" s="1217">
        <f>SUM(E12:E14)</f>
        <v>0</v>
      </c>
      <c r="F15" s="1218"/>
      <c r="G15" s="1215"/>
      <c r="H15" s="1222"/>
      <c r="I15" s="1223">
        <f>SUM(I12:I14)</f>
        <v>0</v>
      </c>
    </row>
    <row r="16" spans="1:9" ht="24">
      <c r="A16" s="3267" t="s">
        <v>1070</v>
      </c>
      <c r="B16" s="3268" t="s">
        <v>1071</v>
      </c>
      <c r="C16" s="3268"/>
      <c r="D16" s="1213" t="s">
        <v>1047</v>
      </c>
      <c r="E16" s="1224" t="s">
        <v>1072</v>
      </c>
      <c r="F16" s="1214" t="s">
        <v>1073</v>
      </c>
      <c r="G16" s="1215" t="s">
        <v>1051</v>
      </c>
      <c r="H16" s="1221" t="s">
        <v>1066</v>
      </c>
      <c r="I16" s="1212" t="s">
        <v>1052</v>
      </c>
    </row>
    <row r="17" spans="1:9" ht="14.25">
      <c r="A17" s="3267"/>
      <c r="B17" s="3268" t="s">
        <v>1074</v>
      </c>
      <c r="C17" s="3268"/>
      <c r="D17" s="1213"/>
      <c r="E17" s="1213"/>
      <c r="F17" s="1214"/>
      <c r="G17" s="1215"/>
      <c r="H17" s="1225"/>
      <c r="I17" s="1226">
        <f>ROUND(D17*E17*F17*G17/10000,0)</f>
        <v>0</v>
      </c>
    </row>
    <row r="18" spans="1:9" ht="14.25">
      <c r="A18" s="3267"/>
      <c r="B18" s="3268" t="s">
        <v>1075</v>
      </c>
      <c r="C18" s="3268"/>
      <c r="D18" s="1213"/>
      <c r="E18" s="1213"/>
      <c r="F18" s="1214"/>
      <c r="G18" s="1215"/>
      <c r="H18" s="1225"/>
      <c r="I18" s="1226">
        <f>ROUND(D18*E18*F18*G18/10000,0)</f>
        <v>0</v>
      </c>
    </row>
    <row r="19" spans="1:9" ht="14.25">
      <c r="A19" s="3267"/>
      <c r="B19" s="3268" t="s">
        <v>1076</v>
      </c>
      <c r="C19" s="3268"/>
      <c r="D19" s="1213"/>
      <c r="E19" s="1213"/>
      <c r="F19" s="1214"/>
      <c r="G19" s="1215"/>
      <c r="H19" s="1225"/>
      <c r="I19" s="1226">
        <f>ROUND(D19*E19*F19*G19/10000,0)</f>
        <v>0</v>
      </c>
    </row>
    <row r="20" spans="1:9">
      <c r="A20" s="3267"/>
      <c r="B20" s="3269" t="s">
        <v>1060</v>
      </c>
      <c r="C20" s="3269"/>
      <c r="D20" s="1217">
        <f>SUM(D17:D19)</f>
        <v>0</v>
      </c>
      <c r="E20" s="1217"/>
      <c r="F20" s="1218"/>
      <c r="G20" s="1215"/>
      <c r="H20" s="1222"/>
      <c r="I20" s="1223">
        <f>SUM(I17:I19)</f>
        <v>0</v>
      </c>
    </row>
    <row r="21" spans="1:9">
      <c r="A21" s="3267" t="s">
        <v>1077</v>
      </c>
      <c r="B21" s="3270"/>
      <c r="C21" s="3270"/>
      <c r="D21" s="3270"/>
      <c r="E21" s="3270"/>
      <c r="F21" s="3270"/>
      <c r="G21" s="3270"/>
      <c r="H21" s="1503">
        <v>0.1</v>
      </c>
      <c r="I21" s="1220">
        <f>ROUND(I10*H21,0)</f>
        <v>0</v>
      </c>
    </row>
    <row r="22" spans="1:9" ht="14.25">
      <c r="A22" s="3271" t="s">
        <v>1078</v>
      </c>
      <c r="B22" s="3272"/>
      <c r="C22" s="3273"/>
      <c r="D22" s="1227" t="s">
        <v>1079</v>
      </c>
      <c r="E22" s="1227" t="s">
        <v>1080</v>
      </c>
      <c r="F22" s="1228" t="s">
        <v>1081</v>
      </c>
      <c r="G22" s="1228" t="s">
        <v>1082</v>
      </c>
      <c r="H22" s="1221" t="s">
        <v>1083</v>
      </c>
      <c r="I22" s="1212" t="s">
        <v>1084</v>
      </c>
    </row>
    <row r="23" spans="1:9" ht="14.25" thickBot="1">
      <c r="A23" s="3274"/>
      <c r="B23" s="3275"/>
      <c r="C23" s="3276"/>
      <c r="D23" s="1229"/>
      <c r="E23" s="1229"/>
      <c r="F23" s="1229"/>
      <c r="G23" s="1230"/>
      <c r="H23" s="1231"/>
      <c r="I23" s="1232">
        <f>ROUND(E23*D23*F23*(1-G23)/10000,0)</f>
        <v>0</v>
      </c>
    </row>
    <row r="26" spans="1:9">
      <c r="A26" s="1233" t="s">
        <v>1085</v>
      </c>
      <c r="B26" s="1233"/>
      <c r="C26" s="1233"/>
      <c r="D26" s="1233"/>
      <c r="E26" s="3264">
        <f>C27-C30-C31-C32</f>
        <v>0</v>
      </c>
      <c r="F26" s="3264"/>
      <c r="G26" s="3264"/>
      <c r="H26" s="1500" t="s">
        <v>1306</v>
      </c>
    </row>
    <row r="27" spans="1:9">
      <c r="A27" s="1234">
        <v>1</v>
      </c>
      <c r="B27" s="1235" t="s">
        <v>1086</v>
      </c>
      <c r="C27" s="1235">
        <f>C28+C29</f>
        <v>0</v>
      </c>
      <c r="D27" s="1235"/>
      <c r="E27" s="3265"/>
      <c r="F27" s="3265"/>
      <c r="G27" s="3265"/>
    </row>
    <row r="28" spans="1:9">
      <c r="A28" s="1236" t="s">
        <v>1087</v>
      </c>
      <c r="B28" s="1235" t="s">
        <v>1088</v>
      </c>
      <c r="C28" s="1235"/>
      <c r="D28" s="1235"/>
      <c r="E28" s="3265"/>
      <c r="F28" s="3265"/>
      <c r="G28" s="326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6"/>
      <c r="F32" s="3266"/>
      <c r="G32" s="3266"/>
    </row>
    <row r="33" spans="1:7" hidden="1">
      <c r="A33" s="3261" t="s">
        <v>1097</v>
      </c>
      <c r="B33" s="3262"/>
      <c r="C33" s="3262"/>
      <c r="D33" s="3263"/>
      <c r="E33" s="3264"/>
      <c r="F33" s="3264"/>
      <c r="G33" s="3264"/>
    </row>
    <row r="34" spans="1:7" hidden="1">
      <c r="A34" s="1238">
        <v>1</v>
      </c>
      <c r="B34" s="1235" t="s">
        <v>1098</v>
      </c>
      <c r="C34" s="1235"/>
      <c r="D34" s="1235"/>
      <c r="E34" s="3265"/>
      <c r="F34" s="3265"/>
      <c r="G34" s="3265"/>
    </row>
    <row r="35" spans="1:7" hidden="1">
      <c r="A35" s="1238">
        <v>2</v>
      </c>
      <c r="B35" s="1235" t="s">
        <v>1099</v>
      </c>
      <c r="C35" s="1235"/>
      <c r="D35" s="1235"/>
      <c r="E35" s="3265"/>
      <c r="F35" s="3265"/>
      <c r="G35" s="3265"/>
    </row>
    <row r="36" spans="1:7" hidden="1">
      <c r="A36" s="1238">
        <v>3</v>
      </c>
      <c r="B36" s="1235" t="s">
        <v>1100</v>
      </c>
      <c r="C36" s="1235"/>
      <c r="D36" s="1235"/>
      <c r="E36" s="3265"/>
      <c r="F36" s="3265"/>
      <c r="G36" s="3265"/>
    </row>
    <row r="37" spans="1:7" hidden="1">
      <c r="A37" s="1238">
        <v>4</v>
      </c>
      <c r="B37" s="1235" t="s">
        <v>1101</v>
      </c>
      <c r="C37" s="1235"/>
      <c r="D37" s="1235"/>
      <c r="E37" s="3265"/>
      <c r="F37" s="3265"/>
      <c r="G37" s="3265"/>
    </row>
    <row r="38" spans="1:7" hidden="1">
      <c r="A38" s="3261" t="s">
        <v>1102</v>
      </c>
      <c r="B38" s="3262"/>
      <c r="C38" s="3262"/>
      <c r="D38" s="3263"/>
      <c r="E38" s="3264"/>
      <c r="F38" s="3264"/>
      <c r="G38" s="3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27421.7</v>
      </c>
      <c r="E3" s="1038"/>
      <c r="F3" s="2075"/>
      <c r="G3" s="1038"/>
      <c r="H3" s="1038"/>
      <c r="I3" s="1038"/>
      <c r="J3" s="1038"/>
      <c r="K3" s="2071"/>
      <c r="L3" s="2939"/>
      <c r="M3" s="2940"/>
      <c r="N3" s="2940"/>
      <c r="O3" s="2940"/>
      <c r="P3" s="2072"/>
      <c r="Q3" s="2073"/>
      <c r="R3" s="2073"/>
      <c r="S3" s="2073"/>
      <c r="T3" s="2073"/>
      <c r="U3" s="2073"/>
      <c r="V3" s="2073"/>
      <c r="W3" s="2073"/>
      <c r="X3" s="2073"/>
      <c r="Y3" s="2073"/>
      <c r="Z3" s="2073"/>
      <c r="AA3" s="2073"/>
      <c r="AB3" s="2073"/>
      <c r="AC3" s="1192"/>
    </row>
    <row r="4" spans="1:29" ht="15">
      <c r="A4" s="361" t="s">
        <v>2356</v>
      </c>
      <c r="B4" s="362"/>
      <c r="C4" s="3300" t="s">
        <v>2357</v>
      </c>
      <c r="D4" s="3301"/>
      <c r="E4" s="3302" t="s">
        <v>2358</v>
      </c>
      <c r="F4" s="3303"/>
      <c r="G4" s="3300" t="s">
        <v>2359</v>
      </c>
      <c r="H4" s="3301"/>
      <c r="I4" s="3300" t="s">
        <v>2360</v>
      </c>
      <c r="J4" s="3301"/>
      <c r="K4" s="2076" t="s">
        <v>2361</v>
      </c>
      <c r="L4" s="2941"/>
      <c r="M4" s="2942"/>
      <c r="N4" s="2942"/>
      <c r="O4" s="2942"/>
      <c r="P4" s="3304" t="s">
        <v>2362</v>
      </c>
      <c r="Q4" s="3305"/>
      <c r="R4" s="3310" t="s">
        <v>2358</v>
      </c>
      <c r="S4" s="3311"/>
      <c r="T4" s="3310" t="s">
        <v>2359</v>
      </c>
      <c r="U4" s="3311"/>
      <c r="V4" s="3316" t="s">
        <v>2360</v>
      </c>
      <c r="W4" s="3316"/>
      <c r="X4" s="1540"/>
      <c r="Y4" s="3310" t="s">
        <v>2362</v>
      </c>
      <c r="Z4" s="3311"/>
      <c r="AA4" s="3297" t="s">
        <v>2358</v>
      </c>
      <c r="AB4" s="3297" t="s">
        <v>2359</v>
      </c>
      <c r="AC4" s="3297" t="s">
        <v>2360</v>
      </c>
    </row>
    <row r="5" spans="1:29" ht="15">
      <c r="A5" s="364"/>
      <c r="B5" s="365"/>
      <c r="C5" s="3319" t="s">
        <v>2363</v>
      </c>
      <c r="D5" s="3320"/>
      <c r="E5" s="3326" t="s">
        <v>2364</v>
      </c>
      <c r="F5" s="3327"/>
      <c r="G5" s="3319" t="s">
        <v>2365</v>
      </c>
      <c r="H5" s="3320"/>
      <c r="I5" s="3319" t="s">
        <v>2366</v>
      </c>
      <c r="J5" s="3320"/>
      <c r="K5" s="2077"/>
      <c r="L5" s="2941"/>
      <c r="M5" s="2942"/>
      <c r="N5" s="2942"/>
      <c r="O5" s="2942"/>
      <c r="P5" s="3306"/>
      <c r="Q5" s="3307"/>
      <c r="R5" s="3312"/>
      <c r="S5" s="3313"/>
      <c r="T5" s="3312"/>
      <c r="U5" s="3313"/>
      <c r="V5" s="3316"/>
      <c r="W5" s="3316"/>
      <c r="X5" s="1540"/>
      <c r="Y5" s="3312"/>
      <c r="Z5" s="3313"/>
      <c r="AA5" s="3298"/>
      <c r="AB5" s="3298"/>
      <c r="AC5" s="3298"/>
    </row>
    <row r="6" spans="1:29" ht="15.75" thickBot="1">
      <c r="A6" s="366"/>
      <c r="B6" s="367"/>
      <c r="C6" s="3317" t="s">
        <v>2367</v>
      </c>
      <c r="D6" s="3318"/>
      <c r="E6" s="3324" t="s">
        <v>2367</v>
      </c>
      <c r="F6" s="3325"/>
      <c r="G6" s="3317" t="s">
        <v>2367</v>
      </c>
      <c r="H6" s="3318"/>
      <c r="I6" s="3317" t="s">
        <v>2367</v>
      </c>
      <c r="J6" s="3318"/>
      <c r="K6" s="2077" t="s">
        <v>2368</v>
      </c>
      <c r="L6" s="2941"/>
      <c r="M6" s="2942"/>
      <c r="N6" s="2942"/>
      <c r="O6" s="2942"/>
      <c r="P6" s="3308"/>
      <c r="Q6" s="3309"/>
      <c r="R6" s="3312"/>
      <c r="S6" s="3313"/>
      <c r="T6" s="3314"/>
      <c r="U6" s="3315"/>
      <c r="V6" s="3316"/>
      <c r="W6" s="3316"/>
      <c r="X6" s="1540"/>
      <c r="Y6" s="3314"/>
      <c r="Z6" s="3315"/>
      <c r="AA6" s="3299"/>
      <c r="AB6" s="3299"/>
      <c r="AC6" s="3299"/>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2078"/>
      <c r="L7" s="2943"/>
      <c r="M7" s="2944"/>
      <c r="N7" s="2944"/>
      <c r="O7" s="2944"/>
      <c r="P7" s="3321" t="s">
        <v>2370</v>
      </c>
      <c r="Q7" s="3323"/>
      <c r="R7" s="710" t="s">
        <v>23</v>
      </c>
      <c r="S7" s="711">
        <f t="shared" ref="S7:S15" si="0">F7</f>
        <v>0</v>
      </c>
      <c r="T7" s="710" t="s">
        <v>23</v>
      </c>
      <c r="U7" s="711">
        <f t="shared" ref="U7:U15" si="1">H7</f>
        <v>0</v>
      </c>
      <c r="V7" s="710" t="s">
        <v>23</v>
      </c>
      <c r="W7" s="711">
        <f t="shared" ref="W7:W15" si="2">J7</f>
        <v>0</v>
      </c>
      <c r="X7" s="712"/>
      <c r="Y7" s="3321" t="s">
        <v>2370</v>
      </c>
      <c r="Z7" s="3322"/>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3"/>
      <c r="M8" s="2944"/>
      <c r="N8" s="2944"/>
      <c r="O8" s="2944"/>
      <c r="P8" s="3321" t="s">
        <v>2373</v>
      </c>
      <c r="Q8" s="3322"/>
      <c r="R8" s="710" t="s">
        <v>23</v>
      </c>
      <c r="S8" s="711">
        <f t="shared" si="0"/>
        <v>0</v>
      </c>
      <c r="T8" s="710" t="s">
        <v>23</v>
      </c>
      <c r="U8" s="711">
        <f t="shared" si="1"/>
        <v>0</v>
      </c>
      <c r="V8" s="710" t="s">
        <v>23</v>
      </c>
      <c r="W8" s="711">
        <f t="shared" si="2"/>
        <v>0</v>
      </c>
      <c r="X8" s="712"/>
      <c r="Y8" s="3321" t="s">
        <v>2373</v>
      </c>
      <c r="Z8" s="332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3"/>
      <c r="M9" s="2944"/>
      <c r="N9" s="2944"/>
      <c r="O9" s="2944"/>
      <c r="P9" s="3296" t="s">
        <v>2376</v>
      </c>
      <c r="Q9" s="1528"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296"/>
      <c r="Q10" s="1528"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296"/>
      <c r="Q11" s="1528" t="str">
        <f t="shared" si="6"/>
        <v>容积率</v>
      </c>
      <c r="R11" s="710" t="s">
        <v>21</v>
      </c>
      <c r="S11" s="711" t="e">
        <f t="shared" si="0"/>
        <v>#N/A</v>
      </c>
      <c r="T11" s="710" t="s">
        <v>21</v>
      </c>
      <c r="U11" s="711" t="e">
        <f t="shared" si="1"/>
        <v>#N/A</v>
      </c>
      <c r="V11" s="710" t="s">
        <v>21</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3296"/>
      <c r="Q12" s="1528">
        <f t="shared" si="6"/>
        <v>111</v>
      </c>
      <c r="R12" s="710" t="s">
        <v>21</v>
      </c>
      <c r="S12" s="711">
        <f t="shared" si="0"/>
        <v>100</v>
      </c>
      <c r="T12" s="710" t="s">
        <v>21</v>
      </c>
      <c r="U12" s="711">
        <f t="shared" si="1"/>
        <v>100</v>
      </c>
      <c r="V12" s="710" t="s">
        <v>21</v>
      </c>
      <c r="W12" s="711">
        <f t="shared" si="2"/>
        <v>100</v>
      </c>
      <c r="X12" s="712"/>
      <c r="Y12" s="315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3296"/>
      <c r="Q13" s="1528">
        <f t="shared" si="6"/>
        <v>111</v>
      </c>
      <c r="R13" s="710" t="s">
        <v>21</v>
      </c>
      <c r="S13" s="711">
        <f t="shared" si="0"/>
        <v>100</v>
      </c>
      <c r="T13" s="710" t="s">
        <v>21</v>
      </c>
      <c r="U13" s="711">
        <f t="shared" si="1"/>
        <v>100</v>
      </c>
      <c r="V13" s="710" t="s">
        <v>21</v>
      </c>
      <c r="W13" s="711">
        <f t="shared" si="2"/>
        <v>100</v>
      </c>
      <c r="X13" s="712"/>
      <c r="Y13" s="3155"/>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3296"/>
      <c r="Q14" s="1528">
        <f t="shared" si="6"/>
        <v>111</v>
      </c>
      <c r="R14" s="710" t="s">
        <v>21</v>
      </c>
      <c r="S14" s="711">
        <f t="shared" si="0"/>
        <v>100</v>
      </c>
      <c r="T14" s="710" t="s">
        <v>21</v>
      </c>
      <c r="U14" s="711">
        <f t="shared" si="1"/>
        <v>100</v>
      </c>
      <c r="V14" s="710" t="s">
        <v>21</v>
      </c>
      <c r="W14" s="711">
        <f t="shared" si="2"/>
        <v>100</v>
      </c>
      <c r="X14" s="712"/>
      <c r="Y14" s="3155"/>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294" t="s">
        <v>2381</v>
      </c>
      <c r="Q15" s="1537" t="str">
        <f t="shared" si="6"/>
        <v>居住社区成熟度</v>
      </c>
      <c r="R15" s="714" t="s">
        <v>21</v>
      </c>
      <c r="S15" s="715">
        <f t="shared" si="0"/>
        <v>100</v>
      </c>
      <c r="T15" s="714" t="s">
        <v>21</v>
      </c>
      <c r="U15" s="715">
        <f t="shared" si="1"/>
        <v>100</v>
      </c>
      <c r="V15" s="714" t="s">
        <v>21</v>
      </c>
      <c r="W15" s="715">
        <f t="shared" si="2"/>
        <v>100</v>
      </c>
      <c r="X15" s="1540"/>
      <c r="Y15" s="3287"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48"/>
      <c r="M16" s="2942"/>
      <c r="N16" s="2942"/>
      <c r="O16" s="2942"/>
      <c r="P16" s="3295"/>
      <c r="Q16" s="1537"/>
      <c r="R16" s="714"/>
      <c r="S16" s="715"/>
      <c r="T16" s="714"/>
      <c r="U16" s="715"/>
      <c r="V16" s="714"/>
      <c r="W16" s="715"/>
      <c r="X16" s="1540"/>
      <c r="Y16" s="3288"/>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295"/>
      <c r="Q17" s="1537" t="str">
        <f>B17</f>
        <v>交通便捷度</v>
      </c>
      <c r="R17" s="714" t="s">
        <v>21</v>
      </c>
      <c r="S17" s="715">
        <f>F17</f>
        <v>100</v>
      </c>
      <c r="T17" s="714" t="s">
        <v>21</v>
      </c>
      <c r="U17" s="715">
        <f>H17</f>
        <v>100</v>
      </c>
      <c r="V17" s="714" t="s">
        <v>21</v>
      </c>
      <c r="W17" s="715">
        <f>J17</f>
        <v>100</v>
      </c>
      <c r="X17" s="1540"/>
      <c r="Y17" s="3288"/>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48"/>
      <c r="M18" s="2942"/>
      <c r="N18" s="2942"/>
      <c r="O18" s="2942"/>
      <c r="P18" s="3295"/>
      <c r="Q18" s="1537"/>
      <c r="R18" s="714"/>
      <c r="S18" s="715"/>
      <c r="T18" s="714"/>
      <c r="U18" s="715"/>
      <c r="V18" s="714"/>
      <c r="W18" s="715"/>
      <c r="X18" s="1540"/>
      <c r="Y18" s="3288"/>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295"/>
      <c r="Q19" s="1537" t="str">
        <f>B19</f>
        <v>公共配套设施</v>
      </c>
      <c r="R19" s="714" t="s">
        <v>21</v>
      </c>
      <c r="S19" s="715">
        <f>F19</f>
        <v>100</v>
      </c>
      <c r="T19" s="714" t="s">
        <v>21</v>
      </c>
      <c r="U19" s="715">
        <f>H19</f>
        <v>100</v>
      </c>
      <c r="V19" s="714" t="s">
        <v>21</v>
      </c>
      <c r="W19" s="715">
        <f>J19</f>
        <v>100</v>
      </c>
      <c r="X19" s="1540"/>
      <c r="Y19" s="3288"/>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48"/>
      <c r="M20" s="2942"/>
      <c r="N20" s="2942"/>
      <c r="O20" s="2942"/>
      <c r="P20" s="3295"/>
      <c r="Q20" s="1537"/>
      <c r="R20" s="714"/>
      <c r="S20" s="715"/>
      <c r="T20" s="714"/>
      <c r="U20" s="715"/>
      <c r="V20" s="714"/>
      <c r="W20" s="715"/>
      <c r="X20" s="1540"/>
      <c r="Y20" s="3288"/>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295"/>
      <c r="Q21" s="1537" t="str">
        <f>B21</f>
        <v>基础设施水平</v>
      </c>
      <c r="R21" s="714" t="s">
        <v>17</v>
      </c>
      <c r="S21" s="715">
        <f>F21</f>
        <v>100</v>
      </c>
      <c r="T21" s="714" t="s">
        <v>17</v>
      </c>
      <c r="U21" s="715">
        <f>H21</f>
        <v>100</v>
      </c>
      <c r="V21" s="714" t="s">
        <v>17</v>
      </c>
      <c r="W21" s="715">
        <f>J21</f>
        <v>100</v>
      </c>
      <c r="X21" s="1540"/>
      <c r="Y21" s="3288"/>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48"/>
      <c r="M22" s="2942"/>
      <c r="N22" s="2942"/>
      <c r="O22" s="2942"/>
      <c r="P22" s="3295"/>
      <c r="Q22" s="1537"/>
      <c r="R22" s="714"/>
      <c r="S22" s="715"/>
      <c r="T22" s="714"/>
      <c r="U22" s="715"/>
      <c r="V22" s="714"/>
      <c r="W22" s="715"/>
      <c r="X22" s="1540"/>
      <c r="Y22" s="3288"/>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295"/>
      <c r="Q23" s="1537" t="str">
        <f>B23</f>
        <v>自然及人文环境</v>
      </c>
      <c r="R23" s="714" t="s">
        <v>21</v>
      </c>
      <c r="S23" s="715">
        <f>F23</f>
        <v>100</v>
      </c>
      <c r="T23" s="714" t="s">
        <v>21</v>
      </c>
      <c r="U23" s="715">
        <f>H23</f>
        <v>100</v>
      </c>
      <c r="V23" s="714" t="s">
        <v>21</v>
      </c>
      <c r="W23" s="715">
        <f>J23</f>
        <v>100</v>
      </c>
      <c r="X23" s="1540"/>
      <c r="Y23" s="3288"/>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48"/>
      <c r="M24" s="2942"/>
      <c r="N24" s="2942"/>
      <c r="O24" s="2942"/>
      <c r="P24" s="3295"/>
      <c r="Q24" s="1537"/>
      <c r="R24" s="714"/>
      <c r="S24" s="715"/>
      <c r="T24" s="714"/>
      <c r="U24" s="715"/>
      <c r="V24" s="714"/>
      <c r="W24" s="715"/>
      <c r="X24" s="1540"/>
      <c r="Y24" s="3288"/>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3295"/>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8"/>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3295"/>
      <c r="Q26" s="1537" t="str">
        <f t="shared" si="11"/>
        <v>朝向</v>
      </c>
      <c r="R26" s="714" t="s">
        <v>21</v>
      </c>
      <c r="S26" s="715">
        <f t="shared" si="12"/>
        <v>100</v>
      </c>
      <c r="T26" s="714" t="s">
        <v>21</v>
      </c>
      <c r="U26" s="715">
        <f t="shared" si="13"/>
        <v>100</v>
      </c>
      <c r="V26" s="714" t="s">
        <v>21</v>
      </c>
      <c r="W26" s="715">
        <f t="shared" si="14"/>
        <v>100</v>
      </c>
      <c r="X26" s="1540"/>
      <c r="Y26" s="3288"/>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3295"/>
      <c r="Q27" s="1528">
        <f t="shared" si="11"/>
        <v>111</v>
      </c>
      <c r="R27" s="710" t="s">
        <v>21</v>
      </c>
      <c r="S27" s="711">
        <f t="shared" si="12"/>
        <v>100</v>
      </c>
      <c r="T27" s="710" t="s">
        <v>21</v>
      </c>
      <c r="U27" s="711">
        <f t="shared" si="13"/>
        <v>100</v>
      </c>
      <c r="V27" s="710" t="s">
        <v>21</v>
      </c>
      <c r="W27" s="711">
        <f t="shared" si="14"/>
        <v>100</v>
      </c>
      <c r="X27" s="712"/>
      <c r="Y27" s="3288"/>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3295"/>
      <c r="Q28" s="1537">
        <f t="shared" si="11"/>
        <v>111</v>
      </c>
      <c r="R28" s="714" t="s">
        <v>21</v>
      </c>
      <c r="S28" s="715">
        <f t="shared" si="12"/>
        <v>100</v>
      </c>
      <c r="T28" s="714" t="s">
        <v>21</v>
      </c>
      <c r="U28" s="715">
        <f t="shared" si="13"/>
        <v>100</v>
      </c>
      <c r="V28" s="714" t="s">
        <v>21</v>
      </c>
      <c r="W28" s="715">
        <f t="shared" si="14"/>
        <v>100</v>
      </c>
      <c r="X28" s="1540"/>
      <c r="Y28" s="3288"/>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3295"/>
      <c r="Q29" s="1537">
        <f t="shared" si="11"/>
        <v>111</v>
      </c>
      <c r="R29" s="714" t="s">
        <v>21</v>
      </c>
      <c r="S29" s="715">
        <f t="shared" si="12"/>
        <v>100</v>
      </c>
      <c r="T29" s="714" t="s">
        <v>21</v>
      </c>
      <c r="U29" s="715">
        <f t="shared" si="13"/>
        <v>100</v>
      </c>
      <c r="V29" s="714" t="s">
        <v>21</v>
      </c>
      <c r="W29" s="715">
        <f t="shared" si="14"/>
        <v>100</v>
      </c>
      <c r="X29" s="1540"/>
      <c r="Y29" s="3288"/>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3295"/>
      <c r="Q30" s="1537">
        <f t="shared" si="11"/>
        <v>111</v>
      </c>
      <c r="R30" s="714" t="s">
        <v>21</v>
      </c>
      <c r="S30" s="715">
        <f t="shared" si="12"/>
        <v>100</v>
      </c>
      <c r="T30" s="714" t="s">
        <v>21</v>
      </c>
      <c r="U30" s="715">
        <f t="shared" si="13"/>
        <v>100</v>
      </c>
      <c r="V30" s="714" t="s">
        <v>21</v>
      </c>
      <c r="W30" s="715">
        <f t="shared" si="14"/>
        <v>100</v>
      </c>
      <c r="X30" s="1540"/>
      <c r="Y30" s="3288"/>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3295"/>
      <c r="Q31" s="1537">
        <f t="shared" si="11"/>
        <v>111</v>
      </c>
      <c r="R31" s="714" t="s">
        <v>21</v>
      </c>
      <c r="S31" s="715">
        <f t="shared" si="12"/>
        <v>100</v>
      </c>
      <c r="T31" s="714" t="s">
        <v>21</v>
      </c>
      <c r="U31" s="715">
        <f t="shared" si="13"/>
        <v>100</v>
      </c>
      <c r="V31" s="714" t="s">
        <v>21</v>
      </c>
      <c r="W31" s="715">
        <f t="shared" si="14"/>
        <v>100</v>
      </c>
      <c r="X31" s="1540"/>
      <c r="Y31" s="3288"/>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48"/>
      <c r="M32" s="2942"/>
      <c r="N32" s="2942"/>
      <c r="O32" s="2942"/>
      <c r="P32" s="3289" t="s">
        <v>2386</v>
      </c>
      <c r="Q32" s="1537" t="str">
        <f t="shared" si="11"/>
        <v>建筑类型</v>
      </c>
      <c r="R32" s="714" t="s">
        <v>21</v>
      </c>
      <c r="S32" s="715">
        <f t="shared" si="12"/>
        <v>100</v>
      </c>
      <c r="T32" s="714" t="s">
        <v>21</v>
      </c>
      <c r="U32" s="715">
        <f t="shared" si="13"/>
        <v>100</v>
      </c>
      <c r="V32" s="714" t="s">
        <v>21</v>
      </c>
      <c r="W32" s="715">
        <f t="shared" si="14"/>
        <v>100</v>
      </c>
      <c r="X32" s="1540"/>
      <c r="Y32" s="3292"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47"/>
      <c r="M33" s="2949"/>
      <c r="N33" s="2949"/>
      <c r="O33" s="2949"/>
      <c r="P33" s="3290"/>
      <c r="Q33" s="716" t="str">
        <f t="shared" si="11"/>
        <v>项目建筑规模</v>
      </c>
      <c r="R33" s="717" t="s">
        <v>21</v>
      </c>
      <c r="S33" s="718" t="e">
        <f t="shared" si="12"/>
        <v>#N/A</v>
      </c>
      <c r="T33" s="717" t="s">
        <v>21</v>
      </c>
      <c r="U33" s="718" t="e">
        <f t="shared" si="13"/>
        <v>#N/A</v>
      </c>
      <c r="V33" s="717" t="s">
        <v>21</v>
      </c>
      <c r="W33" s="718" t="e">
        <f t="shared" si="14"/>
        <v>#N/A</v>
      </c>
      <c r="X33" s="719"/>
      <c r="Y33" s="3292"/>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48"/>
      <c r="M34" s="2942"/>
      <c r="N34" s="2942"/>
      <c r="O34" s="2942"/>
      <c r="P34" s="3290"/>
      <c r="Q34" s="1537" t="str">
        <f t="shared" si="11"/>
        <v>建筑结构</v>
      </c>
      <c r="R34" s="714" t="s">
        <v>21</v>
      </c>
      <c r="S34" s="715">
        <f t="shared" si="12"/>
        <v>100</v>
      </c>
      <c r="T34" s="714" t="s">
        <v>21</v>
      </c>
      <c r="U34" s="715">
        <f t="shared" si="13"/>
        <v>100</v>
      </c>
      <c r="V34" s="714" t="s">
        <v>21</v>
      </c>
      <c r="W34" s="715">
        <f t="shared" si="14"/>
        <v>100</v>
      </c>
      <c r="X34" s="1540"/>
      <c r="Y34" s="3292"/>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48"/>
      <c r="M35" s="2942"/>
      <c r="N35" s="2942"/>
      <c r="O35" s="2942"/>
      <c r="P35" s="3290"/>
      <c r="Q35" s="1537" t="str">
        <f t="shared" si="11"/>
        <v>建筑品质</v>
      </c>
      <c r="R35" s="714" t="s">
        <v>21</v>
      </c>
      <c r="S35" s="715">
        <f t="shared" si="12"/>
        <v>100</v>
      </c>
      <c r="T35" s="714" t="s">
        <v>21</v>
      </c>
      <c r="U35" s="715">
        <f t="shared" si="13"/>
        <v>100</v>
      </c>
      <c r="V35" s="714" t="s">
        <v>21</v>
      </c>
      <c r="W35" s="715">
        <f t="shared" si="14"/>
        <v>100</v>
      </c>
      <c r="X35" s="1540"/>
      <c r="Y35" s="3292"/>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48"/>
      <c r="M36" s="2942"/>
      <c r="N36" s="2942"/>
      <c r="O36" s="2942"/>
      <c r="P36" s="3290"/>
      <c r="Q36" s="1537" t="str">
        <f t="shared" si="11"/>
        <v>公共部分装修</v>
      </c>
      <c r="R36" s="714" t="s">
        <v>21</v>
      </c>
      <c r="S36" s="715">
        <f t="shared" si="12"/>
        <v>100</v>
      </c>
      <c r="T36" s="714" t="s">
        <v>21</v>
      </c>
      <c r="U36" s="715">
        <f t="shared" si="13"/>
        <v>100</v>
      </c>
      <c r="V36" s="714" t="s">
        <v>21</v>
      </c>
      <c r="W36" s="715">
        <f t="shared" si="14"/>
        <v>100</v>
      </c>
      <c r="X36" s="1540"/>
      <c r="Y36" s="3292"/>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290"/>
      <c r="Q37" s="1528" t="str">
        <f t="shared" si="11"/>
        <v>成新度</v>
      </c>
      <c r="R37" s="710" t="s">
        <v>21</v>
      </c>
      <c r="S37" s="711" t="e">
        <f t="shared" si="12"/>
        <v>#N/A</v>
      </c>
      <c r="T37" s="710" t="s">
        <v>21</v>
      </c>
      <c r="U37" s="711" t="e">
        <f t="shared" si="13"/>
        <v>#N/A</v>
      </c>
      <c r="V37" s="710" t="s">
        <v>21</v>
      </c>
      <c r="W37" s="711" t="e">
        <f t="shared" si="14"/>
        <v>#N/A</v>
      </c>
      <c r="X37" s="712"/>
      <c r="Y37" s="3292"/>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48"/>
      <c r="M38" s="2942"/>
      <c r="N38" s="2942"/>
      <c r="O38" s="2942"/>
      <c r="P38" s="3290" t="s">
        <v>2386</v>
      </c>
      <c r="Q38" s="1537" t="str">
        <f t="shared" si="11"/>
        <v>物业管理</v>
      </c>
      <c r="R38" s="714" t="s">
        <v>21</v>
      </c>
      <c r="S38" s="715">
        <f t="shared" si="12"/>
        <v>100</v>
      </c>
      <c r="T38" s="714" t="s">
        <v>21</v>
      </c>
      <c r="U38" s="715">
        <f t="shared" si="13"/>
        <v>100</v>
      </c>
      <c r="V38" s="714" t="s">
        <v>21</v>
      </c>
      <c r="W38" s="715">
        <f t="shared" si="14"/>
        <v>100</v>
      </c>
      <c r="X38" s="1540"/>
      <c r="Y38" s="3292"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48"/>
      <c r="M39" s="2942"/>
      <c r="N39" s="2942"/>
      <c r="O39" s="2942"/>
      <c r="P39" s="3290"/>
      <c r="Q39" s="1537" t="str">
        <f t="shared" si="11"/>
        <v>市政基础设施</v>
      </c>
      <c r="R39" s="714" t="s">
        <v>21</v>
      </c>
      <c r="S39" s="715">
        <f t="shared" si="12"/>
        <v>100</v>
      </c>
      <c r="T39" s="714" t="s">
        <v>21</v>
      </c>
      <c r="U39" s="715">
        <f t="shared" si="13"/>
        <v>100</v>
      </c>
      <c r="V39" s="714" t="s">
        <v>21</v>
      </c>
      <c r="W39" s="715">
        <f t="shared" si="14"/>
        <v>100</v>
      </c>
      <c r="X39" s="1540"/>
      <c r="Y39" s="3292"/>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3290"/>
      <c r="Q40" s="1537" t="str">
        <f t="shared" si="11"/>
        <v>房型</v>
      </c>
      <c r="R40" s="714" t="s">
        <v>21</v>
      </c>
      <c r="S40" s="715">
        <f t="shared" si="12"/>
        <v>100</v>
      </c>
      <c r="T40" s="714" t="s">
        <v>21</v>
      </c>
      <c r="U40" s="715">
        <f t="shared" si="13"/>
        <v>100</v>
      </c>
      <c r="V40" s="714" t="s">
        <v>21</v>
      </c>
      <c r="W40" s="715">
        <f t="shared" si="14"/>
        <v>100</v>
      </c>
      <c r="X40" s="1540"/>
      <c r="Y40" s="3292"/>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47"/>
      <c r="M41" s="2949"/>
      <c r="N41" s="2949"/>
      <c r="O41" s="2949"/>
      <c r="P41" s="3290"/>
      <c r="Q41" s="716" t="str">
        <f t="shared" si="11"/>
        <v>单套/主力户型建筑面积</v>
      </c>
      <c r="R41" s="717" t="s">
        <v>21</v>
      </c>
      <c r="S41" s="718">
        <f t="shared" si="12"/>
        <v>100</v>
      </c>
      <c r="T41" s="717" t="s">
        <v>21</v>
      </c>
      <c r="U41" s="718">
        <f t="shared" si="13"/>
        <v>100</v>
      </c>
      <c r="V41" s="717" t="s">
        <v>21</v>
      </c>
      <c r="W41" s="718">
        <f t="shared" si="14"/>
        <v>100</v>
      </c>
      <c r="X41" s="719"/>
      <c r="Y41" s="3292"/>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48"/>
      <c r="M42" s="2942"/>
      <c r="N42" s="2942"/>
      <c r="O42" s="2942"/>
      <c r="P42" s="3290"/>
      <c r="Q42" s="1537" t="str">
        <f t="shared" si="11"/>
        <v>内部装修</v>
      </c>
      <c r="R42" s="714" t="s">
        <v>21</v>
      </c>
      <c r="S42" s="715">
        <f t="shared" si="12"/>
        <v>100</v>
      </c>
      <c r="T42" s="714" t="s">
        <v>21</v>
      </c>
      <c r="U42" s="715">
        <f t="shared" si="13"/>
        <v>100</v>
      </c>
      <c r="V42" s="714" t="s">
        <v>21</v>
      </c>
      <c r="W42" s="715">
        <f t="shared" si="14"/>
        <v>100</v>
      </c>
      <c r="X42" s="1540"/>
      <c r="Y42" s="3292"/>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3290"/>
      <c r="Q43" s="1537" t="str">
        <f t="shared" si="11"/>
        <v>内部装修维护情况</v>
      </c>
      <c r="R43" s="714" t="s">
        <v>21</v>
      </c>
      <c r="S43" s="715">
        <f t="shared" si="12"/>
        <v>100</v>
      </c>
      <c r="T43" s="714" t="s">
        <v>21</v>
      </c>
      <c r="U43" s="715">
        <f t="shared" si="13"/>
        <v>100</v>
      </c>
      <c r="V43" s="714" t="s">
        <v>21</v>
      </c>
      <c r="W43" s="715">
        <f t="shared" si="14"/>
        <v>100</v>
      </c>
      <c r="X43" s="1540"/>
      <c r="Y43" s="3292"/>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3"/>
      <c r="M44" s="2944"/>
      <c r="N44" s="2944"/>
      <c r="O44" s="2944"/>
      <c r="P44" s="3290"/>
      <c r="Q44" s="1528">
        <f t="shared" si="11"/>
        <v>111</v>
      </c>
      <c r="R44" s="710" t="s">
        <v>21</v>
      </c>
      <c r="S44" s="711">
        <f t="shared" si="12"/>
        <v>100</v>
      </c>
      <c r="T44" s="710" t="s">
        <v>21</v>
      </c>
      <c r="U44" s="711">
        <f t="shared" si="13"/>
        <v>100</v>
      </c>
      <c r="V44" s="710" t="s">
        <v>21</v>
      </c>
      <c r="W44" s="711">
        <f t="shared" si="14"/>
        <v>100</v>
      </c>
      <c r="X44" s="712"/>
      <c r="Y44" s="329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3290"/>
      <c r="Q45" s="1537">
        <f t="shared" si="11"/>
        <v>111</v>
      </c>
      <c r="R45" s="714" t="s">
        <v>21</v>
      </c>
      <c r="S45" s="715">
        <f t="shared" si="12"/>
        <v>100</v>
      </c>
      <c r="T45" s="714" t="s">
        <v>21</v>
      </c>
      <c r="U45" s="715">
        <f t="shared" si="13"/>
        <v>100</v>
      </c>
      <c r="V45" s="714" t="s">
        <v>21</v>
      </c>
      <c r="W45" s="715">
        <f t="shared" si="14"/>
        <v>100</v>
      </c>
      <c r="X45" s="1540"/>
      <c r="Y45" s="3292"/>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48"/>
      <c r="M46" s="2942"/>
      <c r="N46" s="2942"/>
      <c r="O46" s="2942"/>
      <c r="P46" s="3291"/>
      <c r="Q46" s="1537">
        <f t="shared" si="11"/>
        <v>111</v>
      </c>
      <c r="R46" s="714" t="s">
        <v>20</v>
      </c>
      <c r="S46" s="715">
        <f t="shared" si="12"/>
        <v>100</v>
      </c>
      <c r="T46" s="714" t="s">
        <v>20</v>
      </c>
      <c r="U46" s="715">
        <f t="shared" si="13"/>
        <v>100</v>
      </c>
      <c r="V46" s="714" t="s">
        <v>20</v>
      </c>
      <c r="W46" s="715">
        <f t="shared" si="14"/>
        <v>100</v>
      </c>
      <c r="X46" s="1540"/>
      <c r="Y46" s="3293"/>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0"/>
      <c r="M47" s="2951"/>
      <c r="N47" s="2942"/>
      <c r="O47" s="2951"/>
      <c r="P47" s="3285" t="str">
        <f>A47</f>
        <v>成交单价（元/平方米）</v>
      </c>
      <c r="Q47" s="3285"/>
      <c r="R47" s="3286">
        <f>E47</f>
        <v>0</v>
      </c>
      <c r="S47" s="3286"/>
      <c r="T47" s="3286">
        <f>G47</f>
        <v>0</v>
      </c>
      <c r="U47" s="3286"/>
      <c r="V47" s="3286">
        <f>I47</f>
        <v>0</v>
      </c>
      <c r="W47" s="3286"/>
      <c r="X47" s="699"/>
      <c r="Y47" s="721"/>
      <c r="Z47" s="699"/>
      <c r="AA47" s="699"/>
      <c r="AB47" s="699"/>
      <c r="AC47" s="699"/>
    </row>
    <row r="48" spans="1:29" ht="15.75" thickBot="1">
      <c r="A48" s="445" t="s">
        <v>2399</v>
      </c>
      <c r="B48" s="446"/>
      <c r="C48" s="1322" t="e">
        <f>R49</f>
        <v>#DIV/0!</v>
      </c>
      <c r="D48" s="2539" t="s">
        <v>2880</v>
      </c>
      <c r="E48" s="1323" t="e">
        <f>R48</f>
        <v>#DIV/0!</v>
      </c>
      <c r="F48" s="2540"/>
      <c r="G48" s="1322" t="e">
        <f>T48</f>
        <v>#DIV/0!</v>
      </c>
      <c r="H48" s="2540"/>
      <c r="I48" s="1323" t="e">
        <f>V48</f>
        <v>#DIV/0!</v>
      </c>
      <c r="J48" s="2540"/>
      <c r="K48" s="2541">
        <f>F48+H48+J48</f>
        <v>0</v>
      </c>
      <c r="L48" s="2950"/>
      <c r="M48" s="2951"/>
      <c r="N48" s="2951"/>
      <c r="O48" s="2951"/>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0"/>
      <c r="M49" s="2951"/>
      <c r="N49" s="2951"/>
      <c r="O49" s="2951"/>
      <c r="P49" s="3282" t="str">
        <f>A49</f>
        <v>估价对象XX用房的比较价值（楼面单价，元/平方米）</v>
      </c>
      <c r="Q49" s="3283"/>
      <c r="R49" s="3284" t="e">
        <f>IF(F1="售价",ROUND(IF(D48="简单平均",AVERAGE(R48:V48),R48*F48+T48*H48+V48*J48),0),ROUND(IF(D48="简单平均",AVERAGE(R48:V48),R48*F48+T48*H48+V48*J48),1))</f>
        <v>#DIV/0!</v>
      </c>
      <c r="S49" s="3284"/>
      <c r="T49" s="3284"/>
      <c r="U49" s="3284"/>
      <c r="V49" s="3284"/>
      <c r="W49" s="3284"/>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4"/>
    </row>
    <row r="55" spans="1:29" s="459" customFormat="1">
      <c r="A55" s="2954"/>
      <c r="B55" s="2957"/>
      <c r="C55" s="2958"/>
      <c r="D55" s="2954"/>
      <c r="E55" s="2954"/>
      <c r="F55" s="2954"/>
      <c r="G55" s="2954"/>
      <c r="H55" s="2954"/>
      <c r="I55" s="2954"/>
      <c r="J55" s="2954"/>
      <c r="K55" s="2959"/>
      <c r="L55" s="2953"/>
      <c r="M55" s="2954"/>
      <c r="N55" s="2954"/>
      <c r="O55" s="2954"/>
      <c r="P55" s="2104"/>
    </row>
    <row r="56" spans="1:29">
      <c r="A56" s="2951"/>
      <c r="B56" s="2957"/>
      <c r="C56" s="2958"/>
      <c r="D56" s="2951"/>
      <c r="E56" s="2951"/>
      <c r="F56" s="2951"/>
      <c r="G56" s="2951"/>
      <c r="H56" s="2951"/>
      <c r="I56" s="2951"/>
      <c r="J56" s="2951"/>
      <c r="K56" s="2956"/>
      <c r="L56" s="2952"/>
      <c r="M56" s="2951"/>
      <c r="N56" s="2951"/>
      <c r="O56" s="2951"/>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4"/>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0"/>
      <c r="M2" s="2961"/>
      <c r="N2" s="2961"/>
      <c r="O2" s="2961"/>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27421.7</v>
      </c>
      <c r="E3" s="2141"/>
      <c r="F3" s="1040"/>
      <c r="G3" s="1039"/>
      <c r="H3" s="1039"/>
      <c r="I3" s="1039"/>
      <c r="J3" s="1039"/>
      <c r="K3" s="1041"/>
      <c r="L3" s="2960"/>
      <c r="M3" s="2961"/>
      <c r="N3" s="2961"/>
      <c r="O3" s="2961"/>
      <c r="P3" s="2139"/>
      <c r="Q3" s="1043"/>
      <c r="R3" s="1043"/>
      <c r="S3" s="1043"/>
      <c r="T3" s="1043"/>
      <c r="U3" s="1043"/>
      <c r="V3" s="1043"/>
      <c r="W3" s="1043"/>
      <c r="X3" s="1043"/>
      <c r="Y3" s="1043"/>
      <c r="Z3" s="1043"/>
      <c r="AA3" s="1043"/>
      <c r="AB3" s="1043"/>
      <c r="AC3" s="2141"/>
    </row>
    <row r="4" spans="1:29" ht="15">
      <c r="A4" s="361" t="s">
        <v>2466</v>
      </c>
      <c r="B4" s="362"/>
      <c r="C4" s="3300" t="s">
        <v>2467</v>
      </c>
      <c r="D4" s="3301"/>
      <c r="E4" s="3302" t="s">
        <v>2468</v>
      </c>
      <c r="F4" s="3303"/>
      <c r="G4" s="3300" t="s">
        <v>2469</v>
      </c>
      <c r="H4" s="3301"/>
      <c r="I4" s="3300" t="s">
        <v>2470</v>
      </c>
      <c r="J4" s="3301"/>
      <c r="K4" s="567" t="s">
        <v>2471</v>
      </c>
      <c r="L4" s="2941"/>
      <c r="M4" s="2942"/>
      <c r="N4" s="2942"/>
      <c r="O4" s="2942"/>
      <c r="P4" s="3304" t="s">
        <v>2472</v>
      </c>
      <c r="Q4" s="3305"/>
      <c r="R4" s="3310" t="s">
        <v>2468</v>
      </c>
      <c r="S4" s="3311"/>
      <c r="T4" s="3310" t="s">
        <v>2469</v>
      </c>
      <c r="U4" s="3311"/>
      <c r="V4" s="3316" t="s">
        <v>2470</v>
      </c>
      <c r="W4" s="3316"/>
      <c r="X4" s="1540"/>
      <c r="Y4" s="3310" t="s">
        <v>2472</v>
      </c>
      <c r="Z4" s="3311"/>
      <c r="AA4" s="3297" t="s">
        <v>2468</v>
      </c>
      <c r="AB4" s="3316" t="s">
        <v>2469</v>
      </c>
      <c r="AC4" s="3297" t="s">
        <v>2470</v>
      </c>
    </row>
    <row r="5" spans="1:29" ht="15">
      <c r="A5" s="364"/>
      <c r="B5" s="365"/>
      <c r="C5" s="3319" t="s">
        <v>2363</v>
      </c>
      <c r="D5" s="3320"/>
      <c r="E5" s="3326" t="s">
        <v>2364</v>
      </c>
      <c r="F5" s="3327"/>
      <c r="G5" s="3319" t="s">
        <v>2365</v>
      </c>
      <c r="H5" s="3320"/>
      <c r="I5" s="3319" t="s">
        <v>2366</v>
      </c>
      <c r="J5" s="3320"/>
      <c r="K5" s="567"/>
      <c r="L5" s="2941"/>
      <c r="M5" s="2942"/>
      <c r="N5" s="2942"/>
      <c r="O5" s="2942"/>
      <c r="P5" s="3306"/>
      <c r="Q5" s="3307"/>
      <c r="R5" s="3312"/>
      <c r="S5" s="3313"/>
      <c r="T5" s="3312"/>
      <c r="U5" s="3313"/>
      <c r="V5" s="3316"/>
      <c r="W5" s="3316"/>
      <c r="X5" s="1540"/>
      <c r="Y5" s="3312"/>
      <c r="Z5" s="3313"/>
      <c r="AA5" s="3298"/>
      <c r="AB5" s="3316"/>
      <c r="AC5" s="3298"/>
    </row>
    <row r="6" spans="1:29" ht="15.75" thickBot="1">
      <c r="A6" s="366"/>
      <c r="B6" s="367"/>
      <c r="C6" s="3317" t="s">
        <v>2367</v>
      </c>
      <c r="D6" s="3318"/>
      <c r="E6" s="3324" t="s">
        <v>2367</v>
      </c>
      <c r="F6" s="3325"/>
      <c r="G6" s="3317" t="s">
        <v>2367</v>
      </c>
      <c r="H6" s="3318"/>
      <c r="I6" s="3317" t="s">
        <v>2367</v>
      </c>
      <c r="J6" s="3318"/>
      <c r="K6" s="567" t="s">
        <v>2368</v>
      </c>
      <c r="L6" s="2941"/>
      <c r="M6" s="2942"/>
      <c r="N6" s="2942"/>
      <c r="O6" s="2942"/>
      <c r="P6" s="3308"/>
      <c r="Q6" s="3309"/>
      <c r="R6" s="3312"/>
      <c r="S6" s="3313"/>
      <c r="T6" s="3314"/>
      <c r="U6" s="3315"/>
      <c r="V6" s="3316"/>
      <c r="W6" s="3316"/>
      <c r="X6" s="1540"/>
      <c r="Y6" s="3314"/>
      <c r="Z6" s="3315"/>
      <c r="AA6" s="3299"/>
      <c r="AB6" s="3316"/>
      <c r="AC6" s="3299"/>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21" t="s">
        <v>2370</v>
      </c>
      <c r="Q7" s="3323"/>
      <c r="R7" s="710" t="s">
        <v>17</v>
      </c>
      <c r="S7" s="711">
        <f t="shared" ref="S7:S15" si="0">F7</f>
        <v>0</v>
      </c>
      <c r="T7" s="710" t="s">
        <v>17</v>
      </c>
      <c r="U7" s="711">
        <f t="shared" ref="U7:U15" si="1">H7</f>
        <v>0</v>
      </c>
      <c r="V7" s="710" t="s">
        <v>17</v>
      </c>
      <c r="W7" s="711">
        <f t="shared" ref="W7:W15" si="2">J7</f>
        <v>0</v>
      </c>
      <c r="X7" s="712"/>
      <c r="Y7" s="3321" t="s">
        <v>2370</v>
      </c>
      <c r="Z7" s="332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21" t="s">
        <v>2373</v>
      </c>
      <c r="Q8" s="3322"/>
      <c r="R8" s="710" t="s">
        <v>17</v>
      </c>
      <c r="S8" s="711">
        <f t="shared" si="0"/>
        <v>0</v>
      </c>
      <c r="T8" s="710" t="s">
        <v>17</v>
      </c>
      <c r="U8" s="711">
        <f t="shared" si="1"/>
        <v>0</v>
      </c>
      <c r="V8" s="710" t="s">
        <v>17</v>
      </c>
      <c r="W8" s="711">
        <f t="shared" si="2"/>
        <v>0</v>
      </c>
      <c r="X8" s="712"/>
      <c r="Y8" s="3321" t="s">
        <v>2373</v>
      </c>
      <c r="Z8" s="332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296" t="s">
        <v>2376</v>
      </c>
      <c r="Q9" s="1528"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296"/>
      <c r="Q10" s="1528"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296"/>
      <c r="Q11" s="1528"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296"/>
      <c r="Q12" s="1528">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296"/>
      <c r="Q13" s="1528">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296"/>
      <c r="Q14" s="1528">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294" t="s">
        <v>2381</v>
      </c>
      <c r="Q15" s="1537" t="str">
        <f t="shared" si="6"/>
        <v>商业繁华度</v>
      </c>
      <c r="R15" s="714" t="s">
        <v>17</v>
      </c>
      <c r="S15" s="715">
        <f t="shared" si="0"/>
        <v>100</v>
      </c>
      <c r="T15" s="714" t="s">
        <v>17</v>
      </c>
      <c r="U15" s="715">
        <f t="shared" si="1"/>
        <v>100</v>
      </c>
      <c r="V15" s="714" t="s">
        <v>17</v>
      </c>
      <c r="W15" s="715">
        <f t="shared" si="2"/>
        <v>100</v>
      </c>
      <c r="X15" s="1540"/>
      <c r="Y15" s="3287"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8"/>
      <c r="M16" s="2942"/>
      <c r="N16" s="2942"/>
      <c r="O16" s="2942"/>
      <c r="P16" s="3295"/>
      <c r="Q16" s="1537"/>
      <c r="R16" s="714"/>
      <c r="S16" s="715"/>
      <c r="T16" s="714"/>
      <c r="U16" s="715"/>
      <c r="V16" s="714"/>
      <c r="W16" s="715"/>
      <c r="X16" s="1540"/>
      <c r="Y16" s="3288"/>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295"/>
      <c r="Q17" s="1537" t="str">
        <f>B17</f>
        <v>交通便捷度</v>
      </c>
      <c r="R17" s="714" t="s">
        <v>17</v>
      </c>
      <c r="S17" s="715">
        <f>F17</f>
        <v>100</v>
      </c>
      <c r="T17" s="714" t="s">
        <v>17</v>
      </c>
      <c r="U17" s="715">
        <f>H17</f>
        <v>100</v>
      </c>
      <c r="V17" s="714" t="s">
        <v>17</v>
      </c>
      <c r="W17" s="715">
        <f>J17</f>
        <v>100</v>
      </c>
      <c r="X17" s="1540"/>
      <c r="Y17" s="3288"/>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48"/>
      <c r="M18" s="2942"/>
      <c r="N18" s="2942"/>
      <c r="O18" s="2942"/>
      <c r="P18" s="3295"/>
      <c r="Q18" s="1537"/>
      <c r="R18" s="714"/>
      <c r="S18" s="715"/>
      <c r="T18" s="714"/>
      <c r="U18" s="715"/>
      <c r="V18" s="714"/>
      <c r="W18" s="715"/>
      <c r="X18" s="1540"/>
      <c r="Y18" s="3288"/>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295"/>
      <c r="Q19" s="1537" t="str">
        <f>B19</f>
        <v>公共配套设施</v>
      </c>
      <c r="R19" s="714" t="s">
        <v>17</v>
      </c>
      <c r="S19" s="715">
        <f>F19</f>
        <v>100</v>
      </c>
      <c r="T19" s="714" t="s">
        <v>17</v>
      </c>
      <c r="U19" s="715">
        <f>H19</f>
        <v>100</v>
      </c>
      <c r="V19" s="714" t="s">
        <v>17</v>
      </c>
      <c r="W19" s="715">
        <f>J19</f>
        <v>100</v>
      </c>
      <c r="X19" s="1540"/>
      <c r="Y19" s="3288"/>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48"/>
      <c r="M20" s="2942"/>
      <c r="N20" s="2942"/>
      <c r="O20" s="2942"/>
      <c r="P20" s="3295"/>
      <c r="Q20" s="1537"/>
      <c r="R20" s="714"/>
      <c r="S20" s="715"/>
      <c r="T20" s="714"/>
      <c r="U20" s="715"/>
      <c r="V20" s="714"/>
      <c r="W20" s="715"/>
      <c r="X20" s="1540"/>
      <c r="Y20" s="3288"/>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295"/>
      <c r="Q21" s="1537" t="str">
        <f>B21</f>
        <v>基础设施水平</v>
      </c>
      <c r="R21" s="714" t="s">
        <v>17</v>
      </c>
      <c r="S21" s="715">
        <f>F21</f>
        <v>100</v>
      </c>
      <c r="T21" s="714" t="s">
        <v>17</v>
      </c>
      <c r="U21" s="715">
        <f>H21</f>
        <v>100</v>
      </c>
      <c r="V21" s="714" t="s">
        <v>17</v>
      </c>
      <c r="W21" s="715">
        <f>J21</f>
        <v>100</v>
      </c>
      <c r="X21" s="1540"/>
      <c r="Y21" s="3288"/>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48"/>
      <c r="M22" s="2942"/>
      <c r="N22" s="2942"/>
      <c r="O22" s="2942"/>
      <c r="P22" s="3295"/>
      <c r="Q22" s="1537"/>
      <c r="R22" s="714"/>
      <c r="S22" s="715"/>
      <c r="T22" s="714"/>
      <c r="U22" s="715"/>
      <c r="V22" s="714"/>
      <c r="W22" s="715"/>
      <c r="X22" s="1540"/>
      <c r="Y22" s="3288"/>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295"/>
      <c r="Q23" s="1537" t="str">
        <f>B23</f>
        <v>自然及人文环境</v>
      </c>
      <c r="R23" s="714" t="s">
        <v>17</v>
      </c>
      <c r="S23" s="715">
        <f>F23</f>
        <v>100</v>
      </c>
      <c r="T23" s="714" t="s">
        <v>17</v>
      </c>
      <c r="U23" s="715">
        <f>H23</f>
        <v>100</v>
      </c>
      <c r="V23" s="714" t="s">
        <v>17</v>
      </c>
      <c r="W23" s="715">
        <f>J23</f>
        <v>100</v>
      </c>
      <c r="X23" s="1540"/>
      <c r="Y23" s="3288"/>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48"/>
      <c r="M24" s="2942"/>
      <c r="N24" s="2942"/>
      <c r="O24" s="2942"/>
      <c r="P24" s="3295"/>
      <c r="Q24" s="1537"/>
      <c r="R24" s="714"/>
      <c r="S24" s="715"/>
      <c r="T24" s="714"/>
      <c r="U24" s="715"/>
      <c r="V24" s="714"/>
      <c r="W24" s="715"/>
      <c r="X24" s="1540"/>
      <c r="Y24" s="3288"/>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295"/>
      <c r="Q25" s="1537" t="str">
        <f t="shared" ref="Q25:Q46" si="11">B25</f>
        <v>临街状况</v>
      </c>
      <c r="R25" s="714" t="s">
        <v>17</v>
      </c>
      <c r="S25" s="715">
        <f>F25</f>
        <v>100</v>
      </c>
      <c r="T25" s="714" t="s">
        <v>17</v>
      </c>
      <c r="U25" s="715">
        <f>H25</f>
        <v>100</v>
      </c>
      <c r="V25" s="714" t="s">
        <v>17</v>
      </c>
      <c r="W25" s="715">
        <f>J25</f>
        <v>100</v>
      </c>
      <c r="X25" s="1540"/>
      <c r="Y25" s="3288"/>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295"/>
      <c r="Q26" s="1537" t="str">
        <f t="shared" si="11"/>
        <v>平面位置/可视性</v>
      </c>
      <c r="R26" s="714" t="s">
        <v>17</v>
      </c>
      <c r="S26" s="715">
        <f>F26</f>
        <v>100</v>
      </c>
      <c r="T26" s="714" t="s">
        <v>17</v>
      </c>
      <c r="U26" s="715">
        <f>H26</f>
        <v>100</v>
      </c>
      <c r="V26" s="714" t="s">
        <v>17</v>
      </c>
      <c r="W26" s="715">
        <f>J26</f>
        <v>100</v>
      </c>
      <c r="X26" s="1540"/>
      <c r="Y26" s="3288"/>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3"/>
      <c r="M27" s="2944"/>
      <c r="N27" s="2944"/>
      <c r="O27" s="2944"/>
      <c r="P27" s="3295"/>
      <c r="Q27" s="1528" t="str">
        <f t="shared" si="11"/>
        <v>人流量</v>
      </c>
      <c r="R27" s="710" t="s">
        <v>17</v>
      </c>
      <c r="S27" s="711">
        <f>F27</f>
        <v>100</v>
      </c>
      <c r="T27" s="710" t="s">
        <v>17</v>
      </c>
      <c r="U27" s="711">
        <f>H27</f>
        <v>100</v>
      </c>
      <c r="V27" s="710" t="s">
        <v>17</v>
      </c>
      <c r="W27" s="711">
        <f>J27</f>
        <v>100</v>
      </c>
      <c r="X27" s="712"/>
      <c r="Y27" s="3288"/>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295"/>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8"/>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295"/>
      <c r="Q29" s="1537">
        <f t="shared" si="11"/>
        <v>111</v>
      </c>
      <c r="R29" s="714" t="s">
        <v>17</v>
      </c>
      <c r="S29" s="715">
        <f t="shared" si="12"/>
        <v>100</v>
      </c>
      <c r="T29" s="714" t="s">
        <v>17</v>
      </c>
      <c r="U29" s="715">
        <f t="shared" si="13"/>
        <v>100</v>
      </c>
      <c r="V29" s="714" t="s">
        <v>17</v>
      </c>
      <c r="W29" s="715">
        <f t="shared" si="14"/>
        <v>100</v>
      </c>
      <c r="X29" s="1540"/>
      <c r="Y29" s="3288"/>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295"/>
      <c r="Q30" s="1537">
        <f t="shared" si="11"/>
        <v>111</v>
      </c>
      <c r="R30" s="714" t="s">
        <v>17</v>
      </c>
      <c r="S30" s="715">
        <f t="shared" si="12"/>
        <v>100</v>
      </c>
      <c r="T30" s="714" t="s">
        <v>17</v>
      </c>
      <c r="U30" s="715">
        <f t="shared" si="13"/>
        <v>100</v>
      </c>
      <c r="V30" s="714" t="s">
        <v>17</v>
      </c>
      <c r="W30" s="715">
        <f t="shared" si="14"/>
        <v>100</v>
      </c>
      <c r="X30" s="1540"/>
      <c r="Y30" s="3288"/>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295"/>
      <c r="Q31" s="1537">
        <f t="shared" si="11"/>
        <v>111</v>
      </c>
      <c r="R31" s="714" t="s">
        <v>17</v>
      </c>
      <c r="S31" s="715">
        <f t="shared" si="12"/>
        <v>100</v>
      </c>
      <c r="T31" s="714" t="s">
        <v>17</v>
      </c>
      <c r="U31" s="715">
        <f t="shared" si="13"/>
        <v>100</v>
      </c>
      <c r="V31" s="714" t="s">
        <v>17</v>
      </c>
      <c r="W31" s="715">
        <f t="shared" si="14"/>
        <v>100</v>
      </c>
      <c r="X31" s="1540"/>
      <c r="Y31" s="3288"/>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8"/>
      <c r="M32" s="2942"/>
      <c r="N32" s="2942"/>
      <c r="O32" s="2942"/>
      <c r="P32" s="3289" t="s">
        <v>2386</v>
      </c>
      <c r="Q32" s="1537" t="str">
        <f t="shared" si="11"/>
        <v>商业类型</v>
      </c>
      <c r="R32" s="714" t="s">
        <v>17</v>
      </c>
      <c r="S32" s="715">
        <f t="shared" si="12"/>
        <v>100</v>
      </c>
      <c r="T32" s="714" t="s">
        <v>17</v>
      </c>
      <c r="U32" s="715">
        <f t="shared" si="13"/>
        <v>100</v>
      </c>
      <c r="V32" s="714" t="s">
        <v>17</v>
      </c>
      <c r="W32" s="715">
        <f t="shared" si="14"/>
        <v>100</v>
      </c>
      <c r="X32" s="1540"/>
      <c r="Y32" s="3292"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290"/>
      <c r="Q33" s="716" t="str">
        <f t="shared" si="11"/>
        <v>项目建筑规模</v>
      </c>
      <c r="R33" s="717" t="s">
        <v>17</v>
      </c>
      <c r="S33" s="718" t="e">
        <f t="shared" si="12"/>
        <v>#N/A</v>
      </c>
      <c r="T33" s="717" t="s">
        <v>17</v>
      </c>
      <c r="U33" s="718" t="e">
        <f t="shared" si="13"/>
        <v>#N/A</v>
      </c>
      <c r="V33" s="717" t="s">
        <v>17</v>
      </c>
      <c r="W33" s="718" t="e">
        <f t="shared" si="14"/>
        <v>#N/A</v>
      </c>
      <c r="X33" s="719"/>
      <c r="Y33" s="3292"/>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8"/>
      <c r="M34" s="2942"/>
      <c r="N34" s="2942"/>
      <c r="O34" s="2942"/>
      <c r="P34" s="3290"/>
      <c r="Q34" s="1537" t="str">
        <f t="shared" si="11"/>
        <v>建筑结构</v>
      </c>
      <c r="R34" s="714" t="s">
        <v>17</v>
      </c>
      <c r="S34" s="715">
        <f t="shared" si="12"/>
        <v>100</v>
      </c>
      <c r="T34" s="714" t="s">
        <v>17</v>
      </c>
      <c r="U34" s="715">
        <f t="shared" si="13"/>
        <v>100</v>
      </c>
      <c r="V34" s="714" t="s">
        <v>17</v>
      </c>
      <c r="W34" s="715">
        <f t="shared" si="14"/>
        <v>100</v>
      </c>
      <c r="X34" s="1540"/>
      <c r="Y34" s="3292"/>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8"/>
      <c r="M35" s="2942"/>
      <c r="N35" s="2942"/>
      <c r="O35" s="2942"/>
      <c r="P35" s="3290"/>
      <c r="Q35" s="1537" t="str">
        <f t="shared" si="11"/>
        <v>公共部分装修</v>
      </c>
      <c r="R35" s="714" t="s">
        <v>17</v>
      </c>
      <c r="S35" s="715">
        <f t="shared" si="12"/>
        <v>100</v>
      </c>
      <c r="T35" s="714" t="s">
        <v>17</v>
      </c>
      <c r="U35" s="715">
        <f t="shared" si="13"/>
        <v>100</v>
      </c>
      <c r="V35" s="714" t="s">
        <v>17</v>
      </c>
      <c r="W35" s="715">
        <f t="shared" si="14"/>
        <v>100</v>
      </c>
      <c r="X35" s="1540"/>
      <c r="Y35" s="3292"/>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290"/>
      <c r="Q36" s="1537" t="str">
        <f t="shared" si="11"/>
        <v>成新度</v>
      </c>
      <c r="R36" s="714" t="s">
        <v>17</v>
      </c>
      <c r="S36" s="715" t="e">
        <f t="shared" si="12"/>
        <v>#N/A</v>
      </c>
      <c r="T36" s="714" t="s">
        <v>17</v>
      </c>
      <c r="U36" s="715" t="e">
        <f t="shared" si="13"/>
        <v>#N/A</v>
      </c>
      <c r="V36" s="714" t="s">
        <v>17</v>
      </c>
      <c r="W36" s="715" t="e">
        <f t="shared" si="14"/>
        <v>#N/A</v>
      </c>
      <c r="X36" s="1540"/>
      <c r="Y36" s="3292"/>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3"/>
      <c r="M37" s="2944"/>
      <c r="N37" s="2944"/>
      <c r="O37" s="2944"/>
      <c r="P37" s="3290"/>
      <c r="Q37" s="1528" t="str">
        <f t="shared" si="11"/>
        <v>市政基础设施</v>
      </c>
      <c r="R37" s="710" t="s">
        <v>17</v>
      </c>
      <c r="S37" s="711">
        <f t="shared" si="12"/>
        <v>100</v>
      </c>
      <c r="T37" s="710" t="s">
        <v>17</v>
      </c>
      <c r="U37" s="711">
        <f t="shared" si="13"/>
        <v>100</v>
      </c>
      <c r="V37" s="710" t="s">
        <v>17</v>
      </c>
      <c r="W37" s="711">
        <f t="shared" si="14"/>
        <v>100</v>
      </c>
      <c r="X37" s="712"/>
      <c r="Y37" s="3292"/>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290" t="s">
        <v>2386</v>
      </c>
      <c r="Q38" s="1537" t="str">
        <f t="shared" si="11"/>
        <v>业态</v>
      </c>
      <c r="R38" s="714" t="s">
        <v>17</v>
      </c>
      <c r="S38" s="715">
        <f t="shared" si="12"/>
        <v>100</v>
      </c>
      <c r="T38" s="714" t="s">
        <v>17</v>
      </c>
      <c r="U38" s="715">
        <f t="shared" si="13"/>
        <v>100</v>
      </c>
      <c r="V38" s="714" t="s">
        <v>17</v>
      </c>
      <c r="W38" s="715">
        <f t="shared" si="14"/>
        <v>100</v>
      </c>
      <c r="X38" s="1540"/>
      <c r="Y38" s="3292"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8"/>
      <c r="M39" s="2942"/>
      <c r="N39" s="2942"/>
      <c r="O39" s="2942"/>
      <c r="P39" s="3290"/>
      <c r="Q39" s="1537" t="str">
        <f t="shared" si="11"/>
        <v>层高</v>
      </c>
      <c r="R39" s="714" t="s">
        <v>17</v>
      </c>
      <c r="S39" s="715">
        <f t="shared" si="12"/>
        <v>100</v>
      </c>
      <c r="T39" s="714" t="s">
        <v>17</v>
      </c>
      <c r="U39" s="715">
        <f t="shared" si="13"/>
        <v>100</v>
      </c>
      <c r="V39" s="714" t="s">
        <v>17</v>
      </c>
      <c r="W39" s="715">
        <f t="shared" si="14"/>
        <v>100</v>
      </c>
      <c r="X39" s="1540"/>
      <c r="Y39" s="3292"/>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290"/>
      <c r="Q40" s="1537" t="str">
        <f t="shared" si="11"/>
        <v>单套建筑面积</v>
      </c>
      <c r="R40" s="714" t="s">
        <v>17</v>
      </c>
      <c r="S40" s="715">
        <f t="shared" si="12"/>
        <v>100</v>
      </c>
      <c r="T40" s="714" t="s">
        <v>17</v>
      </c>
      <c r="U40" s="715">
        <f t="shared" si="13"/>
        <v>100</v>
      </c>
      <c r="V40" s="714" t="s">
        <v>17</v>
      </c>
      <c r="W40" s="715">
        <f t="shared" si="14"/>
        <v>100</v>
      </c>
      <c r="X40" s="1540"/>
      <c r="Y40" s="3292"/>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290"/>
      <c r="Q41" s="716" t="str">
        <f t="shared" si="11"/>
        <v>进深比</v>
      </c>
      <c r="R41" s="717" t="s">
        <v>17</v>
      </c>
      <c r="S41" s="718">
        <f t="shared" si="12"/>
        <v>100</v>
      </c>
      <c r="T41" s="717" t="s">
        <v>17</v>
      </c>
      <c r="U41" s="718">
        <f t="shared" si="13"/>
        <v>100</v>
      </c>
      <c r="V41" s="717" t="s">
        <v>17</v>
      </c>
      <c r="W41" s="718">
        <f t="shared" si="14"/>
        <v>100</v>
      </c>
      <c r="X41" s="719"/>
      <c r="Y41" s="3292"/>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8"/>
      <c r="M42" s="2942"/>
      <c r="N42" s="2942"/>
      <c r="O42" s="2942"/>
      <c r="P42" s="3290"/>
      <c r="Q42" s="1537" t="str">
        <f t="shared" si="11"/>
        <v>内部装修</v>
      </c>
      <c r="R42" s="714" t="s">
        <v>17</v>
      </c>
      <c r="S42" s="715">
        <f t="shared" si="12"/>
        <v>100</v>
      </c>
      <c r="T42" s="714" t="s">
        <v>17</v>
      </c>
      <c r="U42" s="715">
        <f t="shared" si="13"/>
        <v>100</v>
      </c>
      <c r="V42" s="714" t="s">
        <v>17</v>
      </c>
      <c r="W42" s="715">
        <f t="shared" si="14"/>
        <v>100</v>
      </c>
      <c r="X42" s="1540"/>
      <c r="Y42" s="3292"/>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8"/>
      <c r="M43" s="2942"/>
      <c r="N43" s="2942"/>
      <c r="O43" s="2942"/>
      <c r="P43" s="3290"/>
      <c r="Q43" s="1537" t="str">
        <f t="shared" si="11"/>
        <v>内部装修维护情况</v>
      </c>
      <c r="R43" s="714" t="s">
        <v>17</v>
      </c>
      <c r="S43" s="715">
        <f t="shared" si="12"/>
        <v>100</v>
      </c>
      <c r="T43" s="714" t="s">
        <v>17</v>
      </c>
      <c r="U43" s="715">
        <f t="shared" si="13"/>
        <v>100</v>
      </c>
      <c r="V43" s="714" t="s">
        <v>17</v>
      </c>
      <c r="W43" s="715">
        <f t="shared" si="14"/>
        <v>100</v>
      </c>
      <c r="X43" s="1540"/>
      <c r="Y43" s="3292"/>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290"/>
      <c r="Q44" s="1528">
        <f t="shared" si="11"/>
        <v>111</v>
      </c>
      <c r="R44" s="710" t="s">
        <v>17</v>
      </c>
      <c r="S44" s="711">
        <f t="shared" si="12"/>
        <v>100</v>
      </c>
      <c r="T44" s="710" t="s">
        <v>17</v>
      </c>
      <c r="U44" s="711">
        <f t="shared" si="13"/>
        <v>100</v>
      </c>
      <c r="V44" s="710" t="s">
        <v>17</v>
      </c>
      <c r="W44" s="711">
        <f t="shared" si="14"/>
        <v>100</v>
      </c>
      <c r="X44" s="712"/>
      <c r="Y44" s="329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290"/>
      <c r="Q45" s="1537">
        <f t="shared" si="11"/>
        <v>111</v>
      </c>
      <c r="R45" s="714" t="s">
        <v>17</v>
      </c>
      <c r="S45" s="715">
        <f t="shared" si="12"/>
        <v>100</v>
      </c>
      <c r="T45" s="714" t="s">
        <v>17</v>
      </c>
      <c r="U45" s="715">
        <f t="shared" si="13"/>
        <v>100</v>
      </c>
      <c r="V45" s="714" t="s">
        <v>17</v>
      </c>
      <c r="W45" s="715">
        <f t="shared" si="14"/>
        <v>100</v>
      </c>
      <c r="X45" s="1540"/>
      <c r="Y45" s="3292"/>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291"/>
      <c r="Q46" s="1537">
        <f t="shared" si="11"/>
        <v>111</v>
      </c>
      <c r="R46" s="714" t="s">
        <v>17</v>
      </c>
      <c r="S46" s="715">
        <f t="shared" si="12"/>
        <v>100</v>
      </c>
      <c r="T46" s="714" t="s">
        <v>17</v>
      </c>
      <c r="U46" s="715">
        <f t="shared" si="13"/>
        <v>100</v>
      </c>
      <c r="V46" s="714" t="s">
        <v>17</v>
      </c>
      <c r="W46" s="715">
        <f t="shared" si="14"/>
        <v>100</v>
      </c>
      <c r="X46" s="1540"/>
      <c r="Y46" s="3293"/>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0"/>
      <c r="M47" s="2951"/>
      <c r="N47" s="2942"/>
      <c r="O47" s="2951"/>
      <c r="P47" s="3285" t="str">
        <f>A47</f>
        <v>成交单价（元/平方米）</v>
      </c>
      <c r="Q47" s="3285"/>
      <c r="R47" s="3316">
        <f>E47</f>
        <v>0</v>
      </c>
      <c r="S47" s="3316"/>
      <c r="T47" s="3316">
        <f>G47</f>
        <v>0</v>
      </c>
      <c r="U47" s="3316"/>
      <c r="V47" s="3316">
        <f>I47</f>
        <v>0</v>
      </c>
      <c r="W47" s="3316"/>
      <c r="X47" s="699"/>
      <c r="Y47" s="721"/>
      <c r="Z47" s="699"/>
      <c r="AA47" s="699"/>
      <c r="AB47" s="699"/>
      <c r="AC47" s="699"/>
    </row>
    <row r="48" spans="1:29" ht="15.75" thickBot="1">
      <c r="A48" s="445" t="s">
        <v>2490</v>
      </c>
      <c r="B48" s="446"/>
      <c r="C48" s="1322" t="e">
        <f>R49</f>
        <v>#DIV/0!</v>
      </c>
      <c r="D48" s="2539" t="s">
        <v>2880</v>
      </c>
      <c r="E48" s="1323" t="e">
        <f>R48</f>
        <v>#DIV/0!</v>
      </c>
      <c r="F48" s="2540"/>
      <c r="G48" s="1322" t="e">
        <f>T48</f>
        <v>#DIV/0!</v>
      </c>
      <c r="H48" s="2540"/>
      <c r="I48" s="1323" t="e">
        <f>V48</f>
        <v>#DIV/0!</v>
      </c>
      <c r="J48" s="2540"/>
      <c r="K48" s="2542">
        <f>F48+H48+J48</f>
        <v>0</v>
      </c>
      <c r="L48" s="2950"/>
      <c r="M48" s="2951"/>
      <c r="N48" s="2942"/>
      <c r="O48" s="2951"/>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0"/>
      <c r="M49" s="2951"/>
      <c r="N49" s="2942"/>
      <c r="O49" s="2951"/>
      <c r="P49" s="3282" t="str">
        <f>A49</f>
        <v>估价对象XX用房的比较价值（楼面单价，元/平方米）</v>
      </c>
      <c r="Q49" s="3283"/>
      <c r="R49" s="3284" t="e">
        <f>IF(F1="售价",ROUND(IF(D48="简单平均",AVERAGE(R48:V48),R48*F48+T48*H48+V48*J48),0),ROUND(IF(D48="简单平均",AVERAGE(R48:V48),R48*F48+T48*H48+V48*J48),1))</f>
        <v>#DIV/0!</v>
      </c>
      <c r="S49" s="3284"/>
      <c r="T49" s="3284"/>
      <c r="U49" s="3284"/>
      <c r="V49" s="3284"/>
      <c r="W49" s="3284"/>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2495</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4"/>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5"/>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27421.7</v>
      </c>
      <c r="E3" s="2141"/>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2466</v>
      </c>
      <c r="B4" s="362"/>
      <c r="C4" s="3300" t="s">
        <v>2467</v>
      </c>
      <c r="D4" s="3301"/>
      <c r="E4" s="3302" t="s">
        <v>2468</v>
      </c>
      <c r="F4" s="3303"/>
      <c r="G4" s="3300" t="s">
        <v>2469</v>
      </c>
      <c r="H4" s="3301"/>
      <c r="I4" s="3300" t="s">
        <v>2470</v>
      </c>
      <c r="J4" s="3301"/>
      <c r="K4" s="567" t="s">
        <v>2471</v>
      </c>
      <c r="L4" s="2941"/>
      <c r="M4" s="2942"/>
      <c r="N4" s="2942"/>
      <c r="O4" s="2942"/>
      <c r="P4" s="3334" t="s">
        <v>2472</v>
      </c>
      <c r="Q4" s="3335"/>
      <c r="R4" s="3338" t="s">
        <v>2468</v>
      </c>
      <c r="S4" s="3339"/>
      <c r="T4" s="3338" t="s">
        <v>2469</v>
      </c>
      <c r="U4" s="3339"/>
      <c r="V4" s="3340" t="s">
        <v>2470</v>
      </c>
      <c r="W4" s="3340"/>
      <c r="X4" s="2145"/>
      <c r="Y4" s="3338" t="s">
        <v>2472</v>
      </c>
      <c r="Z4" s="3339"/>
      <c r="AA4" s="3342" t="s">
        <v>2468</v>
      </c>
      <c r="AB4" s="3342" t="s">
        <v>2469</v>
      </c>
      <c r="AC4" s="3331" t="s">
        <v>2470</v>
      </c>
    </row>
    <row r="5" spans="1:29" ht="15">
      <c r="A5" s="364"/>
      <c r="B5" s="365"/>
      <c r="C5" s="3319" t="s">
        <v>2363</v>
      </c>
      <c r="D5" s="3320"/>
      <c r="E5" s="3326" t="s">
        <v>2364</v>
      </c>
      <c r="F5" s="3327"/>
      <c r="G5" s="3319" t="s">
        <v>2365</v>
      </c>
      <c r="H5" s="3320"/>
      <c r="I5" s="3319" t="s">
        <v>2366</v>
      </c>
      <c r="J5" s="3320"/>
      <c r="K5" s="567"/>
      <c r="L5" s="2941"/>
      <c r="M5" s="2942"/>
      <c r="N5" s="2942"/>
      <c r="O5" s="2942"/>
      <c r="P5" s="3336"/>
      <c r="Q5" s="3307"/>
      <c r="R5" s="3312"/>
      <c r="S5" s="3313"/>
      <c r="T5" s="3312"/>
      <c r="U5" s="3313"/>
      <c r="V5" s="3316"/>
      <c r="W5" s="3316"/>
      <c r="X5" s="1540"/>
      <c r="Y5" s="3312"/>
      <c r="Z5" s="3313"/>
      <c r="AA5" s="3298"/>
      <c r="AB5" s="3298"/>
      <c r="AC5" s="3332"/>
    </row>
    <row r="6" spans="1:29" ht="15.75" thickBot="1">
      <c r="A6" s="366"/>
      <c r="B6" s="367"/>
      <c r="C6" s="3317" t="s">
        <v>2367</v>
      </c>
      <c r="D6" s="3318"/>
      <c r="E6" s="3324" t="s">
        <v>2367</v>
      </c>
      <c r="F6" s="3325"/>
      <c r="G6" s="3317" t="s">
        <v>2367</v>
      </c>
      <c r="H6" s="3318"/>
      <c r="I6" s="3317" t="s">
        <v>2367</v>
      </c>
      <c r="J6" s="3318"/>
      <c r="K6" s="567" t="s">
        <v>2368</v>
      </c>
      <c r="L6" s="2941"/>
      <c r="M6" s="2942"/>
      <c r="N6" s="2942"/>
      <c r="O6" s="2942"/>
      <c r="P6" s="3337"/>
      <c r="Q6" s="3309"/>
      <c r="R6" s="3312"/>
      <c r="S6" s="3313"/>
      <c r="T6" s="3314"/>
      <c r="U6" s="3315"/>
      <c r="V6" s="3316"/>
      <c r="W6" s="3316"/>
      <c r="X6" s="1540"/>
      <c r="Y6" s="3314"/>
      <c r="Z6" s="3315"/>
      <c r="AA6" s="3299"/>
      <c r="AB6" s="3299"/>
      <c r="AC6" s="3333"/>
    </row>
    <row r="7" spans="1:29" s="113" customFormat="1" ht="15.75" thickBot="1">
      <c r="A7" s="368" t="s">
        <v>2369</v>
      </c>
      <c r="B7" s="369"/>
      <c r="C7" s="370">
        <f>'数据-取费表'!B2</f>
        <v>44306</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41" t="s">
        <v>2370</v>
      </c>
      <c r="Q7" s="3323"/>
      <c r="R7" s="710" t="s">
        <v>17</v>
      </c>
      <c r="S7" s="711">
        <f t="shared" ref="S7:S15" si="0">F7</f>
        <v>0</v>
      </c>
      <c r="T7" s="710" t="s">
        <v>17</v>
      </c>
      <c r="U7" s="711">
        <f t="shared" ref="U7:U15" si="1">H7</f>
        <v>0</v>
      </c>
      <c r="V7" s="710" t="s">
        <v>17</v>
      </c>
      <c r="W7" s="711">
        <f t="shared" ref="W7:W15" si="2">J7</f>
        <v>0</v>
      </c>
      <c r="X7" s="712"/>
      <c r="Y7" s="3321" t="s">
        <v>2370</v>
      </c>
      <c r="Z7" s="3322"/>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41" t="s">
        <v>2373</v>
      </c>
      <c r="Q8" s="3322"/>
      <c r="R8" s="710" t="s">
        <v>17</v>
      </c>
      <c r="S8" s="711">
        <f t="shared" si="0"/>
        <v>0</v>
      </c>
      <c r="T8" s="710" t="s">
        <v>17</v>
      </c>
      <c r="U8" s="711">
        <f t="shared" si="1"/>
        <v>0</v>
      </c>
      <c r="V8" s="710" t="s">
        <v>17</v>
      </c>
      <c r="W8" s="711">
        <f t="shared" si="2"/>
        <v>0</v>
      </c>
      <c r="X8" s="712"/>
      <c r="Y8" s="3321" t="s">
        <v>2373</v>
      </c>
      <c r="Z8" s="3322"/>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296" t="s">
        <v>2376</v>
      </c>
      <c r="Q9" s="1528"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296"/>
      <c r="Q10" s="1528"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296"/>
      <c r="Q11" s="1528"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3"/>
      <c r="M12" s="2944"/>
      <c r="N12" s="2944"/>
      <c r="O12" s="2944"/>
      <c r="P12" s="3296"/>
      <c r="Q12" s="1528">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48"/>
      <c r="M13" s="2942"/>
      <c r="N13" s="2942"/>
      <c r="O13" s="2942"/>
      <c r="P13" s="3296"/>
      <c r="Q13" s="1528">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48"/>
      <c r="M14" s="2942"/>
      <c r="N14" s="2942"/>
      <c r="O14" s="2942"/>
      <c r="P14" s="3296"/>
      <c r="Q14" s="1528">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294" t="s">
        <v>2381</v>
      </c>
      <c r="Q15" s="1537" t="str">
        <f t="shared" si="6"/>
        <v>办公集聚程度</v>
      </c>
      <c r="R15" s="714" t="s">
        <v>17</v>
      </c>
      <c r="S15" s="715">
        <f t="shared" si="0"/>
        <v>100</v>
      </c>
      <c r="T15" s="714" t="s">
        <v>17</v>
      </c>
      <c r="U15" s="715">
        <f t="shared" si="1"/>
        <v>100</v>
      </c>
      <c r="V15" s="714" t="s">
        <v>17</v>
      </c>
      <c r="W15" s="715">
        <f t="shared" si="2"/>
        <v>100</v>
      </c>
      <c r="X15" s="1540"/>
      <c r="Y15" s="3287"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48"/>
      <c r="M16" s="2942"/>
      <c r="N16" s="2942"/>
      <c r="O16" s="2942"/>
      <c r="P16" s="3295"/>
      <c r="Q16" s="1537"/>
      <c r="R16" s="714"/>
      <c r="S16" s="715"/>
      <c r="T16" s="714"/>
      <c r="U16" s="715"/>
      <c r="V16" s="714"/>
      <c r="W16" s="715"/>
      <c r="X16" s="1540"/>
      <c r="Y16" s="3288"/>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295"/>
      <c r="Q17" s="1537" t="str">
        <f>B17</f>
        <v>交通便捷度</v>
      </c>
      <c r="R17" s="714" t="s">
        <v>17</v>
      </c>
      <c r="S17" s="715">
        <f>F17</f>
        <v>100</v>
      </c>
      <c r="T17" s="714" t="s">
        <v>17</v>
      </c>
      <c r="U17" s="715">
        <f>H17</f>
        <v>100</v>
      </c>
      <c r="V17" s="714" t="s">
        <v>17</v>
      </c>
      <c r="W17" s="715">
        <f>J17</f>
        <v>100</v>
      </c>
      <c r="X17" s="1540"/>
      <c r="Y17" s="3288"/>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48"/>
      <c r="M18" s="2942"/>
      <c r="N18" s="2942"/>
      <c r="O18" s="2942"/>
      <c r="P18" s="3295"/>
      <c r="Q18" s="1537"/>
      <c r="R18" s="714"/>
      <c r="S18" s="715"/>
      <c r="T18" s="714"/>
      <c r="U18" s="715"/>
      <c r="V18" s="714"/>
      <c r="W18" s="715"/>
      <c r="X18" s="1540"/>
      <c r="Y18" s="3288"/>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295"/>
      <c r="Q19" s="1537" t="str">
        <f>B19</f>
        <v>公共配套设施</v>
      </c>
      <c r="R19" s="714" t="s">
        <v>17</v>
      </c>
      <c r="S19" s="715">
        <f>F19</f>
        <v>100</v>
      </c>
      <c r="T19" s="714" t="s">
        <v>17</v>
      </c>
      <c r="U19" s="715">
        <f>H19</f>
        <v>100</v>
      </c>
      <c r="V19" s="714" t="s">
        <v>17</v>
      </c>
      <c r="W19" s="715">
        <f>J19</f>
        <v>100</v>
      </c>
      <c r="X19" s="1540"/>
      <c r="Y19" s="3288"/>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48"/>
      <c r="M20" s="2942"/>
      <c r="N20" s="2942"/>
      <c r="O20" s="2942"/>
      <c r="P20" s="3295"/>
      <c r="Q20" s="1537"/>
      <c r="R20" s="714"/>
      <c r="S20" s="715"/>
      <c r="T20" s="714"/>
      <c r="U20" s="715"/>
      <c r="V20" s="714"/>
      <c r="W20" s="715"/>
      <c r="X20" s="1540"/>
      <c r="Y20" s="3288"/>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295"/>
      <c r="Q21" s="1537" t="str">
        <f>B21</f>
        <v>基础设施水平</v>
      </c>
      <c r="R21" s="714" t="s">
        <v>17</v>
      </c>
      <c r="S21" s="715">
        <f>F21</f>
        <v>100</v>
      </c>
      <c r="T21" s="714" t="s">
        <v>17</v>
      </c>
      <c r="U21" s="715">
        <f>H21</f>
        <v>100</v>
      </c>
      <c r="V21" s="714" t="s">
        <v>17</v>
      </c>
      <c r="W21" s="715">
        <f>J21</f>
        <v>100</v>
      </c>
      <c r="X21" s="1540"/>
      <c r="Y21" s="3288"/>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48"/>
      <c r="M22" s="2942"/>
      <c r="N22" s="2942"/>
      <c r="O22" s="2942"/>
      <c r="P22" s="3295"/>
      <c r="Q22" s="1537"/>
      <c r="R22" s="714"/>
      <c r="S22" s="715"/>
      <c r="T22" s="714"/>
      <c r="U22" s="715"/>
      <c r="V22" s="714"/>
      <c r="W22" s="715"/>
      <c r="X22" s="1540"/>
      <c r="Y22" s="3288"/>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295"/>
      <c r="Q23" s="1537" t="str">
        <f>B23</f>
        <v>环境质量</v>
      </c>
      <c r="R23" s="714" t="s">
        <v>17</v>
      </c>
      <c r="S23" s="715">
        <f>F23</f>
        <v>100</v>
      </c>
      <c r="T23" s="714" t="s">
        <v>17</v>
      </c>
      <c r="U23" s="715">
        <f>H23</f>
        <v>100</v>
      </c>
      <c r="V23" s="714" t="s">
        <v>17</v>
      </c>
      <c r="W23" s="715">
        <f>J23</f>
        <v>100</v>
      </c>
      <c r="X23" s="1540"/>
      <c r="Y23" s="3288"/>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48"/>
      <c r="M24" s="2942"/>
      <c r="N24" s="2942"/>
      <c r="O24" s="2942"/>
      <c r="P24" s="3295"/>
      <c r="Q24" s="1537"/>
      <c r="R24" s="714"/>
      <c r="S24" s="715"/>
      <c r="T24" s="714"/>
      <c r="U24" s="715"/>
      <c r="V24" s="714"/>
      <c r="W24" s="715"/>
      <c r="X24" s="1540"/>
      <c r="Y24" s="3288"/>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48"/>
      <c r="M25" s="2942"/>
      <c r="N25" s="2942"/>
      <c r="O25" s="2942"/>
      <c r="P25" s="3295"/>
      <c r="Q25" s="1537" t="str">
        <f>B25</f>
        <v>毗邻道路的类型与等级</v>
      </c>
      <c r="R25" s="714" t="s">
        <v>17</v>
      </c>
      <c r="S25" s="715">
        <f>F25</f>
        <v>100</v>
      </c>
      <c r="T25" s="714" t="s">
        <v>17</v>
      </c>
      <c r="U25" s="715">
        <f>H25</f>
        <v>100</v>
      </c>
      <c r="V25" s="714" t="s">
        <v>17</v>
      </c>
      <c r="W25" s="715">
        <f>J25</f>
        <v>100</v>
      </c>
      <c r="X25" s="1540"/>
      <c r="Y25" s="3288"/>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48"/>
      <c r="M26" s="2942"/>
      <c r="N26" s="2942"/>
      <c r="O26" s="2942"/>
      <c r="P26" s="3295"/>
      <c r="Q26" s="1537"/>
      <c r="R26" s="714"/>
      <c r="S26" s="715"/>
      <c r="T26" s="714"/>
      <c r="U26" s="715"/>
      <c r="V26" s="714"/>
      <c r="W26" s="715"/>
      <c r="X26" s="1540"/>
      <c r="Y26" s="3288"/>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295"/>
      <c r="Q27" s="1537" t="str">
        <f t="shared" ref="Q27:Q47" si="11">B27</f>
        <v>楼层</v>
      </c>
      <c r="R27" s="714" t="s">
        <v>17</v>
      </c>
      <c r="S27" s="715">
        <f>F27</f>
        <v>100</v>
      </c>
      <c r="T27" s="714" t="s">
        <v>17</v>
      </c>
      <c r="U27" s="715">
        <f>H27</f>
        <v>100</v>
      </c>
      <c r="V27" s="714" t="s">
        <v>17</v>
      </c>
      <c r="W27" s="715">
        <f>J27</f>
        <v>100</v>
      </c>
      <c r="X27" s="1540"/>
      <c r="Y27" s="3288"/>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3"/>
      <c r="M28" s="2944"/>
      <c r="N28" s="2944"/>
      <c r="O28" s="2944"/>
      <c r="P28" s="3295"/>
      <c r="Q28" s="1528" t="str">
        <f t="shared" si="11"/>
        <v>朝向</v>
      </c>
      <c r="R28" s="710" t="s">
        <v>17</v>
      </c>
      <c r="S28" s="711">
        <f>F28</f>
        <v>100</v>
      </c>
      <c r="T28" s="710" t="s">
        <v>17</v>
      </c>
      <c r="U28" s="711">
        <f>H28</f>
        <v>100</v>
      </c>
      <c r="V28" s="710" t="s">
        <v>17</v>
      </c>
      <c r="W28" s="711">
        <f>J28</f>
        <v>100</v>
      </c>
      <c r="X28" s="712"/>
      <c r="Y28" s="3288"/>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48"/>
      <c r="M29" s="2942"/>
      <c r="N29" s="2942"/>
      <c r="O29" s="2942"/>
      <c r="P29" s="3295"/>
      <c r="Q29" s="1537">
        <f t="shared" si="11"/>
        <v>111</v>
      </c>
      <c r="R29" s="714" t="s">
        <v>17</v>
      </c>
      <c r="S29" s="715">
        <f t="shared" ref="S29:S47" si="12">F29</f>
        <v>100</v>
      </c>
      <c r="T29" s="714" t="s">
        <v>17</v>
      </c>
      <c r="U29" s="715">
        <f t="shared" ref="U29:U47" si="13">H29</f>
        <v>100</v>
      </c>
      <c r="V29" s="714" t="s">
        <v>17</v>
      </c>
      <c r="W29" s="715">
        <f t="shared" ref="W29:W47" si="14">J29</f>
        <v>100</v>
      </c>
      <c r="X29" s="1540"/>
      <c r="Y29" s="3288"/>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48"/>
      <c r="M30" s="2942"/>
      <c r="N30" s="2942"/>
      <c r="O30" s="2942"/>
      <c r="P30" s="3295"/>
      <c r="Q30" s="1537">
        <f t="shared" si="11"/>
        <v>111</v>
      </c>
      <c r="R30" s="714" t="s">
        <v>17</v>
      </c>
      <c r="S30" s="715">
        <f t="shared" si="12"/>
        <v>100</v>
      </c>
      <c r="T30" s="714" t="s">
        <v>17</v>
      </c>
      <c r="U30" s="715">
        <f t="shared" si="13"/>
        <v>100</v>
      </c>
      <c r="V30" s="714" t="s">
        <v>17</v>
      </c>
      <c r="W30" s="715">
        <f t="shared" si="14"/>
        <v>100</v>
      </c>
      <c r="X30" s="1540"/>
      <c r="Y30" s="3288"/>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48"/>
      <c r="M31" s="2942"/>
      <c r="N31" s="2942"/>
      <c r="O31" s="2942"/>
      <c r="P31" s="3295"/>
      <c r="Q31" s="1537">
        <f t="shared" si="11"/>
        <v>111</v>
      </c>
      <c r="R31" s="714" t="s">
        <v>17</v>
      </c>
      <c r="S31" s="715">
        <f t="shared" si="12"/>
        <v>100</v>
      </c>
      <c r="T31" s="714" t="s">
        <v>17</v>
      </c>
      <c r="U31" s="715">
        <f t="shared" si="13"/>
        <v>100</v>
      </c>
      <c r="V31" s="714" t="s">
        <v>17</v>
      </c>
      <c r="W31" s="715">
        <f t="shared" si="14"/>
        <v>100</v>
      </c>
      <c r="X31" s="1540"/>
      <c r="Y31" s="3288"/>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48"/>
      <c r="M32" s="2942"/>
      <c r="N32" s="2942"/>
      <c r="O32" s="2942"/>
      <c r="P32" s="3295"/>
      <c r="Q32" s="1537">
        <f t="shared" si="11"/>
        <v>111</v>
      </c>
      <c r="R32" s="714" t="s">
        <v>17</v>
      </c>
      <c r="S32" s="715">
        <f t="shared" si="12"/>
        <v>100</v>
      </c>
      <c r="T32" s="714" t="s">
        <v>17</v>
      </c>
      <c r="U32" s="715">
        <f t="shared" si="13"/>
        <v>100</v>
      </c>
      <c r="V32" s="714" t="s">
        <v>17</v>
      </c>
      <c r="W32" s="715">
        <f t="shared" si="14"/>
        <v>100</v>
      </c>
      <c r="X32" s="1540"/>
      <c r="Y32" s="3288"/>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48"/>
      <c r="M33" s="2942"/>
      <c r="N33" s="2942"/>
      <c r="O33" s="2942"/>
      <c r="P33" s="3289" t="s">
        <v>2386</v>
      </c>
      <c r="Q33" s="1537" t="str">
        <f t="shared" si="11"/>
        <v>建筑类型</v>
      </c>
      <c r="R33" s="714" t="s">
        <v>17</v>
      </c>
      <c r="S33" s="715">
        <f t="shared" si="12"/>
        <v>100</v>
      </c>
      <c r="T33" s="714" t="s">
        <v>17</v>
      </c>
      <c r="U33" s="715">
        <f t="shared" si="13"/>
        <v>100</v>
      </c>
      <c r="V33" s="714" t="s">
        <v>17</v>
      </c>
      <c r="W33" s="715">
        <f t="shared" si="14"/>
        <v>100</v>
      </c>
      <c r="X33" s="1540"/>
      <c r="Y33" s="3292"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290"/>
      <c r="Q34" s="716" t="str">
        <f t="shared" si="11"/>
        <v>项目建筑规模</v>
      </c>
      <c r="R34" s="717" t="s">
        <v>17</v>
      </c>
      <c r="S34" s="718" t="e">
        <f t="shared" si="12"/>
        <v>#N/A</v>
      </c>
      <c r="T34" s="717" t="s">
        <v>17</v>
      </c>
      <c r="U34" s="718" t="e">
        <f t="shared" si="13"/>
        <v>#N/A</v>
      </c>
      <c r="V34" s="717" t="s">
        <v>17</v>
      </c>
      <c r="W34" s="718" t="e">
        <f t="shared" si="14"/>
        <v>#N/A</v>
      </c>
      <c r="X34" s="719"/>
      <c r="Y34" s="3292"/>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290"/>
      <c r="Q35" s="1537" t="str">
        <f t="shared" si="11"/>
        <v>建筑结构</v>
      </c>
      <c r="R35" s="714" t="s">
        <v>17</v>
      </c>
      <c r="S35" s="715">
        <f t="shared" si="12"/>
        <v>100</v>
      </c>
      <c r="T35" s="714" t="s">
        <v>17</v>
      </c>
      <c r="U35" s="715">
        <f t="shared" si="13"/>
        <v>100</v>
      </c>
      <c r="V35" s="714" t="s">
        <v>17</v>
      </c>
      <c r="W35" s="715">
        <f t="shared" si="14"/>
        <v>100</v>
      </c>
      <c r="X35" s="1540"/>
      <c r="Y35" s="3292"/>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290"/>
      <c r="Q36" s="1537" t="str">
        <f t="shared" si="11"/>
        <v>公共部分装修</v>
      </c>
      <c r="R36" s="714" t="s">
        <v>17</v>
      </c>
      <c r="S36" s="715">
        <f t="shared" si="12"/>
        <v>100</v>
      </c>
      <c r="T36" s="714" t="s">
        <v>17</v>
      </c>
      <c r="U36" s="715">
        <f t="shared" si="13"/>
        <v>100</v>
      </c>
      <c r="V36" s="714" t="s">
        <v>17</v>
      </c>
      <c r="W36" s="715">
        <f t="shared" si="14"/>
        <v>100</v>
      </c>
      <c r="X36" s="1540"/>
      <c r="Y36" s="3292"/>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290"/>
      <c r="Q37" s="1537" t="str">
        <f t="shared" si="11"/>
        <v>成新度</v>
      </c>
      <c r="R37" s="714" t="s">
        <v>17</v>
      </c>
      <c r="S37" s="715" t="e">
        <f t="shared" si="12"/>
        <v>#N/A</v>
      </c>
      <c r="T37" s="714" t="s">
        <v>17</v>
      </c>
      <c r="U37" s="715" t="e">
        <f t="shared" si="13"/>
        <v>#N/A</v>
      </c>
      <c r="V37" s="714" t="s">
        <v>17</v>
      </c>
      <c r="W37" s="715" t="e">
        <f t="shared" si="14"/>
        <v>#N/A</v>
      </c>
      <c r="X37" s="1540"/>
      <c r="Y37" s="3292"/>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290"/>
      <c r="Q38" s="1528" t="str">
        <f t="shared" si="11"/>
        <v>写字楼等级</v>
      </c>
      <c r="R38" s="710" t="s">
        <v>17</v>
      </c>
      <c r="S38" s="711">
        <f t="shared" si="12"/>
        <v>100</v>
      </c>
      <c r="T38" s="710" t="s">
        <v>17</v>
      </c>
      <c r="U38" s="711">
        <f t="shared" si="13"/>
        <v>100</v>
      </c>
      <c r="V38" s="710" t="s">
        <v>17</v>
      </c>
      <c r="W38" s="711">
        <f t="shared" si="14"/>
        <v>100</v>
      </c>
      <c r="X38" s="712"/>
      <c r="Y38" s="3292"/>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290" t="s">
        <v>2386</v>
      </c>
      <c r="Q39" s="1537" t="str">
        <f t="shared" si="11"/>
        <v>物业管理</v>
      </c>
      <c r="R39" s="714" t="s">
        <v>17</v>
      </c>
      <c r="S39" s="715">
        <f t="shared" si="12"/>
        <v>100</v>
      </c>
      <c r="T39" s="714" t="s">
        <v>17</v>
      </c>
      <c r="U39" s="715">
        <f t="shared" si="13"/>
        <v>100</v>
      </c>
      <c r="V39" s="714" t="s">
        <v>17</v>
      </c>
      <c r="W39" s="715">
        <f t="shared" si="14"/>
        <v>100</v>
      </c>
      <c r="X39" s="1540"/>
      <c r="Y39" s="3292"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290"/>
      <c r="Q40" s="1537" t="str">
        <f t="shared" si="11"/>
        <v>市政基础设施</v>
      </c>
      <c r="R40" s="714" t="s">
        <v>17</v>
      </c>
      <c r="S40" s="715">
        <f t="shared" si="12"/>
        <v>100</v>
      </c>
      <c r="T40" s="714" t="s">
        <v>17</v>
      </c>
      <c r="U40" s="715">
        <f t="shared" si="13"/>
        <v>100</v>
      </c>
      <c r="V40" s="714" t="s">
        <v>17</v>
      </c>
      <c r="W40" s="715">
        <f t="shared" si="14"/>
        <v>100</v>
      </c>
      <c r="X40" s="1540"/>
      <c r="Y40" s="3292"/>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290"/>
      <c r="Q41" s="1537" t="str">
        <f t="shared" si="11"/>
        <v>层高</v>
      </c>
      <c r="R41" s="714" t="s">
        <v>17</v>
      </c>
      <c r="S41" s="715">
        <f t="shared" si="12"/>
        <v>100</v>
      </c>
      <c r="T41" s="714" t="s">
        <v>17</v>
      </c>
      <c r="U41" s="715">
        <f t="shared" si="13"/>
        <v>100</v>
      </c>
      <c r="V41" s="714" t="s">
        <v>17</v>
      </c>
      <c r="W41" s="715">
        <f t="shared" si="14"/>
        <v>100</v>
      </c>
      <c r="X41" s="1540"/>
      <c r="Y41" s="3292"/>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290"/>
      <c r="Q42" s="716" t="str">
        <f t="shared" si="11"/>
        <v>单套建筑面积</v>
      </c>
      <c r="R42" s="717" t="s">
        <v>17</v>
      </c>
      <c r="S42" s="718">
        <f t="shared" si="12"/>
        <v>100</v>
      </c>
      <c r="T42" s="717" t="s">
        <v>17</v>
      </c>
      <c r="U42" s="718">
        <f t="shared" si="13"/>
        <v>100</v>
      </c>
      <c r="V42" s="717" t="s">
        <v>17</v>
      </c>
      <c r="W42" s="718">
        <f t="shared" si="14"/>
        <v>100</v>
      </c>
      <c r="X42" s="719"/>
      <c r="Y42" s="3292"/>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290"/>
      <c r="Q43" s="1537" t="str">
        <f t="shared" si="11"/>
        <v>内部装修</v>
      </c>
      <c r="R43" s="714" t="s">
        <v>17</v>
      </c>
      <c r="S43" s="715">
        <f t="shared" si="12"/>
        <v>100</v>
      </c>
      <c r="T43" s="714" t="s">
        <v>17</v>
      </c>
      <c r="U43" s="715">
        <f t="shared" si="13"/>
        <v>100</v>
      </c>
      <c r="V43" s="714" t="s">
        <v>17</v>
      </c>
      <c r="W43" s="715">
        <f t="shared" si="14"/>
        <v>100</v>
      </c>
      <c r="X43" s="1540"/>
      <c r="Y43" s="3292"/>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3290"/>
      <c r="Q44" s="1537" t="str">
        <f t="shared" si="11"/>
        <v>内部装修维护情况</v>
      </c>
      <c r="R44" s="714" t="s">
        <v>17</v>
      </c>
      <c r="S44" s="715">
        <f t="shared" si="12"/>
        <v>100</v>
      </c>
      <c r="T44" s="714" t="s">
        <v>17</v>
      </c>
      <c r="U44" s="715">
        <f t="shared" si="13"/>
        <v>100</v>
      </c>
      <c r="V44" s="714" t="s">
        <v>17</v>
      </c>
      <c r="W44" s="715">
        <f t="shared" si="14"/>
        <v>100</v>
      </c>
      <c r="X44" s="1540"/>
      <c r="Y44" s="3292"/>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290"/>
      <c r="Q45" s="1528">
        <f t="shared" si="11"/>
        <v>111</v>
      </c>
      <c r="R45" s="710" t="s">
        <v>17</v>
      </c>
      <c r="S45" s="711">
        <f t="shared" si="12"/>
        <v>100</v>
      </c>
      <c r="T45" s="710" t="s">
        <v>17</v>
      </c>
      <c r="U45" s="711">
        <f t="shared" si="13"/>
        <v>100</v>
      </c>
      <c r="V45" s="710" t="s">
        <v>17</v>
      </c>
      <c r="W45" s="711">
        <f t="shared" si="14"/>
        <v>100</v>
      </c>
      <c r="X45" s="712"/>
      <c r="Y45" s="3292"/>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290"/>
      <c r="Q46" s="1537">
        <f t="shared" si="11"/>
        <v>111</v>
      </c>
      <c r="R46" s="714" t="s">
        <v>17</v>
      </c>
      <c r="S46" s="715">
        <f t="shared" si="12"/>
        <v>100</v>
      </c>
      <c r="T46" s="714" t="s">
        <v>17</v>
      </c>
      <c r="U46" s="715">
        <f t="shared" si="13"/>
        <v>100</v>
      </c>
      <c r="V46" s="714" t="s">
        <v>17</v>
      </c>
      <c r="W46" s="715">
        <f t="shared" si="14"/>
        <v>100</v>
      </c>
      <c r="X46" s="1540"/>
      <c r="Y46" s="3292"/>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291"/>
      <c r="Q47" s="1537">
        <f t="shared" si="11"/>
        <v>111</v>
      </c>
      <c r="R47" s="714" t="s">
        <v>17</v>
      </c>
      <c r="S47" s="715">
        <f t="shared" si="12"/>
        <v>100</v>
      </c>
      <c r="T47" s="714" t="s">
        <v>17</v>
      </c>
      <c r="U47" s="715">
        <f t="shared" si="13"/>
        <v>100</v>
      </c>
      <c r="V47" s="714" t="s">
        <v>17</v>
      </c>
      <c r="W47" s="715">
        <f t="shared" si="14"/>
        <v>100</v>
      </c>
      <c r="X47" s="1540"/>
      <c r="Y47" s="3293"/>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0"/>
      <c r="M48" s="2942"/>
      <c r="N48" s="2942"/>
      <c r="O48" s="2942"/>
      <c r="P48" s="3296" t="str">
        <f>A48</f>
        <v>成交单价（元/平方米）</v>
      </c>
      <c r="Q48" s="3285"/>
      <c r="R48" s="3286">
        <f>E48</f>
        <v>0</v>
      </c>
      <c r="S48" s="3286"/>
      <c r="T48" s="3286">
        <f>G48</f>
        <v>0</v>
      </c>
      <c r="U48" s="3286"/>
      <c r="V48" s="3286">
        <f>I48</f>
        <v>0</v>
      </c>
      <c r="W48" s="3286"/>
      <c r="X48" s="405"/>
      <c r="Y48" s="721"/>
      <c r="Z48" s="405"/>
      <c r="AA48" s="405"/>
      <c r="AB48" s="405"/>
      <c r="AC48" s="586"/>
    </row>
    <row r="49" spans="1:29" ht="15.75" thickBot="1">
      <c r="A49" s="445" t="s">
        <v>2490</v>
      </c>
      <c r="B49" s="446"/>
      <c r="C49" s="1322" t="e">
        <f>R50</f>
        <v>#DIV/0!</v>
      </c>
      <c r="D49" s="2539" t="s">
        <v>2880</v>
      </c>
      <c r="E49" s="1323" t="e">
        <f>R49</f>
        <v>#DIV/0!</v>
      </c>
      <c r="F49" s="2540"/>
      <c r="G49" s="1322" t="e">
        <f>T49</f>
        <v>#DIV/0!</v>
      </c>
      <c r="H49" s="2540"/>
      <c r="I49" s="1323" t="e">
        <f>V49</f>
        <v>#DIV/0!</v>
      </c>
      <c r="J49" s="2540"/>
      <c r="K49" s="2542">
        <f>F49+H49+J49</f>
        <v>0</v>
      </c>
      <c r="L49" s="2950"/>
      <c r="M49" s="2942"/>
      <c r="N49" s="2942"/>
      <c r="O49" s="2942"/>
      <c r="P49" s="3296" t="str">
        <f>A49</f>
        <v>比较价值（元/平方米）</v>
      </c>
      <c r="Q49" s="3285"/>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0"/>
      <c r="M50" s="2942"/>
      <c r="N50" s="2942"/>
      <c r="O50" s="2942"/>
      <c r="P50" s="3328" t="str">
        <f>A50</f>
        <v>估价对象XX用房的比较价值（楼面单价，元/平方米）</v>
      </c>
      <c r="Q50" s="3329"/>
      <c r="R50" s="3330" t="e">
        <f>IF(F1="售价",ROUND(IF(D49="简单平均",AVERAGE(R49:V49),R49*F49+T49*H49+V49*J49),0),ROUND(IF(D49="简单平均",AVERAGE(R49:V49),R49*F49+T49*H49+V49*J49),1))</f>
        <v>#DIV/0!</v>
      </c>
      <c r="S50" s="3330"/>
      <c r="T50" s="3330"/>
      <c r="U50" s="3330"/>
      <c r="V50" s="3330"/>
      <c r="W50" s="3330"/>
      <c r="X50" s="2133"/>
      <c r="Y50" s="2133"/>
      <c r="Z50" s="2133"/>
      <c r="AA50" s="2133"/>
      <c r="AB50" s="2133"/>
      <c r="AC50" s="2134"/>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2495</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4"/>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5"/>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540"/>
      <c r="D119" s="540"/>
      <c r="E119" s="540"/>
      <c r="F119" s="540"/>
      <c r="G119" s="540"/>
      <c r="H119" s="540"/>
      <c r="I119" s="540"/>
      <c r="J119" s="540"/>
      <c r="K119" s="540"/>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115" zoomScaleNormal="60" zoomScaleSheetLayoutView="115" workbookViewId="0">
      <selection activeCell="I55" sqref="I5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t="s">
        <v>3275</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IF(C2="——",ROUND(C43*D3/10000,0),ROUND(C43*D3/10000,0)-D2)</f>
        <v>#DIV/0!</v>
      </c>
      <c r="C2" s="2068" t="s">
        <v>70</v>
      </c>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IF(C2="——",C43,ROUND(B2*10000/D3,0))</f>
        <v>#DIV/0!</v>
      </c>
      <c r="C3" s="360" t="s">
        <v>2465</v>
      </c>
      <c r="D3" s="359">
        <f>IF(D1="",'数据-汇总表'!E3,SUMIF('数据-汇总表'!$C19:$C33,D1,'数据-汇总表'!$E19:$E33))</f>
        <v>27421.7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1044"/>
      <c r="M4" s="1045"/>
      <c r="N4" s="1045"/>
      <c r="O4" s="1045"/>
      <c r="P4" s="3304" t="s">
        <v>2472</v>
      </c>
      <c r="Q4" s="3305"/>
      <c r="R4" s="3310" t="s">
        <v>2468</v>
      </c>
      <c r="S4" s="3311"/>
      <c r="T4" s="3310" t="s">
        <v>2469</v>
      </c>
      <c r="U4" s="3311"/>
      <c r="V4" s="3316" t="s">
        <v>2470</v>
      </c>
      <c r="W4" s="3316"/>
      <c r="X4" s="1540"/>
      <c r="Y4" s="3310" t="s">
        <v>2472</v>
      </c>
      <c r="Z4" s="3311"/>
      <c r="AA4" s="3297" t="s">
        <v>2468</v>
      </c>
      <c r="AB4" s="3298" t="s">
        <v>2469</v>
      </c>
      <c r="AC4" s="3297" t="s">
        <v>2470</v>
      </c>
    </row>
    <row r="5" spans="1:29" ht="15">
      <c r="A5" s="364"/>
      <c r="B5" s="365"/>
      <c r="C5" s="3319" t="s">
        <v>2363</v>
      </c>
      <c r="D5" s="3320"/>
      <c r="E5" s="3326" t="s">
        <v>2364</v>
      </c>
      <c r="F5" s="3327"/>
      <c r="G5" s="3319" t="s">
        <v>2365</v>
      </c>
      <c r="H5" s="3320"/>
      <c r="I5" s="3319" t="s">
        <v>2366</v>
      </c>
      <c r="J5" s="3320"/>
      <c r="K5" s="567"/>
      <c r="L5" s="1044"/>
      <c r="M5" s="1045"/>
      <c r="N5" s="1045"/>
      <c r="O5" s="1045"/>
      <c r="P5" s="3306"/>
      <c r="Q5" s="3307"/>
      <c r="R5" s="3312"/>
      <c r="S5" s="3313"/>
      <c r="T5" s="3312"/>
      <c r="U5" s="3313"/>
      <c r="V5" s="3316"/>
      <c r="W5" s="3316"/>
      <c r="X5" s="1540"/>
      <c r="Y5" s="3312"/>
      <c r="Z5" s="3313"/>
      <c r="AA5" s="3298"/>
      <c r="AB5" s="3298"/>
      <c r="AC5" s="3298"/>
    </row>
    <row r="6" spans="1:29" ht="15.75" thickBot="1">
      <c r="A6" s="366"/>
      <c r="B6" s="367"/>
      <c r="C6" s="3317" t="s">
        <v>2367</v>
      </c>
      <c r="D6" s="3318"/>
      <c r="E6" s="3324" t="s">
        <v>2367</v>
      </c>
      <c r="F6" s="3325"/>
      <c r="G6" s="3317" t="s">
        <v>2367</v>
      </c>
      <c r="H6" s="3318"/>
      <c r="I6" s="3317" t="s">
        <v>2367</v>
      </c>
      <c r="J6" s="3318"/>
      <c r="K6" s="567" t="s">
        <v>2368</v>
      </c>
      <c r="L6" s="1044"/>
      <c r="M6" s="1045"/>
      <c r="N6" s="1045"/>
      <c r="O6" s="1045"/>
      <c r="P6" s="3308"/>
      <c r="Q6" s="3309"/>
      <c r="R6" s="3312"/>
      <c r="S6" s="3313"/>
      <c r="T6" s="3314"/>
      <c r="U6" s="3315"/>
      <c r="V6" s="3316"/>
      <c r="W6" s="3316"/>
      <c r="X6" s="1540"/>
      <c r="Y6" s="3314"/>
      <c r="Z6" s="3315"/>
      <c r="AA6" s="3299"/>
      <c r="AB6" s="3299"/>
      <c r="AC6" s="3299"/>
    </row>
    <row r="7" spans="1:29" s="113" customFormat="1" ht="15.75" thickBot="1">
      <c r="A7" s="368" t="s">
        <v>2369</v>
      </c>
      <c r="B7" s="369"/>
      <c r="C7" s="370">
        <f>'数据-取费表'!B2</f>
        <v>44306</v>
      </c>
      <c r="D7" s="371">
        <v>100</v>
      </c>
      <c r="E7" s="372">
        <v>44256</v>
      </c>
      <c r="F7" s="373">
        <f>SUMIF(52:52,YEAR(E7)&amp;"-"&amp;MONTH(E7),53:53)</f>
        <v>0</v>
      </c>
      <c r="G7" s="372">
        <v>44256</v>
      </c>
      <c r="H7" s="371">
        <f>SUMIF(52:52,YEAR(G7)&amp;"-"&amp;MONTH(G7),53:53)</f>
        <v>0</v>
      </c>
      <c r="I7" s="372">
        <v>44256</v>
      </c>
      <c r="J7" s="371">
        <f>SUMIF(52:52,YEAR(I7)&amp;"-"&amp;MONTH(I7),53:53)</f>
        <v>0</v>
      </c>
      <c r="K7" s="568"/>
      <c r="L7" s="1046"/>
      <c r="M7" s="1047"/>
      <c r="N7" s="1047"/>
      <c r="O7" s="1047"/>
      <c r="P7" s="3321" t="s">
        <v>2370</v>
      </c>
      <c r="Q7" s="3323"/>
      <c r="R7" s="710" t="s">
        <v>17</v>
      </c>
      <c r="S7" s="711">
        <f t="shared" ref="S7:S15" si="0">F7</f>
        <v>0</v>
      </c>
      <c r="T7" s="710" t="s">
        <v>17</v>
      </c>
      <c r="U7" s="711">
        <f t="shared" ref="U7:U15" si="1">H7</f>
        <v>0</v>
      </c>
      <c r="V7" s="710" t="s">
        <v>17</v>
      </c>
      <c r="W7" s="711">
        <f t="shared" ref="W7:W15" si="2">J7</f>
        <v>0</v>
      </c>
      <c r="X7" s="712"/>
      <c r="Y7" s="3321" t="s">
        <v>2370</v>
      </c>
      <c r="Z7" s="3322"/>
      <c r="AA7" s="713" t="e">
        <f>D7/F7</f>
        <v>#DIV/0!</v>
      </c>
      <c r="AB7" s="713" t="e">
        <f>D7/H7</f>
        <v>#DIV/0!</v>
      </c>
      <c r="AC7" s="713" t="e">
        <f>D7/J7</f>
        <v>#DIV/0!</v>
      </c>
    </row>
    <row r="8" spans="1:29" s="113" customFormat="1" ht="15.75" thickBot="1">
      <c r="A8" s="368" t="s">
        <v>2371</v>
      </c>
      <c r="B8" s="369"/>
      <c r="C8" s="374" t="s">
        <v>2372</v>
      </c>
      <c r="D8" s="371">
        <v>100</v>
      </c>
      <c r="E8" s="374" t="s">
        <v>3269</v>
      </c>
      <c r="F8" s="373">
        <f>SUMIF(55:55,E8,56:56)-SUMIF(55:55,C8,56:56)+100</f>
        <v>100</v>
      </c>
      <c r="G8" s="374" t="s">
        <v>3269</v>
      </c>
      <c r="H8" s="371">
        <f>SUMIF(55:55,G8,56:56)-SUMIF(55:55,C8,56:56)+100</f>
        <v>100</v>
      </c>
      <c r="I8" s="374" t="s">
        <v>3269</v>
      </c>
      <c r="J8" s="371">
        <f>SUMIF(55:55,I8,56:56)-SUMIF(55:55,C8,56:56)+100</f>
        <v>100</v>
      </c>
      <c r="K8" s="568"/>
      <c r="L8" s="1046"/>
      <c r="M8" s="1047"/>
      <c r="N8" s="1047"/>
      <c r="O8" s="1047"/>
      <c r="P8" s="3321" t="s">
        <v>2373</v>
      </c>
      <c r="Q8" s="3322"/>
      <c r="R8" s="710" t="s">
        <v>17</v>
      </c>
      <c r="S8" s="711">
        <f t="shared" si="0"/>
        <v>100</v>
      </c>
      <c r="T8" s="710" t="s">
        <v>17</v>
      </c>
      <c r="U8" s="711">
        <f t="shared" si="1"/>
        <v>100</v>
      </c>
      <c r="V8" s="710" t="s">
        <v>17</v>
      </c>
      <c r="W8" s="711">
        <f t="shared" si="2"/>
        <v>100</v>
      </c>
      <c r="X8" s="712"/>
      <c r="Y8" s="3321" t="s">
        <v>2373</v>
      </c>
      <c r="Z8" s="3322"/>
      <c r="AA8" s="713">
        <f t="shared" ref="AA8:AA40" si="3">D8/F8</f>
        <v>1</v>
      </c>
      <c r="AB8" s="713">
        <f t="shared" ref="AB8:AB40" si="4">D8/H8</f>
        <v>1</v>
      </c>
      <c r="AC8" s="713">
        <f t="shared" ref="AC8:AC40" si="5">D8/J8</f>
        <v>1</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5" t="s">
        <v>2376</v>
      </c>
      <c r="Q9" s="1528"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5"/>
      <c r="Q10" s="1528"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2379</v>
      </c>
      <c r="C11" s="388"/>
      <c r="D11" s="132">
        <v>100</v>
      </c>
      <c r="E11" s="388"/>
      <c r="F11" s="132">
        <f>LOOKUP(E11,62:62,63:63)-LOOKUP(C11,62:62,63:63)+100</f>
        <v>100</v>
      </c>
      <c r="G11" s="389"/>
      <c r="H11" s="132">
        <f>LOOKUP(G11,62:62,63:63)-LOOKUP(C11,62:62,63:63)+100</f>
        <v>100</v>
      </c>
      <c r="I11" s="388"/>
      <c r="J11" s="132">
        <f>LOOKUP(I11,62:62,63:63)-LOOKUP(C11,62:62,63:63)+100</f>
        <v>100</v>
      </c>
      <c r="K11" s="569"/>
      <c r="L11" s="1052"/>
      <c r="M11" s="1045"/>
      <c r="N11" s="1045"/>
      <c r="O11" s="1053"/>
      <c r="P11" s="3285"/>
      <c r="Q11" s="1528" t="str">
        <f t="shared" si="6"/>
        <v>容积率</v>
      </c>
      <c r="R11" s="710" t="s">
        <v>17</v>
      </c>
      <c r="S11" s="711">
        <f t="shared" si="0"/>
        <v>100</v>
      </c>
      <c r="T11" s="710" t="s">
        <v>17</v>
      </c>
      <c r="U11" s="711">
        <f t="shared" si="1"/>
        <v>100</v>
      </c>
      <c r="V11" s="710" t="s">
        <v>17</v>
      </c>
      <c r="W11" s="711">
        <f t="shared" si="2"/>
        <v>100</v>
      </c>
      <c r="X11" s="712"/>
      <c r="Y11" s="3155"/>
      <c r="Z11" s="55" t="str">
        <f t="shared" si="7"/>
        <v>容积率</v>
      </c>
      <c r="AA11" s="713">
        <f t="shared" si="3"/>
        <v>1</v>
      </c>
      <c r="AB11" s="713">
        <f t="shared" si="4"/>
        <v>1</v>
      </c>
      <c r="AC11" s="713">
        <f t="shared" si="5"/>
        <v>1</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85"/>
      <c r="Q12" s="1528">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85"/>
      <c r="Q13" s="1528">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85"/>
      <c r="Q14" s="1528">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7" t="s">
        <v>2381</v>
      </c>
      <c r="Q15" s="1537" t="str">
        <f t="shared" si="6"/>
        <v>产业集聚程度</v>
      </c>
      <c r="R15" s="714" t="s">
        <v>17</v>
      </c>
      <c r="S15" s="715">
        <f t="shared" si="0"/>
        <v>100</v>
      </c>
      <c r="T15" s="714" t="s">
        <v>17</v>
      </c>
      <c r="U15" s="715">
        <f t="shared" si="1"/>
        <v>100</v>
      </c>
      <c r="V15" s="714" t="s">
        <v>17</v>
      </c>
      <c r="W15" s="715">
        <f t="shared" si="2"/>
        <v>100</v>
      </c>
      <c r="X15" s="1540"/>
      <c r="Y15" s="3287"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8"/>
      <c r="Q16" s="1537"/>
      <c r="R16" s="714"/>
      <c r="S16" s="715"/>
      <c r="T16" s="714"/>
      <c r="U16" s="715"/>
      <c r="V16" s="714"/>
      <c r="W16" s="715"/>
      <c r="X16" s="1540"/>
      <c r="Y16" s="3288"/>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8"/>
      <c r="Q17" s="1537" t="str">
        <f>B17</f>
        <v>交通便捷度</v>
      </c>
      <c r="R17" s="714" t="s">
        <v>17</v>
      </c>
      <c r="S17" s="715">
        <f>F17</f>
        <v>100</v>
      </c>
      <c r="T17" s="714" t="s">
        <v>17</v>
      </c>
      <c r="U17" s="715">
        <f>H17</f>
        <v>100</v>
      </c>
      <c r="V17" s="714" t="s">
        <v>17</v>
      </c>
      <c r="W17" s="715">
        <f>J17</f>
        <v>100</v>
      </c>
      <c r="X17" s="1540"/>
      <c r="Y17" s="3288"/>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88"/>
      <c r="Q18" s="1537"/>
      <c r="R18" s="714"/>
      <c r="S18" s="715"/>
      <c r="T18" s="714"/>
      <c r="U18" s="715"/>
      <c r="V18" s="714"/>
      <c r="W18" s="715"/>
      <c r="X18" s="1540"/>
      <c r="Y18" s="3288"/>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8"/>
      <c r="Q19" s="1537" t="str">
        <f>B19</f>
        <v>公共配套设施</v>
      </c>
      <c r="R19" s="714" t="s">
        <v>17</v>
      </c>
      <c r="S19" s="715">
        <f>F19</f>
        <v>100</v>
      </c>
      <c r="T19" s="714" t="s">
        <v>17</v>
      </c>
      <c r="U19" s="715">
        <f>H19</f>
        <v>100</v>
      </c>
      <c r="V19" s="714" t="s">
        <v>17</v>
      </c>
      <c r="W19" s="715">
        <f>J19</f>
        <v>100</v>
      </c>
      <c r="X19" s="1540"/>
      <c r="Y19" s="3288"/>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88"/>
      <c r="Q20" s="1537"/>
      <c r="R20" s="714"/>
      <c r="S20" s="715"/>
      <c r="T20" s="714"/>
      <c r="U20" s="715"/>
      <c r="V20" s="714"/>
      <c r="W20" s="715"/>
      <c r="X20" s="1540"/>
      <c r="Y20" s="3288"/>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8"/>
      <c r="Q21" s="1537" t="str">
        <f>B21</f>
        <v>基础设施水平</v>
      </c>
      <c r="R21" s="714" t="s">
        <v>17</v>
      </c>
      <c r="S21" s="715">
        <f>F21</f>
        <v>100</v>
      </c>
      <c r="T21" s="714" t="s">
        <v>17</v>
      </c>
      <c r="U21" s="715">
        <f>H21</f>
        <v>100</v>
      </c>
      <c r="V21" s="714" t="s">
        <v>17</v>
      </c>
      <c r="W21" s="715">
        <f>J21</f>
        <v>100</v>
      </c>
      <c r="X21" s="1540"/>
      <c r="Y21" s="3288"/>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288"/>
      <c r="Q22" s="1537"/>
      <c r="R22" s="714"/>
      <c r="S22" s="715"/>
      <c r="T22" s="714"/>
      <c r="U22" s="715"/>
      <c r="V22" s="714"/>
      <c r="W22" s="715"/>
      <c r="X22" s="1540"/>
      <c r="Y22" s="3288"/>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8"/>
      <c r="Q23" s="1537" t="str">
        <f>B23</f>
        <v>环境质量</v>
      </c>
      <c r="R23" s="714" t="s">
        <v>17</v>
      </c>
      <c r="S23" s="715">
        <f>F23</f>
        <v>100</v>
      </c>
      <c r="T23" s="714" t="s">
        <v>17</v>
      </c>
      <c r="U23" s="715">
        <f>H23</f>
        <v>100</v>
      </c>
      <c r="V23" s="714" t="s">
        <v>17</v>
      </c>
      <c r="W23" s="715">
        <f>J23</f>
        <v>100</v>
      </c>
      <c r="X23" s="1540"/>
      <c r="Y23" s="3288"/>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288"/>
      <c r="Q24" s="1537"/>
      <c r="R24" s="714"/>
      <c r="S24" s="715"/>
      <c r="T24" s="714"/>
      <c r="U24" s="715"/>
      <c r="V24" s="714"/>
      <c r="W24" s="715"/>
      <c r="X24" s="1540"/>
      <c r="Y24" s="3288"/>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8"/>
      <c r="Q25" s="1537">
        <f>B25</f>
        <v>111</v>
      </c>
      <c r="R25" s="714" t="s">
        <v>17</v>
      </c>
      <c r="S25" s="715">
        <f>F25</f>
        <v>100</v>
      </c>
      <c r="T25" s="714" t="s">
        <v>17</v>
      </c>
      <c r="U25" s="715">
        <f>H25</f>
        <v>100</v>
      </c>
      <c r="V25" s="714" t="s">
        <v>17</v>
      </c>
      <c r="W25" s="715">
        <f>J25</f>
        <v>100</v>
      </c>
      <c r="X25" s="1540"/>
      <c r="Y25" s="3288"/>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8"/>
      <c r="Q26" s="1537">
        <f t="shared" ref="Q26:Q40" si="11">B26</f>
        <v>111</v>
      </c>
      <c r="R26" s="714" t="s">
        <v>17</v>
      </c>
      <c r="S26" s="715">
        <f>F26</f>
        <v>100</v>
      </c>
      <c r="T26" s="714" t="s">
        <v>17</v>
      </c>
      <c r="U26" s="715">
        <f>H26</f>
        <v>100</v>
      </c>
      <c r="V26" s="714" t="s">
        <v>17</v>
      </c>
      <c r="W26" s="715">
        <f>J26</f>
        <v>100</v>
      </c>
      <c r="X26" s="1540"/>
      <c r="Y26" s="3288"/>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8"/>
      <c r="Q27" s="1528">
        <f t="shared" si="11"/>
        <v>111</v>
      </c>
      <c r="R27" s="710" t="s">
        <v>17</v>
      </c>
      <c r="S27" s="711">
        <f>F27</f>
        <v>100</v>
      </c>
      <c r="T27" s="710" t="s">
        <v>17</v>
      </c>
      <c r="U27" s="711">
        <f>H27</f>
        <v>100</v>
      </c>
      <c r="V27" s="710" t="s">
        <v>17</v>
      </c>
      <c r="W27" s="711">
        <f>J27</f>
        <v>100</v>
      </c>
      <c r="X27" s="712"/>
      <c r="Y27" s="3288"/>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8"/>
      <c r="Q28" s="1537">
        <f t="shared" si="11"/>
        <v>111</v>
      </c>
      <c r="R28" s="714" t="s">
        <v>17</v>
      </c>
      <c r="S28" s="715">
        <f t="shared" ref="S28:S40" si="12">F28</f>
        <v>100</v>
      </c>
      <c r="T28" s="714" t="s">
        <v>17</v>
      </c>
      <c r="U28" s="715">
        <f t="shared" ref="U28:U40" si="13">H28</f>
        <v>100</v>
      </c>
      <c r="V28" s="714" t="s">
        <v>17</v>
      </c>
      <c r="W28" s="715">
        <f t="shared" ref="W28:W40" si="14">J28</f>
        <v>100</v>
      </c>
      <c r="X28" s="1540"/>
      <c r="Y28" s="3288"/>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43" t="s">
        <v>2386</v>
      </c>
      <c r="Q29" s="1537" t="str">
        <f t="shared" si="11"/>
        <v>建筑类型</v>
      </c>
      <c r="R29" s="714" t="s">
        <v>17</v>
      </c>
      <c r="S29" s="715">
        <f t="shared" si="12"/>
        <v>100</v>
      </c>
      <c r="T29" s="714" t="s">
        <v>17</v>
      </c>
      <c r="U29" s="715">
        <f t="shared" si="13"/>
        <v>100</v>
      </c>
      <c r="V29" s="714" t="s">
        <v>17</v>
      </c>
      <c r="W29" s="715">
        <f t="shared" si="14"/>
        <v>100</v>
      </c>
      <c r="X29" s="1540"/>
      <c r="Y29" s="3292" t="s">
        <v>2386</v>
      </c>
      <c r="Z29" s="1541" t="str">
        <f t="shared" si="15"/>
        <v>建筑类型</v>
      </c>
      <c r="AA29" s="1538">
        <f t="shared" si="3"/>
        <v>1</v>
      </c>
      <c r="AB29" s="1538">
        <f t="shared" si="4"/>
        <v>1</v>
      </c>
      <c r="AC29" s="1538">
        <f t="shared" si="5"/>
        <v>1</v>
      </c>
    </row>
    <row r="30" spans="1:29" s="430" customFormat="1" ht="15">
      <c r="A30" s="427"/>
      <c r="B30" s="381" t="s">
        <v>2387</v>
      </c>
      <c r="C30" s="428">
        <f>'数据-汇总表'!E3</f>
        <v>27421.7</v>
      </c>
      <c r="D30" s="132">
        <v>100</v>
      </c>
      <c r="E30" s="389"/>
      <c r="F30" s="384">
        <f>LOOKUP(E30,91:91,92:92)-LOOKUP(C30,91:91,92:92)+100</f>
        <v>100</v>
      </c>
      <c r="G30" s="388"/>
      <c r="H30" s="132">
        <f>LOOKUP(G30,91:91,92:92)-LOOKUP(C30,91:91,92:92)+100</f>
        <v>100</v>
      </c>
      <c r="I30" s="388"/>
      <c r="J30" s="132">
        <f>LOOKUP(I30,91:91,92:92)-LOOKUP(C30,91:91,92:92)+100</f>
        <v>100</v>
      </c>
      <c r="K30" s="570"/>
      <c r="L30" s="1052"/>
      <c r="M30" s="1055"/>
      <c r="N30" s="1055"/>
      <c r="O30" s="1056"/>
      <c r="P30" s="3292"/>
      <c r="Q30" s="716" t="str">
        <f t="shared" si="11"/>
        <v>项目建筑规模</v>
      </c>
      <c r="R30" s="717" t="s">
        <v>17</v>
      </c>
      <c r="S30" s="718">
        <f t="shared" si="12"/>
        <v>100</v>
      </c>
      <c r="T30" s="717" t="s">
        <v>17</v>
      </c>
      <c r="U30" s="718">
        <f t="shared" si="13"/>
        <v>100</v>
      </c>
      <c r="V30" s="717" t="s">
        <v>17</v>
      </c>
      <c r="W30" s="718">
        <f t="shared" si="14"/>
        <v>100</v>
      </c>
      <c r="X30" s="719"/>
      <c r="Y30" s="3292"/>
      <c r="Z30" s="720" t="str">
        <f t="shared" si="15"/>
        <v>项目建筑规模</v>
      </c>
      <c r="AA30" s="1538">
        <f t="shared" si="3"/>
        <v>1</v>
      </c>
      <c r="AB30" s="1538">
        <f t="shared" si="4"/>
        <v>1</v>
      </c>
      <c r="AC30" s="1538">
        <f t="shared" si="5"/>
        <v>1</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2"/>
      <c r="Q31" s="1537" t="str">
        <f t="shared" si="11"/>
        <v>建筑结构</v>
      </c>
      <c r="R31" s="714" t="s">
        <v>17</v>
      </c>
      <c r="S31" s="715">
        <f t="shared" si="12"/>
        <v>100</v>
      </c>
      <c r="T31" s="714" t="s">
        <v>17</v>
      </c>
      <c r="U31" s="715">
        <f t="shared" si="13"/>
        <v>100</v>
      </c>
      <c r="V31" s="714" t="s">
        <v>17</v>
      </c>
      <c r="W31" s="715">
        <f t="shared" si="14"/>
        <v>100</v>
      </c>
      <c r="X31" s="1540"/>
      <c r="Y31" s="3292"/>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2"/>
      <c r="Q32" s="1537" t="str">
        <f t="shared" si="11"/>
        <v>公共部分装修</v>
      </c>
      <c r="R32" s="714" t="s">
        <v>17</v>
      </c>
      <c r="S32" s="715">
        <f t="shared" si="12"/>
        <v>100</v>
      </c>
      <c r="T32" s="714" t="s">
        <v>17</v>
      </c>
      <c r="U32" s="715">
        <f t="shared" si="13"/>
        <v>100</v>
      </c>
      <c r="V32" s="714" t="s">
        <v>17</v>
      </c>
      <c r="W32" s="715">
        <f t="shared" si="14"/>
        <v>100</v>
      </c>
      <c r="X32" s="1540"/>
      <c r="Y32" s="3292"/>
      <c r="Z32" s="1541" t="str">
        <f t="shared" si="15"/>
        <v>公共部分装修</v>
      </c>
      <c r="AA32" s="1538">
        <f t="shared" si="3"/>
        <v>1</v>
      </c>
      <c r="AB32" s="1538">
        <f t="shared" si="4"/>
        <v>1</v>
      </c>
      <c r="AC32" s="1538">
        <f t="shared" si="5"/>
        <v>1</v>
      </c>
    </row>
    <row r="33" spans="1:29" ht="15">
      <c r="A33" s="431"/>
      <c r="B33" s="381" t="s">
        <v>2483</v>
      </c>
      <c r="C33" s="433">
        <v>0.98</v>
      </c>
      <c r="D33" s="394">
        <v>100</v>
      </c>
      <c r="E33" s="433">
        <v>1</v>
      </c>
      <c r="F33" s="420">
        <f>LOOKUP(E33,98:98,99:99)-LOOKUP(C33,98:98,99:99)+100</f>
        <v>100</v>
      </c>
      <c r="G33" s="433">
        <v>1</v>
      </c>
      <c r="H33" s="420">
        <f>LOOKUP(G33,98:98,99:99)-LOOKUP(C33,98:98,99:99)+100</f>
        <v>100</v>
      </c>
      <c r="I33" s="433">
        <v>1</v>
      </c>
      <c r="J33" s="394">
        <f>LOOKUP(I33,98:98,99:99)-LOOKUP(C33,98:98,99:99)+100</f>
        <v>100</v>
      </c>
      <c r="K33" s="569"/>
      <c r="L33" s="1054"/>
      <c r="M33" s="1045"/>
      <c r="N33" s="1045"/>
      <c r="O33" s="1053"/>
      <c r="P33" s="3292"/>
      <c r="Q33" s="1537" t="str">
        <f t="shared" si="11"/>
        <v>成新度</v>
      </c>
      <c r="R33" s="714" t="s">
        <v>17</v>
      </c>
      <c r="S33" s="715">
        <f t="shared" si="12"/>
        <v>100</v>
      </c>
      <c r="T33" s="714" t="s">
        <v>17</v>
      </c>
      <c r="U33" s="715">
        <f t="shared" si="13"/>
        <v>100</v>
      </c>
      <c r="V33" s="714" t="s">
        <v>17</v>
      </c>
      <c r="W33" s="715">
        <f t="shared" si="14"/>
        <v>100</v>
      </c>
      <c r="X33" s="1540"/>
      <c r="Y33" s="3292"/>
      <c r="Z33" s="1541" t="str">
        <f t="shared" si="15"/>
        <v>成新度</v>
      </c>
      <c r="AA33" s="1538">
        <f t="shared" si="3"/>
        <v>1</v>
      </c>
      <c r="AB33" s="1538">
        <f t="shared" si="4"/>
        <v>1</v>
      </c>
      <c r="AC33" s="1538">
        <f t="shared" si="5"/>
        <v>1</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2"/>
      <c r="Q34" s="1528" t="str">
        <f t="shared" si="11"/>
        <v>物业管理</v>
      </c>
      <c r="R34" s="710" t="s">
        <v>17</v>
      </c>
      <c r="S34" s="711">
        <f t="shared" si="12"/>
        <v>100</v>
      </c>
      <c r="T34" s="710" t="s">
        <v>17</v>
      </c>
      <c r="U34" s="711">
        <f t="shared" si="13"/>
        <v>100</v>
      </c>
      <c r="V34" s="710" t="s">
        <v>17</v>
      </c>
      <c r="W34" s="711">
        <f t="shared" si="14"/>
        <v>100</v>
      </c>
      <c r="X34" s="712"/>
      <c r="Y34" s="329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2" t="s">
        <v>2386</v>
      </c>
      <c r="Q35" s="1537" t="str">
        <f t="shared" si="11"/>
        <v>市政基础设施</v>
      </c>
      <c r="R35" s="714" t="s">
        <v>17</v>
      </c>
      <c r="S35" s="715">
        <f t="shared" si="12"/>
        <v>100</v>
      </c>
      <c r="T35" s="714" t="s">
        <v>17</v>
      </c>
      <c r="U35" s="715">
        <f t="shared" si="13"/>
        <v>100</v>
      </c>
      <c r="V35" s="714" t="s">
        <v>17</v>
      </c>
      <c r="W35" s="715">
        <f t="shared" si="14"/>
        <v>100</v>
      </c>
      <c r="X35" s="1540"/>
      <c r="Y35" s="3292"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2"/>
      <c r="Q36" s="1537" t="str">
        <f t="shared" si="11"/>
        <v>内部装修</v>
      </c>
      <c r="R36" s="714" t="s">
        <v>17</v>
      </c>
      <c r="S36" s="715">
        <f t="shared" si="12"/>
        <v>100</v>
      </c>
      <c r="T36" s="714" t="s">
        <v>17</v>
      </c>
      <c r="U36" s="715">
        <f t="shared" si="13"/>
        <v>100</v>
      </c>
      <c r="V36" s="714" t="s">
        <v>17</v>
      </c>
      <c r="W36" s="715">
        <f t="shared" si="14"/>
        <v>100</v>
      </c>
      <c r="X36" s="1540"/>
      <c r="Y36" s="3292"/>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2"/>
      <c r="Q37" s="1537" t="str">
        <f t="shared" si="11"/>
        <v>内部装修状况</v>
      </c>
      <c r="R37" s="714" t="s">
        <v>17</v>
      </c>
      <c r="S37" s="715">
        <f t="shared" si="12"/>
        <v>100</v>
      </c>
      <c r="T37" s="714" t="s">
        <v>17</v>
      </c>
      <c r="U37" s="715">
        <f t="shared" si="13"/>
        <v>100</v>
      </c>
      <c r="V37" s="714" t="s">
        <v>17</v>
      </c>
      <c r="W37" s="715">
        <f t="shared" si="14"/>
        <v>100</v>
      </c>
      <c r="X37" s="1540"/>
      <c r="Y37" s="3292"/>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2"/>
      <c r="Q38" s="716">
        <f t="shared" si="11"/>
        <v>111</v>
      </c>
      <c r="R38" s="717" t="s">
        <v>17</v>
      </c>
      <c r="S38" s="718">
        <f t="shared" si="12"/>
        <v>100</v>
      </c>
      <c r="T38" s="717" t="s">
        <v>17</v>
      </c>
      <c r="U38" s="718">
        <f t="shared" si="13"/>
        <v>100</v>
      </c>
      <c r="V38" s="717" t="s">
        <v>17</v>
      </c>
      <c r="W38" s="718">
        <f t="shared" si="14"/>
        <v>100</v>
      </c>
      <c r="X38" s="719"/>
      <c r="Y38" s="3292"/>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2"/>
      <c r="Q39" s="1537">
        <f t="shared" si="11"/>
        <v>111</v>
      </c>
      <c r="R39" s="714" t="s">
        <v>17</v>
      </c>
      <c r="S39" s="715">
        <f t="shared" si="12"/>
        <v>100</v>
      </c>
      <c r="T39" s="714" t="s">
        <v>17</v>
      </c>
      <c r="U39" s="715">
        <f t="shared" si="13"/>
        <v>100</v>
      </c>
      <c r="V39" s="714" t="s">
        <v>17</v>
      </c>
      <c r="W39" s="715">
        <f t="shared" si="14"/>
        <v>100</v>
      </c>
      <c r="X39" s="1540"/>
      <c r="Y39" s="3292"/>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3"/>
      <c r="Q40" s="1537">
        <f t="shared" si="11"/>
        <v>111</v>
      </c>
      <c r="R40" s="714" t="s">
        <v>17</v>
      </c>
      <c r="S40" s="715">
        <f t="shared" si="12"/>
        <v>100</v>
      </c>
      <c r="T40" s="714" t="s">
        <v>17</v>
      </c>
      <c r="U40" s="715">
        <f t="shared" si="13"/>
        <v>100</v>
      </c>
      <c r="V40" s="714" t="s">
        <v>17</v>
      </c>
      <c r="W40" s="715">
        <f t="shared" si="14"/>
        <v>100</v>
      </c>
      <c r="X40" s="1540"/>
      <c r="Y40" s="3293"/>
      <c r="Z40" s="1541">
        <f t="shared" si="15"/>
        <v>111</v>
      </c>
      <c r="AA40" s="1538">
        <f t="shared" si="3"/>
        <v>1</v>
      </c>
      <c r="AB40" s="1538">
        <f t="shared" si="4"/>
        <v>1</v>
      </c>
      <c r="AC40" s="1538">
        <f t="shared" si="5"/>
        <v>1</v>
      </c>
    </row>
    <row r="41" spans="1:29" ht="15">
      <c r="A41" s="438" t="s">
        <v>2398</v>
      </c>
      <c r="B41" s="439"/>
      <c r="C41" s="1316" t="s">
        <v>1</v>
      </c>
      <c r="D41" s="1317"/>
      <c r="E41" s="1318">
        <v>8000</v>
      </c>
      <c r="F41" s="1319"/>
      <c r="G41" s="1320">
        <f>E41</f>
        <v>8000</v>
      </c>
      <c r="H41" s="1321"/>
      <c r="I41" s="1318">
        <f>E41</f>
        <v>8000</v>
      </c>
      <c r="J41" s="1321"/>
      <c r="K41" s="723"/>
      <c r="L41" s="1057"/>
      <c r="M41" s="1058"/>
      <c r="N41" s="1045"/>
      <c r="O41" s="1058"/>
      <c r="P41" s="3285" t="str">
        <f>A41</f>
        <v>成交单价（元/平方米）</v>
      </c>
      <c r="Q41" s="3285"/>
      <c r="R41" s="3286">
        <f>E41</f>
        <v>8000</v>
      </c>
      <c r="S41" s="3286"/>
      <c r="T41" s="3286">
        <f>G41</f>
        <v>8000</v>
      </c>
      <c r="U41" s="3286"/>
      <c r="V41" s="3286">
        <f>I41</f>
        <v>8000</v>
      </c>
      <c r="W41" s="3286"/>
      <c r="X41" s="699"/>
      <c r="Y41" s="721"/>
      <c r="Z41" s="699"/>
      <c r="AA41" s="699"/>
      <c r="AB41" s="699"/>
      <c r="AC41" s="699"/>
    </row>
    <row r="42" spans="1:29" ht="15.75" thickBot="1">
      <c r="A42" s="445" t="s">
        <v>2490</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285" t="str">
        <f>A42</f>
        <v>比较价值（元/平方米）</v>
      </c>
      <c r="Q42" s="3285"/>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2" t="str">
        <f>A43</f>
        <v>估价对象XX用房的比较价值（楼面单价，元/平方米）</v>
      </c>
      <c r="Q43" s="3283"/>
      <c r="R43" s="3284" t="e">
        <f>IF(F1="售价",ROUND(IF(D42="简单平均",AVERAGE(R42:V42),R42*F42+T42*H42+V42*J42),0),ROUND(IF(D42="简单平均",AVERAGE(R42:V42),R42*F42+T42*H42+V42*J42),1))</f>
        <v>#DIV/0!</v>
      </c>
      <c r="S43" s="3284"/>
      <c r="T43" s="3284"/>
      <c r="U43" s="3284"/>
      <c r="V43" s="3284"/>
      <c r="W43" s="3284"/>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2494</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6"/>
      <c r="O54" s="2997"/>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0（含）-1</v>
      </c>
      <c r="D61" s="504" t="str">
        <f t="shared" ref="D61:L61" si="17">D62&amp;"（含）"&amp;"-"&amp;E62</f>
        <v>1（含）-2</v>
      </c>
      <c r="E61" s="504" t="str">
        <f t="shared" si="17"/>
        <v>2（含）-3</v>
      </c>
      <c r="F61" s="504" t="str">
        <f t="shared" si="17"/>
        <v>3（含）-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v>0</v>
      </c>
      <c r="D62" s="506">
        <v>1</v>
      </c>
      <c r="E62" s="506">
        <v>2</v>
      </c>
      <c r="F62" s="506">
        <v>3</v>
      </c>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29.25" thickTop="1">
      <c r="A90" s="491"/>
      <c r="B90" s="495" t="s">
        <v>2434</v>
      </c>
      <c r="C90" s="535" t="str">
        <f>C91&amp;"(含)"&amp;"-"&amp;D91</f>
        <v>0(含)-10000</v>
      </c>
      <c r="D90" s="535" t="str">
        <f t="shared" ref="D90:L90" si="20">D91&amp;"(含)"&amp;"-"&amp;E91</f>
        <v>10000(含)-20000</v>
      </c>
      <c r="E90" s="535" t="str">
        <f t="shared" si="20"/>
        <v>20000(含)-30000</v>
      </c>
      <c r="F90" s="535" t="str">
        <f t="shared" si="20"/>
        <v>30000(含)-40000</v>
      </c>
      <c r="G90" s="535" t="str">
        <f t="shared" si="20"/>
        <v>40000(含)-50000</v>
      </c>
      <c r="H90" s="535" t="str">
        <f t="shared" si="20"/>
        <v>50000(含)-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v>0</v>
      </c>
      <c r="D91" s="552">
        <f>C91+10000</f>
        <v>10000</v>
      </c>
      <c r="E91" s="552">
        <f t="shared" ref="E91:H91" si="21">D91+10000</f>
        <v>20000</v>
      </c>
      <c r="F91" s="552">
        <f t="shared" si="21"/>
        <v>30000</v>
      </c>
      <c r="G91" s="552">
        <f t="shared" si="21"/>
        <v>40000</v>
      </c>
      <c r="H91" s="552">
        <f t="shared" si="21"/>
        <v>50000</v>
      </c>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2">C94-$K31</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3">C96-$K32</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2">
        <f t="shared" si="23"/>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4">D99+$K33</f>
        <v>100</v>
      </c>
      <c r="F99" s="501">
        <f t="shared" si="24"/>
        <v>100</v>
      </c>
      <c r="G99" s="501">
        <f t="shared" si="24"/>
        <v>100</v>
      </c>
      <c r="H99" s="501">
        <f t="shared" si="24"/>
        <v>100</v>
      </c>
      <c r="I99" s="501">
        <f t="shared" si="24"/>
        <v>100</v>
      </c>
      <c r="J99" s="501">
        <f t="shared" si="24"/>
        <v>100</v>
      </c>
      <c r="K99" s="501">
        <f t="shared" si="24"/>
        <v>100</v>
      </c>
      <c r="L99" s="501">
        <f t="shared" si="24"/>
        <v>100</v>
      </c>
      <c r="M99" s="501">
        <f t="shared" si="24"/>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5">D101-$K34</f>
        <v>100</v>
      </c>
      <c r="F101" s="501">
        <f t="shared" si="25"/>
        <v>100</v>
      </c>
      <c r="G101" s="501">
        <f t="shared" si="25"/>
        <v>100</v>
      </c>
      <c r="H101" s="501">
        <f t="shared" si="25"/>
        <v>100</v>
      </c>
      <c r="I101" s="501">
        <f t="shared" si="25"/>
        <v>100</v>
      </c>
      <c r="J101" s="501">
        <f t="shared" si="25"/>
        <v>100</v>
      </c>
      <c r="K101" s="501">
        <f t="shared" si="25"/>
        <v>100</v>
      </c>
      <c r="L101" s="501">
        <f t="shared" si="25"/>
        <v>100</v>
      </c>
      <c r="M101" s="501">
        <f t="shared" si="25"/>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6">C103-$K35</f>
        <v>100</v>
      </c>
      <c r="E103" s="501">
        <f t="shared" si="26"/>
        <v>100</v>
      </c>
      <c r="F103" s="501">
        <f t="shared" si="26"/>
        <v>100</v>
      </c>
      <c r="G103" s="501">
        <f t="shared" si="26"/>
        <v>100</v>
      </c>
      <c r="H103" s="501">
        <f t="shared" si="26"/>
        <v>100</v>
      </c>
      <c r="I103" s="501">
        <f t="shared" si="26"/>
        <v>100</v>
      </c>
      <c r="J103" s="501">
        <f t="shared" si="26"/>
        <v>100</v>
      </c>
      <c r="K103" s="501">
        <f t="shared" si="26"/>
        <v>100</v>
      </c>
      <c r="L103" s="501">
        <f t="shared" si="26"/>
        <v>100</v>
      </c>
      <c r="M103" s="502">
        <f t="shared" si="26"/>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7">C107-$K37</f>
        <v>100</v>
      </c>
      <c r="E107" s="501">
        <f t="shared" si="27"/>
        <v>100</v>
      </c>
      <c r="F107" s="501">
        <f t="shared" si="27"/>
        <v>100</v>
      </c>
      <c r="G107" s="501">
        <f t="shared" si="27"/>
        <v>100</v>
      </c>
      <c r="H107" s="501">
        <f t="shared" si="27"/>
        <v>100</v>
      </c>
      <c r="I107" s="501">
        <f t="shared" si="27"/>
        <v>100</v>
      </c>
      <c r="J107" s="501">
        <f t="shared" si="27"/>
        <v>100</v>
      </c>
      <c r="K107" s="501">
        <f t="shared" si="27"/>
        <v>100</v>
      </c>
      <c r="L107" s="501">
        <f t="shared" si="27"/>
        <v>100</v>
      </c>
      <c r="M107" s="501">
        <f t="shared" si="27"/>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房天下：</v>
      </c>
    </row>
    <row r="4" spans="1:1" ht="36">
      <c r="A4" s="1666" t="str">
        <f>"受贵公司委托，我公司对"&amp;项目基本情况!S1&amp;"进行了预评估。"</f>
        <v>受贵公司委托，我公司对杭州市滨江区长河街道越达巷82号工业用房房地产抵押价值进行了预评估。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杭州市滨江区长河街道越达巷82号工业用房房地产，为杭州搜房网络科技有限公司所有。根据《国有土地使用证》[]，估价对象（分摊）出让国有建设用地使用权面积为9989平方米，建筑面积为27421.7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杭州市滨江区长河街道越达巷82号工业用房房地产,属杭州搜房网络科技有限公司开发建设的工业项目，该项目尚在开发建设中。根据《国有土地使用证》[]，估价对象（分摊）出让国有建设用地使用权面积为9989平方米，规划建筑面积为27421.7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2021年4月20日（评估专业人员实地查勘之日）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20日，估价对象规划用途为工业，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2941"/>
      <c r="M4" s="2942"/>
      <c r="N4" s="2942"/>
      <c r="O4" s="2942"/>
      <c r="P4" s="3304" t="s">
        <v>2472</v>
      </c>
      <c r="Q4" s="3305"/>
      <c r="R4" s="3310" t="s">
        <v>2468</v>
      </c>
      <c r="S4" s="3311"/>
      <c r="T4" s="3310" t="s">
        <v>2469</v>
      </c>
      <c r="U4" s="3311"/>
      <c r="V4" s="3316" t="s">
        <v>2470</v>
      </c>
      <c r="W4" s="3316"/>
      <c r="X4" s="1540"/>
      <c r="Y4" s="3310" t="s">
        <v>2472</v>
      </c>
      <c r="Z4" s="3311"/>
      <c r="AA4" s="3297" t="s">
        <v>2468</v>
      </c>
      <c r="AB4" s="3298" t="s">
        <v>2469</v>
      </c>
      <c r="AC4" s="3297" t="s">
        <v>2470</v>
      </c>
    </row>
    <row r="5" spans="1:29" ht="15">
      <c r="A5" s="364"/>
      <c r="B5" s="365"/>
      <c r="C5" s="3319" t="s">
        <v>2363</v>
      </c>
      <c r="D5" s="3320"/>
      <c r="E5" s="3326" t="s">
        <v>2364</v>
      </c>
      <c r="F5" s="3327"/>
      <c r="G5" s="3319" t="s">
        <v>2365</v>
      </c>
      <c r="H5" s="3320"/>
      <c r="I5" s="3319" t="s">
        <v>2366</v>
      </c>
      <c r="J5" s="3320"/>
      <c r="K5" s="567"/>
      <c r="L5" s="2941"/>
      <c r="M5" s="2942"/>
      <c r="N5" s="2942"/>
      <c r="O5" s="2942"/>
      <c r="P5" s="3306"/>
      <c r="Q5" s="3307"/>
      <c r="R5" s="3312"/>
      <c r="S5" s="3313"/>
      <c r="T5" s="3312"/>
      <c r="U5" s="3313"/>
      <c r="V5" s="3316"/>
      <c r="W5" s="3316"/>
      <c r="X5" s="1540"/>
      <c r="Y5" s="3312"/>
      <c r="Z5" s="3313"/>
      <c r="AA5" s="3298"/>
      <c r="AB5" s="3298"/>
      <c r="AC5" s="3298"/>
    </row>
    <row r="6" spans="1:29" ht="15.75" thickBot="1">
      <c r="A6" s="366"/>
      <c r="B6" s="367"/>
      <c r="C6" s="3317" t="s">
        <v>2367</v>
      </c>
      <c r="D6" s="3318"/>
      <c r="E6" s="3324" t="s">
        <v>2367</v>
      </c>
      <c r="F6" s="3325"/>
      <c r="G6" s="3317" t="s">
        <v>2367</v>
      </c>
      <c r="H6" s="3318"/>
      <c r="I6" s="3317" t="s">
        <v>2367</v>
      </c>
      <c r="J6" s="3318"/>
      <c r="K6" s="567" t="s">
        <v>2368</v>
      </c>
      <c r="L6" s="2941"/>
      <c r="M6" s="2942"/>
      <c r="N6" s="2942"/>
      <c r="O6" s="2942"/>
      <c r="P6" s="3308"/>
      <c r="Q6" s="3309"/>
      <c r="R6" s="3312"/>
      <c r="S6" s="3313"/>
      <c r="T6" s="3314"/>
      <c r="U6" s="3315"/>
      <c r="V6" s="3316"/>
      <c r="W6" s="3316"/>
      <c r="X6" s="1540"/>
      <c r="Y6" s="3314"/>
      <c r="Z6" s="3315"/>
      <c r="AA6" s="3299"/>
      <c r="AB6" s="3299"/>
      <c r="AC6" s="3299"/>
    </row>
    <row r="7" spans="1:29" s="113" customFormat="1" ht="15.75" thickBot="1">
      <c r="A7" s="368" t="s">
        <v>2369</v>
      </c>
      <c r="B7" s="369"/>
      <c r="C7" s="370">
        <f>'数据-取费表'!B2</f>
        <v>44306</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21" t="s">
        <v>2370</v>
      </c>
      <c r="Q7" s="3323"/>
      <c r="R7" s="710" t="s">
        <v>17</v>
      </c>
      <c r="S7" s="711">
        <f t="shared" ref="S7:S14" si="0">F7</f>
        <v>0</v>
      </c>
      <c r="T7" s="710" t="s">
        <v>17</v>
      </c>
      <c r="U7" s="711">
        <f t="shared" ref="U7:U14" si="1">H7</f>
        <v>0</v>
      </c>
      <c r="V7" s="710" t="s">
        <v>17</v>
      </c>
      <c r="W7" s="711">
        <f t="shared" ref="W7:W14" si="2">J7</f>
        <v>0</v>
      </c>
      <c r="X7" s="712"/>
      <c r="Y7" s="3321" t="s">
        <v>2370</v>
      </c>
      <c r="Z7" s="332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21" t="s">
        <v>2373</v>
      </c>
      <c r="Q8" s="3322"/>
      <c r="R8" s="710" t="s">
        <v>17</v>
      </c>
      <c r="S8" s="711">
        <f t="shared" si="0"/>
        <v>0</v>
      </c>
      <c r="T8" s="710" t="s">
        <v>17</v>
      </c>
      <c r="U8" s="711">
        <f t="shared" si="1"/>
        <v>0</v>
      </c>
      <c r="V8" s="710" t="s">
        <v>17</v>
      </c>
      <c r="W8" s="711">
        <f t="shared" si="2"/>
        <v>0</v>
      </c>
      <c r="X8" s="712"/>
      <c r="Y8" s="3321" t="s">
        <v>2373</v>
      </c>
      <c r="Z8" s="332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285" t="s">
        <v>2376</v>
      </c>
      <c r="Q9" s="1528" t="str">
        <f t="shared" ref="Q9:Q14" si="6">B9</f>
        <v>用途</v>
      </c>
      <c r="R9" s="710" t="s">
        <v>17</v>
      </c>
      <c r="S9" s="711">
        <f t="shared" si="0"/>
        <v>100</v>
      </c>
      <c r="T9" s="710" t="s">
        <v>17</v>
      </c>
      <c r="U9" s="711">
        <f t="shared" si="1"/>
        <v>100</v>
      </c>
      <c r="V9" s="710" t="s">
        <v>17</v>
      </c>
      <c r="W9" s="711">
        <f t="shared" si="2"/>
        <v>100</v>
      </c>
      <c r="X9" s="712"/>
      <c r="Y9" s="315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285"/>
      <c r="Q10" s="1528"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285"/>
      <c r="Q11" s="1528">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285"/>
      <c r="Q12" s="1528">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285"/>
      <c r="Q13" s="1528">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287" t="s">
        <v>2381</v>
      </c>
      <c r="Q14" s="1537" t="str">
        <f t="shared" si="6"/>
        <v>交通便捷度</v>
      </c>
      <c r="R14" s="714" t="s">
        <v>17</v>
      </c>
      <c r="S14" s="715">
        <f t="shared" si="0"/>
        <v>100</v>
      </c>
      <c r="T14" s="714" t="s">
        <v>17</v>
      </c>
      <c r="U14" s="715">
        <f t="shared" si="1"/>
        <v>100</v>
      </c>
      <c r="V14" s="714" t="s">
        <v>17</v>
      </c>
      <c r="W14" s="715">
        <f t="shared" si="2"/>
        <v>100</v>
      </c>
      <c r="X14" s="1540"/>
      <c r="Y14" s="3287"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8"/>
      <c r="M15" s="2942"/>
      <c r="N15" s="2942"/>
      <c r="O15" s="2942"/>
      <c r="P15" s="3288"/>
      <c r="Q15" s="1537"/>
      <c r="R15" s="714"/>
      <c r="S15" s="715"/>
      <c r="T15" s="714"/>
      <c r="U15" s="715"/>
      <c r="V15" s="714"/>
      <c r="W15" s="715"/>
      <c r="X15" s="1540"/>
      <c r="Y15" s="3288"/>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288"/>
      <c r="Q16" s="1537" t="str">
        <f>B16</f>
        <v>公共配套设施</v>
      </c>
      <c r="R16" s="714" t="s">
        <v>17</v>
      </c>
      <c r="S16" s="715">
        <f>F16</f>
        <v>100</v>
      </c>
      <c r="T16" s="714" t="s">
        <v>17</v>
      </c>
      <c r="U16" s="715">
        <f>H16</f>
        <v>100</v>
      </c>
      <c r="V16" s="714" t="s">
        <v>17</v>
      </c>
      <c r="W16" s="715">
        <f>J16</f>
        <v>100</v>
      </c>
      <c r="X16" s="1540"/>
      <c r="Y16" s="3288"/>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48"/>
      <c r="M17" s="2942"/>
      <c r="N17" s="2942"/>
      <c r="O17" s="2942"/>
      <c r="P17" s="3288"/>
      <c r="Q17" s="1537"/>
      <c r="R17" s="714"/>
      <c r="S17" s="715"/>
      <c r="T17" s="714"/>
      <c r="U17" s="715"/>
      <c r="V17" s="714"/>
      <c r="W17" s="715"/>
      <c r="X17" s="1540"/>
      <c r="Y17" s="3288"/>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288"/>
      <c r="Q18" s="1537" t="str">
        <f>B18</f>
        <v>基础设施水平</v>
      </c>
      <c r="R18" s="714" t="s">
        <v>17</v>
      </c>
      <c r="S18" s="715">
        <f>F18</f>
        <v>100</v>
      </c>
      <c r="T18" s="714" t="s">
        <v>17</v>
      </c>
      <c r="U18" s="715">
        <f>H18</f>
        <v>100</v>
      </c>
      <c r="V18" s="714" t="s">
        <v>17</v>
      </c>
      <c r="W18" s="715">
        <f>J18</f>
        <v>100</v>
      </c>
      <c r="X18" s="1540"/>
      <c r="Y18" s="3288"/>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48"/>
      <c r="M19" s="2942"/>
      <c r="N19" s="2942"/>
      <c r="O19" s="2942"/>
      <c r="P19" s="3288"/>
      <c r="Q19" s="1537"/>
      <c r="R19" s="714"/>
      <c r="S19" s="715"/>
      <c r="T19" s="714"/>
      <c r="U19" s="715"/>
      <c r="V19" s="714"/>
      <c r="W19" s="715"/>
      <c r="X19" s="1540"/>
      <c r="Y19" s="3288"/>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288"/>
      <c r="Q20" s="1537" t="str">
        <f>B20</f>
        <v>自然及人文环境</v>
      </c>
      <c r="R20" s="714" t="s">
        <v>17</v>
      </c>
      <c r="S20" s="715">
        <f>F20</f>
        <v>100</v>
      </c>
      <c r="T20" s="714" t="s">
        <v>17</v>
      </c>
      <c r="U20" s="715">
        <f>H20</f>
        <v>100</v>
      </c>
      <c r="V20" s="714" t="s">
        <v>17</v>
      </c>
      <c r="W20" s="715">
        <f>J20</f>
        <v>100</v>
      </c>
      <c r="X20" s="1540"/>
      <c r="Y20" s="3288"/>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8"/>
      <c r="M21" s="2942"/>
      <c r="N21" s="2942"/>
      <c r="O21" s="2942"/>
      <c r="P21" s="3288"/>
      <c r="Q21" s="1537"/>
      <c r="R21" s="714"/>
      <c r="S21" s="715"/>
      <c r="T21" s="714"/>
      <c r="U21" s="715"/>
      <c r="V21" s="714"/>
      <c r="W21" s="715"/>
      <c r="X21" s="1540"/>
      <c r="Y21" s="3288"/>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288"/>
      <c r="Q22" s="1537" t="str">
        <f>B22</f>
        <v>楼层</v>
      </c>
      <c r="R22" s="714" t="s">
        <v>17</v>
      </c>
      <c r="S22" s="715">
        <f>F22</f>
        <v>100</v>
      </c>
      <c r="T22" s="714" t="s">
        <v>17</v>
      </c>
      <c r="U22" s="715">
        <f>H22</f>
        <v>100</v>
      </c>
      <c r="V22" s="714" t="s">
        <v>17</v>
      </c>
      <c r="W22" s="715">
        <f>J22</f>
        <v>100</v>
      </c>
      <c r="X22" s="1540"/>
      <c r="Y22" s="3288"/>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288"/>
      <c r="Q23" s="1537">
        <f>B23</f>
        <v>111</v>
      </c>
      <c r="R23" s="714" t="s">
        <v>17</v>
      </c>
      <c r="S23" s="715">
        <f>F23</f>
        <v>100</v>
      </c>
      <c r="T23" s="714" t="s">
        <v>17</v>
      </c>
      <c r="U23" s="715">
        <f>H23</f>
        <v>100</v>
      </c>
      <c r="V23" s="714" t="s">
        <v>17</v>
      </c>
      <c r="W23" s="715">
        <f>J23</f>
        <v>100</v>
      </c>
      <c r="X23" s="1540"/>
      <c r="Y23" s="3288"/>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288"/>
      <c r="Q24" s="1537">
        <f t="shared" ref="Q24:Q36" si="11">B24</f>
        <v>111</v>
      </c>
      <c r="R24" s="714" t="s">
        <v>17</v>
      </c>
      <c r="S24" s="715">
        <f>F24</f>
        <v>100</v>
      </c>
      <c r="T24" s="714" t="s">
        <v>17</v>
      </c>
      <c r="U24" s="715">
        <f>H24</f>
        <v>100</v>
      </c>
      <c r="V24" s="714" t="s">
        <v>17</v>
      </c>
      <c r="W24" s="715">
        <f>J24</f>
        <v>100</v>
      </c>
      <c r="X24" s="1540"/>
      <c r="Y24" s="3288"/>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288"/>
      <c r="Q25" s="1528">
        <f t="shared" si="11"/>
        <v>111</v>
      </c>
      <c r="R25" s="710" t="s">
        <v>17</v>
      </c>
      <c r="S25" s="711">
        <f>F25</f>
        <v>100</v>
      </c>
      <c r="T25" s="710" t="s">
        <v>17</v>
      </c>
      <c r="U25" s="711">
        <f>H25</f>
        <v>100</v>
      </c>
      <c r="V25" s="710" t="s">
        <v>17</v>
      </c>
      <c r="W25" s="711">
        <f>J25</f>
        <v>100</v>
      </c>
      <c r="X25" s="712"/>
      <c r="Y25" s="3288"/>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43"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92"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292"/>
      <c r="Q27" s="716" t="str">
        <f t="shared" si="11"/>
        <v>项目停车位配比</v>
      </c>
      <c r="R27" s="717" t="s">
        <v>17</v>
      </c>
      <c r="S27" s="718">
        <f t="shared" si="12"/>
        <v>100</v>
      </c>
      <c r="T27" s="717" t="s">
        <v>17</v>
      </c>
      <c r="U27" s="718">
        <f t="shared" si="13"/>
        <v>100</v>
      </c>
      <c r="V27" s="717" t="s">
        <v>17</v>
      </c>
      <c r="W27" s="718">
        <f t="shared" si="14"/>
        <v>100</v>
      </c>
      <c r="X27" s="719"/>
      <c r="Y27" s="3292"/>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292"/>
      <c r="Q28" s="1537" t="str">
        <f t="shared" si="11"/>
        <v>公共部分装修</v>
      </c>
      <c r="R28" s="714" t="s">
        <v>17</v>
      </c>
      <c r="S28" s="715">
        <f t="shared" si="12"/>
        <v>100</v>
      </c>
      <c r="T28" s="714" t="s">
        <v>17</v>
      </c>
      <c r="U28" s="715">
        <f t="shared" si="13"/>
        <v>100</v>
      </c>
      <c r="V28" s="714" t="s">
        <v>17</v>
      </c>
      <c r="W28" s="715">
        <f t="shared" si="14"/>
        <v>100</v>
      </c>
      <c r="X28" s="1540"/>
      <c r="Y28" s="3292"/>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292"/>
      <c r="Q29" s="1537" t="str">
        <f t="shared" si="11"/>
        <v>成新率</v>
      </c>
      <c r="R29" s="714" t="s">
        <v>17</v>
      </c>
      <c r="S29" s="715" t="e">
        <f t="shared" si="12"/>
        <v>#N/A</v>
      </c>
      <c r="T29" s="714" t="s">
        <v>17</v>
      </c>
      <c r="U29" s="715" t="e">
        <f t="shared" si="13"/>
        <v>#N/A</v>
      </c>
      <c r="V29" s="714" t="s">
        <v>17</v>
      </c>
      <c r="W29" s="715" t="e">
        <f t="shared" si="14"/>
        <v>#N/A</v>
      </c>
      <c r="X29" s="1540"/>
      <c r="Y29" s="3292"/>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292"/>
      <c r="Q30" s="1537" t="str">
        <f t="shared" si="11"/>
        <v>物业等级</v>
      </c>
      <c r="R30" s="714" t="s">
        <v>17</v>
      </c>
      <c r="S30" s="715">
        <f t="shared" si="12"/>
        <v>100</v>
      </c>
      <c r="T30" s="714" t="s">
        <v>17</v>
      </c>
      <c r="U30" s="715">
        <f t="shared" si="13"/>
        <v>100</v>
      </c>
      <c r="V30" s="714" t="s">
        <v>17</v>
      </c>
      <c r="W30" s="715">
        <f t="shared" si="14"/>
        <v>100</v>
      </c>
      <c r="X30" s="1540"/>
      <c r="Y30" s="3292"/>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292"/>
      <c r="Q31" s="1528" t="str">
        <f t="shared" si="11"/>
        <v>停车位面积</v>
      </c>
      <c r="R31" s="710" t="s">
        <v>17</v>
      </c>
      <c r="S31" s="711" t="e">
        <f t="shared" si="12"/>
        <v>#N/A</v>
      </c>
      <c r="T31" s="710" t="s">
        <v>17</v>
      </c>
      <c r="U31" s="711" t="e">
        <f t="shared" si="13"/>
        <v>#N/A</v>
      </c>
      <c r="V31" s="710" t="s">
        <v>17</v>
      </c>
      <c r="W31" s="711" t="e">
        <f t="shared" si="14"/>
        <v>#N/A</v>
      </c>
      <c r="X31" s="712"/>
      <c r="Y31" s="329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292" t="s">
        <v>2386</v>
      </c>
      <c r="Q32" s="1537" t="str">
        <f t="shared" si="11"/>
        <v>车位类型</v>
      </c>
      <c r="R32" s="714" t="s">
        <v>17</v>
      </c>
      <c r="S32" s="715">
        <f t="shared" si="12"/>
        <v>100</v>
      </c>
      <c r="T32" s="714" t="s">
        <v>17</v>
      </c>
      <c r="U32" s="715">
        <f t="shared" si="13"/>
        <v>100</v>
      </c>
      <c r="V32" s="714" t="s">
        <v>17</v>
      </c>
      <c r="W32" s="715">
        <f t="shared" si="14"/>
        <v>100</v>
      </c>
      <c r="X32" s="1540"/>
      <c r="Y32" s="3292"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292"/>
      <c r="Q33" s="1537" t="str">
        <f t="shared" si="11"/>
        <v>是否直接入户</v>
      </c>
      <c r="R33" s="714" t="s">
        <v>17</v>
      </c>
      <c r="S33" s="715">
        <f t="shared" si="12"/>
        <v>100</v>
      </c>
      <c r="T33" s="714" t="s">
        <v>17</v>
      </c>
      <c r="U33" s="715">
        <f t="shared" si="13"/>
        <v>100</v>
      </c>
      <c r="V33" s="714" t="s">
        <v>17</v>
      </c>
      <c r="W33" s="715">
        <f t="shared" si="14"/>
        <v>100</v>
      </c>
      <c r="X33" s="1540"/>
      <c r="Y33" s="3292"/>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292"/>
      <c r="Q34" s="1537">
        <f t="shared" si="11"/>
        <v>111</v>
      </c>
      <c r="R34" s="714" t="s">
        <v>17</v>
      </c>
      <c r="S34" s="715">
        <f t="shared" si="12"/>
        <v>100</v>
      </c>
      <c r="T34" s="714" t="s">
        <v>17</v>
      </c>
      <c r="U34" s="715">
        <f t="shared" si="13"/>
        <v>100</v>
      </c>
      <c r="V34" s="714" t="s">
        <v>17</v>
      </c>
      <c r="W34" s="715">
        <f t="shared" si="14"/>
        <v>100</v>
      </c>
      <c r="X34" s="1540"/>
      <c r="Y34" s="3292"/>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292"/>
      <c r="Q35" s="716">
        <f t="shared" si="11"/>
        <v>111</v>
      </c>
      <c r="R35" s="717" t="s">
        <v>17</v>
      </c>
      <c r="S35" s="718">
        <f t="shared" si="12"/>
        <v>100</v>
      </c>
      <c r="T35" s="717" t="s">
        <v>17</v>
      </c>
      <c r="U35" s="718">
        <f t="shared" si="13"/>
        <v>100</v>
      </c>
      <c r="V35" s="717" t="s">
        <v>17</v>
      </c>
      <c r="W35" s="718">
        <f t="shared" si="14"/>
        <v>100</v>
      </c>
      <c r="X35" s="719"/>
      <c r="Y35" s="3292"/>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292"/>
      <c r="Q36" s="1537">
        <f t="shared" si="11"/>
        <v>111</v>
      </c>
      <c r="R36" s="714" t="s">
        <v>17</v>
      </c>
      <c r="S36" s="715">
        <f t="shared" si="12"/>
        <v>100</v>
      </c>
      <c r="T36" s="714" t="s">
        <v>17</v>
      </c>
      <c r="U36" s="715">
        <f t="shared" si="13"/>
        <v>100</v>
      </c>
      <c r="V36" s="714" t="s">
        <v>17</v>
      </c>
      <c r="W36" s="715">
        <f t="shared" si="14"/>
        <v>100</v>
      </c>
      <c r="X36" s="1540"/>
      <c r="Y36" s="3292"/>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0"/>
      <c r="M37" s="2951"/>
      <c r="N37" s="2942"/>
      <c r="O37" s="2951"/>
      <c r="P37" s="3285" t="str">
        <f>A37</f>
        <v>成交单价</v>
      </c>
      <c r="Q37" s="3285"/>
      <c r="R37" s="3286">
        <f>E37</f>
        <v>0</v>
      </c>
      <c r="S37" s="3286"/>
      <c r="T37" s="3286">
        <f>G37</f>
        <v>0</v>
      </c>
      <c r="U37" s="3286"/>
      <c r="V37" s="3286">
        <f>I37</f>
        <v>0</v>
      </c>
      <c r="W37" s="3286"/>
      <c r="X37" s="699"/>
      <c r="Y37" s="721"/>
      <c r="Z37" s="699"/>
      <c r="AA37" s="699"/>
      <c r="AB37" s="699"/>
      <c r="AC37" s="699"/>
    </row>
    <row r="38" spans="1:29" ht="15.75" thickBot="1">
      <c r="A38" s="445" t="s">
        <v>2543</v>
      </c>
      <c r="B38" s="446" t="str">
        <f>B37</f>
        <v>元/车位</v>
      </c>
      <c r="C38" s="1322" t="e">
        <f>R39</f>
        <v>#DIV/0!</v>
      </c>
      <c r="D38" s="2539" t="s">
        <v>2880</v>
      </c>
      <c r="E38" s="1323" t="e">
        <f>R38</f>
        <v>#DIV/0!</v>
      </c>
      <c r="F38" s="2540"/>
      <c r="G38" s="1322" t="e">
        <f>T38</f>
        <v>#DIV/0!</v>
      </c>
      <c r="H38" s="2540"/>
      <c r="I38" s="1323" t="e">
        <f>V38</f>
        <v>#DIV/0!</v>
      </c>
      <c r="J38" s="2540"/>
      <c r="K38" s="2542">
        <f>F38+H38+J38</f>
        <v>0</v>
      </c>
      <c r="L38" s="2950"/>
      <c r="M38" s="2951"/>
      <c r="N38" s="2951"/>
      <c r="O38" s="2951"/>
      <c r="P38" s="3285" t="str">
        <f>A38</f>
        <v>比较价值（元/平方米）</v>
      </c>
      <c r="Q38" s="3285"/>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0"/>
      <c r="M39" s="2951"/>
      <c r="N39" s="2951"/>
      <c r="O39" s="2951"/>
      <c r="P39" s="3282" t="str">
        <f>A39</f>
        <v>估价对象XX用房的比较价值（楼面单价，元/平方米）</v>
      </c>
      <c r="Q39" s="3283"/>
      <c r="R39" s="3344" t="e">
        <f>IF(F1="售价",ROUND(IF(D38="简单平均",AVERAGE(R38:W38),R38*F38+T38*H38+V38*J38),0),ROUND(IF(D38="简单平均",AVERAGE(R38:V38),R38*F38+T38*H38+V38*J38),1))</f>
        <v>#DIV/0!</v>
      </c>
      <c r="S39" s="3344"/>
      <c r="T39" s="3344"/>
      <c r="U39" s="3344"/>
      <c r="V39" s="3344"/>
      <c r="W39" s="3344"/>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2548</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2424</v>
      </c>
      <c r="C65" s="535" t="s">
        <v>2418</v>
      </c>
      <c r="D65" s="535" t="s">
        <v>2419</v>
      </c>
      <c r="E65" s="535" t="s">
        <v>2420</v>
      </c>
      <c r="F65" s="535" t="s">
        <v>2421</v>
      </c>
      <c r="G65" s="535" t="s">
        <v>2422</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2510</v>
      </c>
      <c r="C67" s="616" t="s">
        <v>2496</v>
      </c>
      <c r="D67" s="616" t="s">
        <v>2497</v>
      </c>
      <c r="E67" s="616" t="s">
        <v>2498</v>
      </c>
      <c r="F67" s="616" t="s">
        <v>2499</v>
      </c>
      <c r="G67" s="616" t="s">
        <v>2500</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2430</v>
      </c>
      <c r="C69" s="535" t="s">
        <v>2418</v>
      </c>
      <c r="D69" s="535" t="s">
        <v>2419</v>
      </c>
      <c r="E69" s="535" t="s">
        <v>2420</v>
      </c>
      <c r="F69" s="535" t="s">
        <v>2421</v>
      </c>
      <c r="G69" s="535" t="s">
        <v>2422</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2550</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2384</v>
      </c>
      <c r="B79" s="485" t="s">
        <v>2551</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2552</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2437</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2554</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2556</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2557</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2941"/>
      <c r="M4" s="2942"/>
      <c r="N4" s="2942"/>
      <c r="O4" s="2942"/>
      <c r="P4" s="3304" t="s">
        <v>2472</v>
      </c>
      <c r="Q4" s="3305"/>
      <c r="R4" s="3310" t="s">
        <v>2468</v>
      </c>
      <c r="S4" s="3311"/>
      <c r="T4" s="3310" t="s">
        <v>2469</v>
      </c>
      <c r="U4" s="3311"/>
      <c r="V4" s="3316" t="s">
        <v>2470</v>
      </c>
      <c r="W4" s="3316"/>
      <c r="X4" s="1540"/>
      <c r="Y4" s="3310" t="s">
        <v>2472</v>
      </c>
      <c r="Z4" s="3311"/>
      <c r="AA4" s="3297" t="s">
        <v>2468</v>
      </c>
      <c r="AB4" s="3298" t="s">
        <v>2469</v>
      </c>
      <c r="AC4" s="3297" t="s">
        <v>2470</v>
      </c>
    </row>
    <row r="5" spans="1:29" ht="15">
      <c r="A5" s="364"/>
      <c r="B5" s="365"/>
      <c r="C5" s="3319" t="s">
        <v>2363</v>
      </c>
      <c r="D5" s="3320"/>
      <c r="E5" s="3326" t="s">
        <v>2364</v>
      </c>
      <c r="F5" s="3327"/>
      <c r="G5" s="3319" t="s">
        <v>2365</v>
      </c>
      <c r="H5" s="3320"/>
      <c r="I5" s="3319" t="s">
        <v>2366</v>
      </c>
      <c r="J5" s="3320"/>
      <c r="K5" s="567"/>
      <c r="L5" s="2941"/>
      <c r="M5" s="2942"/>
      <c r="N5" s="2942"/>
      <c r="O5" s="2942"/>
      <c r="P5" s="3306"/>
      <c r="Q5" s="3307"/>
      <c r="R5" s="3312"/>
      <c r="S5" s="3313"/>
      <c r="T5" s="3312"/>
      <c r="U5" s="3313"/>
      <c r="V5" s="3316"/>
      <c r="W5" s="3316"/>
      <c r="X5" s="1540"/>
      <c r="Y5" s="3312"/>
      <c r="Z5" s="3313"/>
      <c r="AA5" s="3298"/>
      <c r="AB5" s="3298"/>
      <c r="AC5" s="3298"/>
    </row>
    <row r="6" spans="1:29" ht="15.75" thickBot="1">
      <c r="A6" s="366"/>
      <c r="B6" s="367"/>
      <c r="C6" s="3317" t="s">
        <v>2367</v>
      </c>
      <c r="D6" s="3318"/>
      <c r="E6" s="3324" t="s">
        <v>2367</v>
      </c>
      <c r="F6" s="3325"/>
      <c r="G6" s="3317" t="s">
        <v>2367</v>
      </c>
      <c r="H6" s="3318"/>
      <c r="I6" s="3317" t="s">
        <v>2367</v>
      </c>
      <c r="J6" s="3318"/>
      <c r="K6" s="567" t="s">
        <v>2368</v>
      </c>
      <c r="L6" s="2941"/>
      <c r="M6" s="2942"/>
      <c r="N6" s="2942"/>
      <c r="O6" s="2942"/>
      <c r="P6" s="3308"/>
      <c r="Q6" s="3309"/>
      <c r="R6" s="3312"/>
      <c r="S6" s="3313"/>
      <c r="T6" s="3314"/>
      <c r="U6" s="3315"/>
      <c r="V6" s="3316"/>
      <c r="W6" s="3316"/>
      <c r="X6" s="1540"/>
      <c r="Y6" s="3314"/>
      <c r="Z6" s="3315"/>
      <c r="AA6" s="3299"/>
      <c r="AB6" s="3299"/>
      <c r="AC6" s="3299"/>
    </row>
    <row r="7" spans="1:29" s="113" customFormat="1" ht="15.75" thickBot="1">
      <c r="A7" s="368" t="s">
        <v>2369</v>
      </c>
      <c r="B7" s="369"/>
      <c r="C7" s="370">
        <f>'数据-取费表'!B2</f>
        <v>44306</v>
      </c>
      <c r="D7" s="371">
        <v>100</v>
      </c>
      <c r="E7" s="372"/>
      <c r="F7" s="373">
        <f>SUMIF(46:46,YEAR(E7)&amp;"-"&amp;MONTH(E7),47:47)</f>
        <v>0</v>
      </c>
      <c r="G7" s="2161"/>
      <c r="H7" s="371">
        <f>SUMIF(46:46,YEAR(G7)&amp;"-"&amp;MONTH(G7),47:47)</f>
        <v>0</v>
      </c>
      <c r="I7" s="372"/>
      <c r="J7" s="371">
        <f>SUMIF(46:46,YEAR(I7)&amp;"-"&amp;MONTH(I7),47:47)</f>
        <v>0</v>
      </c>
      <c r="K7" s="568"/>
      <c r="L7" s="2943"/>
      <c r="M7" s="2944"/>
      <c r="N7" s="2944"/>
      <c r="O7" s="2944"/>
      <c r="P7" s="3321" t="s">
        <v>2370</v>
      </c>
      <c r="Q7" s="3323"/>
      <c r="R7" s="710" t="s">
        <v>17</v>
      </c>
      <c r="S7" s="711">
        <f t="shared" ref="S7:S14" si="0">F7</f>
        <v>0</v>
      </c>
      <c r="T7" s="710" t="s">
        <v>17</v>
      </c>
      <c r="U7" s="711">
        <f t="shared" ref="U7:U14" si="1">H7</f>
        <v>0</v>
      </c>
      <c r="V7" s="710" t="s">
        <v>17</v>
      </c>
      <c r="W7" s="711">
        <f t="shared" ref="W7:W14" si="2">J7</f>
        <v>0</v>
      </c>
      <c r="X7" s="712"/>
      <c r="Y7" s="3321" t="s">
        <v>2370</v>
      </c>
      <c r="Z7" s="332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21" t="s">
        <v>2373</v>
      </c>
      <c r="Q8" s="3322"/>
      <c r="R8" s="710" t="s">
        <v>17</v>
      </c>
      <c r="S8" s="711">
        <f t="shared" si="0"/>
        <v>0</v>
      </c>
      <c r="T8" s="710" t="s">
        <v>17</v>
      </c>
      <c r="U8" s="711">
        <f t="shared" si="1"/>
        <v>0</v>
      </c>
      <c r="V8" s="710" t="s">
        <v>17</v>
      </c>
      <c r="W8" s="711">
        <f t="shared" si="2"/>
        <v>0</v>
      </c>
      <c r="X8" s="712"/>
      <c r="Y8" s="3321" t="s">
        <v>2373</v>
      </c>
      <c r="Z8" s="332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285" t="s">
        <v>2376</v>
      </c>
      <c r="Q9" s="1528" t="str">
        <f t="shared" ref="Q9:Q14" si="6">B9</f>
        <v>用途</v>
      </c>
      <c r="R9" s="710" t="s">
        <v>17</v>
      </c>
      <c r="S9" s="711">
        <f t="shared" si="0"/>
        <v>100</v>
      </c>
      <c r="T9" s="710" t="s">
        <v>17</v>
      </c>
      <c r="U9" s="711">
        <f t="shared" si="1"/>
        <v>100</v>
      </c>
      <c r="V9" s="710" t="s">
        <v>17</v>
      </c>
      <c r="W9" s="711">
        <f t="shared" si="2"/>
        <v>100</v>
      </c>
      <c r="X9" s="712"/>
      <c r="Y9" s="315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285"/>
      <c r="Q10" s="1528"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285"/>
      <c r="Q11" s="1528">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285"/>
      <c r="Q12" s="1528">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48"/>
      <c r="M13" s="2942"/>
      <c r="N13" s="2942"/>
      <c r="O13" s="3000"/>
      <c r="P13" s="3285"/>
      <c r="Q13" s="1528">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287" t="s">
        <v>2381</v>
      </c>
      <c r="Q14" s="1537" t="str">
        <f t="shared" si="6"/>
        <v>交通便捷度</v>
      </c>
      <c r="R14" s="714" t="s">
        <v>17</v>
      </c>
      <c r="S14" s="715">
        <f t="shared" si="0"/>
        <v>100</v>
      </c>
      <c r="T14" s="714" t="s">
        <v>17</v>
      </c>
      <c r="U14" s="715">
        <f t="shared" si="1"/>
        <v>100</v>
      </c>
      <c r="V14" s="714" t="s">
        <v>17</v>
      </c>
      <c r="W14" s="715">
        <f t="shared" si="2"/>
        <v>100</v>
      </c>
      <c r="X14" s="1540"/>
      <c r="Y14" s="3287"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8"/>
      <c r="M15" s="2942"/>
      <c r="N15" s="2942"/>
      <c r="O15" s="3000"/>
      <c r="P15" s="3288"/>
      <c r="Q15" s="1537"/>
      <c r="R15" s="714"/>
      <c r="S15" s="715"/>
      <c r="T15" s="714"/>
      <c r="U15" s="715"/>
      <c r="V15" s="714"/>
      <c r="W15" s="715"/>
      <c r="X15" s="1540"/>
      <c r="Y15" s="3288"/>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288"/>
      <c r="Q16" s="1537" t="str">
        <f>B16</f>
        <v>公共配套设施</v>
      </c>
      <c r="R16" s="714" t="s">
        <v>17</v>
      </c>
      <c r="S16" s="715">
        <f>F16</f>
        <v>100</v>
      </c>
      <c r="T16" s="714" t="s">
        <v>17</v>
      </c>
      <c r="U16" s="715">
        <f>H16</f>
        <v>100</v>
      </c>
      <c r="V16" s="714" t="s">
        <v>17</v>
      </c>
      <c r="W16" s="715">
        <f>J16</f>
        <v>100</v>
      </c>
      <c r="X16" s="1540"/>
      <c r="Y16" s="3288"/>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48"/>
      <c r="M17" s="2942"/>
      <c r="N17" s="2942"/>
      <c r="O17" s="3000"/>
      <c r="P17" s="3288"/>
      <c r="Q17" s="1537"/>
      <c r="R17" s="714"/>
      <c r="S17" s="715"/>
      <c r="T17" s="714"/>
      <c r="U17" s="715"/>
      <c r="V17" s="714"/>
      <c r="W17" s="715"/>
      <c r="X17" s="1540"/>
      <c r="Y17" s="3288"/>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288"/>
      <c r="Q18" s="1537" t="str">
        <f>B18</f>
        <v>基础设施水平</v>
      </c>
      <c r="R18" s="714" t="s">
        <v>17</v>
      </c>
      <c r="S18" s="715">
        <f>F18</f>
        <v>100</v>
      </c>
      <c r="T18" s="714" t="s">
        <v>17</v>
      </c>
      <c r="U18" s="715">
        <f>H18</f>
        <v>100</v>
      </c>
      <c r="V18" s="714" t="s">
        <v>17</v>
      </c>
      <c r="W18" s="715">
        <f>J18</f>
        <v>100</v>
      </c>
      <c r="X18" s="1540"/>
      <c r="Y18" s="3288"/>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48"/>
      <c r="M19" s="2942"/>
      <c r="N19" s="2942"/>
      <c r="O19" s="3000"/>
      <c r="P19" s="3288"/>
      <c r="Q19" s="1537"/>
      <c r="R19" s="714"/>
      <c r="S19" s="715"/>
      <c r="T19" s="714"/>
      <c r="U19" s="715"/>
      <c r="V19" s="714"/>
      <c r="W19" s="715"/>
      <c r="X19" s="1540"/>
      <c r="Y19" s="3288"/>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288"/>
      <c r="Q20" s="1537" t="str">
        <f>B20</f>
        <v>自然及人文环境</v>
      </c>
      <c r="R20" s="714" t="s">
        <v>17</v>
      </c>
      <c r="S20" s="715">
        <f>F20</f>
        <v>100</v>
      </c>
      <c r="T20" s="714" t="s">
        <v>17</v>
      </c>
      <c r="U20" s="715">
        <f>H20</f>
        <v>100</v>
      </c>
      <c r="V20" s="714" t="s">
        <v>17</v>
      </c>
      <c r="W20" s="715">
        <f>J20</f>
        <v>100</v>
      </c>
      <c r="X20" s="1540"/>
      <c r="Y20" s="3288"/>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8"/>
      <c r="M21" s="2942"/>
      <c r="N21" s="2942"/>
      <c r="O21" s="3000"/>
      <c r="P21" s="3288"/>
      <c r="Q21" s="1537"/>
      <c r="R21" s="714"/>
      <c r="S21" s="715"/>
      <c r="T21" s="714"/>
      <c r="U21" s="715"/>
      <c r="V21" s="714"/>
      <c r="W21" s="715"/>
      <c r="X21" s="1540"/>
      <c r="Y21" s="3288"/>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288"/>
      <c r="Q22" s="1537" t="str">
        <f>B22</f>
        <v>楼层</v>
      </c>
      <c r="R22" s="714" t="s">
        <v>17</v>
      </c>
      <c r="S22" s="715">
        <f>F22</f>
        <v>100</v>
      </c>
      <c r="T22" s="714" t="s">
        <v>17</v>
      </c>
      <c r="U22" s="715">
        <f>H22</f>
        <v>100</v>
      </c>
      <c r="V22" s="714" t="s">
        <v>17</v>
      </c>
      <c r="W22" s="715">
        <f>J22</f>
        <v>100</v>
      </c>
      <c r="X22" s="1540"/>
      <c r="Y22" s="3288"/>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288"/>
      <c r="Q23" s="1537">
        <f>B23</f>
        <v>111</v>
      </c>
      <c r="R23" s="714" t="s">
        <v>17</v>
      </c>
      <c r="S23" s="715">
        <f>F23</f>
        <v>100</v>
      </c>
      <c r="T23" s="714" t="s">
        <v>17</v>
      </c>
      <c r="U23" s="715">
        <f>H23</f>
        <v>100</v>
      </c>
      <c r="V23" s="714" t="s">
        <v>17</v>
      </c>
      <c r="W23" s="715">
        <f>J23</f>
        <v>100</v>
      </c>
      <c r="X23" s="1540"/>
      <c r="Y23" s="3288"/>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288"/>
      <c r="Q24" s="1537">
        <f t="shared" ref="Q24:Q34" si="11">B24</f>
        <v>111</v>
      </c>
      <c r="R24" s="714" t="s">
        <v>17</v>
      </c>
      <c r="S24" s="715">
        <f>F24</f>
        <v>100</v>
      </c>
      <c r="T24" s="714" t="s">
        <v>17</v>
      </c>
      <c r="U24" s="715">
        <f>H24</f>
        <v>100</v>
      </c>
      <c r="V24" s="714" t="s">
        <v>17</v>
      </c>
      <c r="W24" s="715">
        <f>J24</f>
        <v>100</v>
      </c>
      <c r="X24" s="1540"/>
      <c r="Y24" s="3288"/>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3"/>
      <c r="M25" s="2944"/>
      <c r="N25" s="2944"/>
      <c r="O25" s="2998"/>
      <c r="P25" s="3288"/>
      <c r="Q25" s="1528">
        <f t="shared" si="11"/>
        <v>111</v>
      </c>
      <c r="R25" s="710" t="s">
        <v>17</v>
      </c>
      <c r="S25" s="711">
        <f>F25</f>
        <v>100</v>
      </c>
      <c r="T25" s="710" t="s">
        <v>17</v>
      </c>
      <c r="U25" s="711">
        <f>H25</f>
        <v>100</v>
      </c>
      <c r="V25" s="710" t="s">
        <v>17</v>
      </c>
      <c r="W25" s="711">
        <f>J25</f>
        <v>100</v>
      </c>
      <c r="X25" s="712"/>
      <c r="Y25" s="3288"/>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48"/>
      <c r="M26" s="2942"/>
      <c r="N26" s="2942"/>
      <c r="O26" s="3000"/>
      <c r="P26" s="3343"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92"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292"/>
      <c r="Q27" s="716" t="str">
        <f t="shared" si="11"/>
        <v>成新率</v>
      </c>
      <c r="R27" s="717" t="s">
        <v>17</v>
      </c>
      <c r="S27" s="718" t="e">
        <f t="shared" si="12"/>
        <v>#N/A</v>
      </c>
      <c r="T27" s="717" t="s">
        <v>17</v>
      </c>
      <c r="U27" s="718" t="e">
        <f t="shared" si="13"/>
        <v>#N/A</v>
      </c>
      <c r="V27" s="717" t="s">
        <v>17</v>
      </c>
      <c r="W27" s="718" t="e">
        <f t="shared" si="14"/>
        <v>#N/A</v>
      </c>
      <c r="X27" s="719"/>
      <c r="Y27" s="3292"/>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292"/>
      <c r="Q28" s="1537" t="str">
        <f t="shared" si="11"/>
        <v>物业等级</v>
      </c>
      <c r="R28" s="714" t="s">
        <v>17</v>
      </c>
      <c r="S28" s="715">
        <f t="shared" si="12"/>
        <v>100</v>
      </c>
      <c r="T28" s="714" t="s">
        <v>17</v>
      </c>
      <c r="U28" s="715">
        <f t="shared" si="13"/>
        <v>100</v>
      </c>
      <c r="V28" s="714" t="s">
        <v>17</v>
      </c>
      <c r="W28" s="715">
        <f t="shared" si="14"/>
        <v>100</v>
      </c>
      <c r="X28" s="1540"/>
      <c r="Y28" s="3292"/>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292"/>
      <c r="Q29" s="1537" t="str">
        <f t="shared" si="11"/>
        <v>有无电梯</v>
      </c>
      <c r="R29" s="714" t="s">
        <v>17</v>
      </c>
      <c r="S29" s="715">
        <f t="shared" si="12"/>
        <v>100</v>
      </c>
      <c r="T29" s="714" t="s">
        <v>17</v>
      </c>
      <c r="U29" s="715">
        <f t="shared" si="13"/>
        <v>100</v>
      </c>
      <c r="V29" s="714" t="s">
        <v>17</v>
      </c>
      <c r="W29" s="715">
        <f t="shared" si="14"/>
        <v>100</v>
      </c>
      <c r="X29" s="1540"/>
      <c r="Y29" s="3292"/>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292"/>
      <c r="Q30" s="1537" t="str">
        <f t="shared" si="11"/>
        <v>建筑面积</v>
      </c>
      <c r="R30" s="714" t="s">
        <v>17</v>
      </c>
      <c r="S30" s="715" t="e">
        <f t="shared" si="12"/>
        <v>#N/A</v>
      </c>
      <c r="T30" s="714" t="s">
        <v>17</v>
      </c>
      <c r="U30" s="715" t="e">
        <f t="shared" si="13"/>
        <v>#N/A</v>
      </c>
      <c r="V30" s="714" t="s">
        <v>17</v>
      </c>
      <c r="W30" s="715" t="e">
        <f t="shared" si="14"/>
        <v>#N/A</v>
      </c>
      <c r="X30" s="1540"/>
      <c r="Y30" s="3292"/>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292"/>
      <c r="Q31" s="1528" t="str">
        <f t="shared" si="11"/>
        <v>是否封闭</v>
      </c>
      <c r="R31" s="710" t="s">
        <v>17</v>
      </c>
      <c r="S31" s="711">
        <f t="shared" si="12"/>
        <v>100</v>
      </c>
      <c r="T31" s="710" t="s">
        <v>17</v>
      </c>
      <c r="U31" s="711">
        <f t="shared" si="13"/>
        <v>100</v>
      </c>
      <c r="V31" s="710" t="s">
        <v>17</v>
      </c>
      <c r="W31" s="711">
        <f t="shared" si="14"/>
        <v>100</v>
      </c>
      <c r="X31" s="712"/>
      <c r="Y31" s="3292"/>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292" t="s">
        <v>2386</v>
      </c>
      <c r="Q32" s="1537">
        <f t="shared" si="11"/>
        <v>111</v>
      </c>
      <c r="R32" s="714" t="s">
        <v>17</v>
      </c>
      <c r="S32" s="715">
        <f t="shared" si="12"/>
        <v>100</v>
      </c>
      <c r="T32" s="714" t="s">
        <v>17</v>
      </c>
      <c r="U32" s="715">
        <f t="shared" si="13"/>
        <v>100</v>
      </c>
      <c r="V32" s="714" t="s">
        <v>17</v>
      </c>
      <c r="W32" s="715">
        <f t="shared" si="14"/>
        <v>100</v>
      </c>
      <c r="X32" s="1540"/>
      <c r="Y32" s="3292"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292"/>
      <c r="Q33" s="1537">
        <f t="shared" si="11"/>
        <v>111</v>
      </c>
      <c r="R33" s="714" t="s">
        <v>17</v>
      </c>
      <c r="S33" s="715">
        <f t="shared" si="12"/>
        <v>100</v>
      </c>
      <c r="T33" s="714" t="s">
        <v>17</v>
      </c>
      <c r="U33" s="715">
        <f t="shared" si="13"/>
        <v>100</v>
      </c>
      <c r="V33" s="714" t="s">
        <v>17</v>
      </c>
      <c r="W33" s="715">
        <f t="shared" si="14"/>
        <v>100</v>
      </c>
      <c r="X33" s="1540"/>
      <c r="Y33" s="3292"/>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48"/>
      <c r="M34" s="2942"/>
      <c r="N34" s="2942"/>
      <c r="O34" s="3000"/>
      <c r="P34" s="3292"/>
      <c r="Q34" s="1537">
        <f t="shared" si="11"/>
        <v>111</v>
      </c>
      <c r="R34" s="714" t="s">
        <v>17</v>
      </c>
      <c r="S34" s="715">
        <f t="shared" si="12"/>
        <v>100</v>
      </c>
      <c r="T34" s="714" t="s">
        <v>17</v>
      </c>
      <c r="U34" s="715">
        <f t="shared" si="13"/>
        <v>100</v>
      </c>
      <c r="V34" s="714" t="s">
        <v>17</v>
      </c>
      <c r="W34" s="715">
        <f t="shared" si="14"/>
        <v>100</v>
      </c>
      <c r="X34" s="1540"/>
      <c r="Y34" s="3292"/>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0"/>
      <c r="M35" s="2951"/>
      <c r="N35" s="2942"/>
      <c r="O35" s="2951"/>
      <c r="P35" s="3285" t="str">
        <f>A35</f>
        <v>成交单价（元/平方米）</v>
      </c>
      <c r="Q35" s="3285"/>
      <c r="R35" s="3286">
        <f>E35</f>
        <v>0</v>
      </c>
      <c r="S35" s="3286"/>
      <c r="T35" s="3286">
        <f>G35</f>
        <v>0</v>
      </c>
      <c r="U35" s="3286"/>
      <c r="V35" s="3286">
        <f>I35</f>
        <v>0</v>
      </c>
      <c r="W35" s="3286"/>
      <c r="X35" s="699"/>
      <c r="Y35" s="721"/>
      <c r="Z35" s="699"/>
      <c r="AA35" s="699"/>
      <c r="AB35" s="699"/>
      <c r="AC35" s="699"/>
    </row>
    <row r="36" spans="1:30" ht="15.75" thickBot="1">
      <c r="A36" s="445" t="s">
        <v>2490</v>
      </c>
      <c r="B36" s="446"/>
      <c r="C36" s="1322" t="e">
        <f>R37</f>
        <v>#DIV/0!</v>
      </c>
      <c r="D36" s="2539" t="s">
        <v>2880</v>
      </c>
      <c r="E36" s="1323" t="e">
        <f>R36</f>
        <v>#DIV/0!</v>
      </c>
      <c r="F36" s="2540"/>
      <c r="G36" s="1322" t="e">
        <f>T36</f>
        <v>#DIV/0!</v>
      </c>
      <c r="H36" s="2540"/>
      <c r="I36" s="1323" t="e">
        <f>V36</f>
        <v>#DIV/0!</v>
      </c>
      <c r="J36" s="2540"/>
      <c r="K36" s="2542">
        <f>F36+H36+J36</f>
        <v>0</v>
      </c>
      <c r="L36" s="2950"/>
      <c r="M36" s="2951"/>
      <c r="N36" s="2942"/>
      <c r="O36" s="2951"/>
      <c r="P36" s="3285" t="str">
        <f>A36</f>
        <v>比较价值（元/平方米）</v>
      </c>
      <c r="Q36" s="3285"/>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0"/>
      <c r="M37" s="2951"/>
      <c r="N37" s="2951"/>
      <c r="O37" s="2951"/>
      <c r="P37" s="3282" t="str">
        <f>A37</f>
        <v>估价对象XX用房的比较价值（楼面单价，元/平方米）</v>
      </c>
      <c r="Q37" s="3283"/>
      <c r="R37" s="3344" t="e">
        <f>IF(F1="售价",ROUND(IF(D36="简单平均",AVERAGE(R36:W36),R36*F36+T36*H36+V36*J36),0),ROUND(IF(D36="简单平均",AVERAGE(R36:V36),R36*F36+T36*H36+V36*J36),1))</f>
        <v>#DIV/0!</v>
      </c>
      <c r="S37" s="3344"/>
      <c r="T37" s="3344"/>
      <c r="U37" s="3344"/>
      <c r="V37" s="3344"/>
      <c r="W37" s="3344"/>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2495</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2561</v>
      </c>
      <c r="C63" s="535" t="s">
        <v>2418</v>
      </c>
      <c r="D63" s="535" t="s">
        <v>2419</v>
      </c>
      <c r="E63" s="535" t="s">
        <v>2420</v>
      </c>
      <c r="F63" s="535" t="s">
        <v>2421</v>
      </c>
      <c r="G63" s="535" t="s">
        <v>2422</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2510</v>
      </c>
      <c r="C65" s="616" t="s">
        <v>2496</v>
      </c>
      <c r="D65" s="616" t="s">
        <v>2497</v>
      </c>
      <c r="E65" s="616" t="s">
        <v>2498</v>
      </c>
      <c r="F65" s="616" t="s">
        <v>2499</v>
      </c>
      <c r="G65" s="616" t="s">
        <v>2500</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2430</v>
      </c>
      <c r="C67" s="535" t="s">
        <v>2418</v>
      </c>
      <c r="D67" s="535" t="s">
        <v>2419</v>
      </c>
      <c r="E67" s="535" t="s">
        <v>2420</v>
      </c>
      <c r="F67" s="535" t="s">
        <v>2421</v>
      </c>
      <c r="G67" s="535" t="s">
        <v>2422</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2550</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2384</v>
      </c>
      <c r="B77" s="485" t="s">
        <v>2437</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2554</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2562</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2564</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2466</v>
      </c>
      <c r="B4" s="362"/>
      <c r="C4" s="3300" t="s">
        <v>2467</v>
      </c>
      <c r="D4" s="3301"/>
      <c r="E4" s="3302" t="s">
        <v>2468</v>
      </c>
      <c r="F4" s="3303"/>
      <c r="G4" s="3300" t="s">
        <v>2469</v>
      </c>
      <c r="H4" s="3301"/>
      <c r="I4" s="3300" t="s">
        <v>2470</v>
      </c>
      <c r="J4" s="3301"/>
      <c r="K4" s="567" t="s">
        <v>2471</v>
      </c>
      <c r="L4" s="2941"/>
      <c r="M4" s="2942"/>
      <c r="N4" s="2942"/>
      <c r="O4" s="2942"/>
      <c r="P4" s="3304" t="s">
        <v>2472</v>
      </c>
      <c r="Q4" s="3305"/>
      <c r="R4" s="3310" t="s">
        <v>2468</v>
      </c>
      <c r="S4" s="3311"/>
      <c r="T4" s="3310" t="s">
        <v>2469</v>
      </c>
      <c r="U4" s="3311"/>
      <c r="V4" s="3316" t="s">
        <v>2470</v>
      </c>
      <c r="W4" s="3316"/>
      <c r="X4" s="1540"/>
      <c r="Y4" s="3310" t="s">
        <v>2472</v>
      </c>
      <c r="Z4" s="3311"/>
      <c r="AA4" s="3297" t="s">
        <v>2468</v>
      </c>
      <c r="AB4" s="3298" t="s">
        <v>2469</v>
      </c>
      <c r="AC4" s="3297" t="s">
        <v>2470</v>
      </c>
    </row>
    <row r="5" spans="1:30" ht="15">
      <c r="A5" s="364"/>
      <c r="B5" s="365"/>
      <c r="C5" s="3319" t="s">
        <v>2363</v>
      </c>
      <c r="D5" s="3320"/>
      <c r="E5" s="3326" t="s">
        <v>2364</v>
      </c>
      <c r="F5" s="3327"/>
      <c r="G5" s="3319" t="s">
        <v>2365</v>
      </c>
      <c r="H5" s="3320"/>
      <c r="I5" s="3319" t="s">
        <v>2366</v>
      </c>
      <c r="J5" s="3320"/>
      <c r="K5" s="567"/>
      <c r="L5" s="2941"/>
      <c r="M5" s="2942"/>
      <c r="N5" s="2942"/>
      <c r="O5" s="2942"/>
      <c r="P5" s="3306"/>
      <c r="Q5" s="3307"/>
      <c r="R5" s="3312"/>
      <c r="S5" s="3313"/>
      <c r="T5" s="3312"/>
      <c r="U5" s="3313"/>
      <c r="V5" s="3316"/>
      <c r="W5" s="3316"/>
      <c r="X5" s="1540"/>
      <c r="Y5" s="3312"/>
      <c r="Z5" s="3313"/>
      <c r="AA5" s="3298"/>
      <c r="AB5" s="3298"/>
      <c r="AC5" s="3298"/>
    </row>
    <row r="6" spans="1:30" ht="15.75" thickBot="1">
      <c r="A6" s="366"/>
      <c r="B6" s="367"/>
      <c r="C6" s="3317" t="s">
        <v>2367</v>
      </c>
      <c r="D6" s="3318"/>
      <c r="E6" s="3324" t="s">
        <v>2367</v>
      </c>
      <c r="F6" s="3325"/>
      <c r="G6" s="3317" t="s">
        <v>2367</v>
      </c>
      <c r="H6" s="3318"/>
      <c r="I6" s="3317" t="s">
        <v>2367</v>
      </c>
      <c r="J6" s="3318"/>
      <c r="K6" s="567" t="s">
        <v>2368</v>
      </c>
      <c r="L6" s="2941"/>
      <c r="M6" s="2942"/>
      <c r="N6" s="2942"/>
      <c r="O6" s="2942"/>
      <c r="P6" s="3308"/>
      <c r="Q6" s="3309"/>
      <c r="R6" s="3312"/>
      <c r="S6" s="3313"/>
      <c r="T6" s="3314"/>
      <c r="U6" s="3315"/>
      <c r="V6" s="3316"/>
      <c r="W6" s="3316"/>
      <c r="X6" s="1540"/>
      <c r="Y6" s="3314"/>
      <c r="Z6" s="3315"/>
      <c r="AA6" s="3299"/>
      <c r="AB6" s="3299"/>
      <c r="AC6" s="3299"/>
    </row>
    <row r="7" spans="1:30" s="113" customFormat="1" ht="15.75" thickBot="1">
      <c r="A7" s="368" t="s">
        <v>2369</v>
      </c>
      <c r="B7" s="369"/>
      <c r="C7" s="370">
        <f>'数据-取费表'!B2</f>
        <v>44306</v>
      </c>
      <c r="D7" s="371">
        <v>100</v>
      </c>
      <c r="E7" s="372"/>
      <c r="F7" s="373">
        <f>SUMIF(70:70,YEAR(E7)&amp;"-"&amp;INT((MONTH(E7)+2)/3),71:71)</f>
        <v>0</v>
      </c>
      <c r="G7" s="2161"/>
      <c r="H7" s="371">
        <f>SUMIF(70:70,YEAR(G7)&amp;"-"&amp;INT((MONTH(G7)+2)/3),71:71)</f>
        <v>0</v>
      </c>
      <c r="I7" s="2161"/>
      <c r="J7" s="371">
        <f>SUMIF(70:70,YEAR(I7)&amp;"-"&amp;INT((MONTH(I7)+2)/3),71:71)</f>
        <v>0</v>
      </c>
      <c r="K7" s="568"/>
      <c r="L7" s="2943"/>
      <c r="M7" s="2944"/>
      <c r="N7" s="2944"/>
      <c r="O7" s="2944"/>
      <c r="P7" s="3321" t="s">
        <v>2370</v>
      </c>
      <c r="Q7" s="3323"/>
      <c r="R7" s="710" t="s">
        <v>17</v>
      </c>
      <c r="S7" s="711">
        <f t="shared" ref="S7:S15" si="0">F7</f>
        <v>0</v>
      </c>
      <c r="T7" s="710" t="s">
        <v>17</v>
      </c>
      <c r="U7" s="711">
        <f t="shared" ref="U7:U15" si="1">H7</f>
        <v>0</v>
      </c>
      <c r="V7" s="710" t="s">
        <v>17</v>
      </c>
      <c r="W7" s="711">
        <f t="shared" ref="W7:W15" si="2">J7</f>
        <v>0</v>
      </c>
      <c r="X7" s="712"/>
      <c r="Y7" s="3321" t="s">
        <v>2370</v>
      </c>
      <c r="Z7" s="332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21" t="s">
        <v>2373</v>
      </c>
      <c r="Q8" s="3322"/>
      <c r="R8" s="710" t="s">
        <v>17</v>
      </c>
      <c r="S8" s="711">
        <f t="shared" si="0"/>
        <v>0</v>
      </c>
      <c r="T8" s="710" t="s">
        <v>17</v>
      </c>
      <c r="U8" s="711">
        <f t="shared" si="1"/>
        <v>0</v>
      </c>
      <c r="V8" s="710" t="s">
        <v>17</v>
      </c>
      <c r="W8" s="711">
        <f t="shared" si="2"/>
        <v>0</v>
      </c>
      <c r="X8" s="712"/>
      <c r="Y8" s="3321" t="s">
        <v>2373</v>
      </c>
      <c r="Z8" s="3322"/>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3"/>
      <c r="M9" s="2944"/>
      <c r="N9" s="2944"/>
      <c r="O9" s="2998"/>
      <c r="P9" s="3285" t="s">
        <v>2376</v>
      </c>
      <c r="Q9" s="1528"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104</v>
      </c>
      <c r="G10" s="422"/>
      <c r="H10" s="132">
        <f>ROUND(100/'数据-取费表'!G16,0)</f>
        <v>104</v>
      </c>
      <c r="I10" s="422"/>
      <c r="J10" s="132">
        <f>ROUND(100/'数据-取费表'!G16,0)</f>
        <v>104</v>
      </c>
      <c r="K10" s="628"/>
      <c r="L10" s="2945"/>
      <c r="M10" s="2946"/>
      <c r="N10" s="2946"/>
      <c r="O10" s="2999"/>
      <c r="P10" s="3285"/>
      <c r="Q10" s="1528" t="str">
        <f t="shared" si="6"/>
        <v>土地使用年限（年）</v>
      </c>
      <c r="R10" s="710" t="s">
        <v>17</v>
      </c>
      <c r="S10" s="711">
        <f t="shared" si="0"/>
        <v>104</v>
      </c>
      <c r="T10" s="710" t="s">
        <v>17</v>
      </c>
      <c r="U10" s="711">
        <f t="shared" si="1"/>
        <v>104</v>
      </c>
      <c r="V10" s="710" t="s">
        <v>17</v>
      </c>
      <c r="W10" s="711">
        <f t="shared" si="2"/>
        <v>104</v>
      </c>
      <c r="X10" s="712"/>
      <c r="Y10" s="3155"/>
      <c r="Z10" s="55" t="str">
        <f t="shared" si="7"/>
        <v>土地使用年限（年）</v>
      </c>
      <c r="AA10" s="713">
        <f t="shared" si="3"/>
        <v>0.96153846153846156</v>
      </c>
      <c r="AB10" s="713">
        <f t="shared" si="4"/>
        <v>0.96153846153846156</v>
      </c>
      <c r="AC10" s="713">
        <f t="shared" si="5"/>
        <v>0.96153846153846156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285"/>
      <c r="Q11" s="1528"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285"/>
      <c r="Q12" s="1528" t="str">
        <f t="shared" si="6"/>
        <v>配建</v>
      </c>
      <c r="R12" s="710" t="s">
        <v>17</v>
      </c>
      <c r="S12" s="711">
        <f t="shared" si="0"/>
        <v>100</v>
      </c>
      <c r="T12" s="710" t="s">
        <v>17</v>
      </c>
      <c r="U12" s="711">
        <f t="shared" si="1"/>
        <v>100</v>
      </c>
      <c r="V12" s="710" t="s">
        <v>17</v>
      </c>
      <c r="W12" s="711">
        <f t="shared" si="2"/>
        <v>100</v>
      </c>
      <c r="X12" s="712"/>
      <c r="Y12" s="3155"/>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285"/>
      <c r="Q13" s="1528">
        <f t="shared" si="6"/>
        <v>111</v>
      </c>
      <c r="R13" s="710" t="s">
        <v>17</v>
      </c>
      <c r="S13" s="711">
        <f t="shared" si="0"/>
        <v>100</v>
      </c>
      <c r="T13" s="710" t="s">
        <v>17</v>
      </c>
      <c r="U13" s="711">
        <f t="shared" si="1"/>
        <v>100</v>
      </c>
      <c r="V13" s="710" t="s">
        <v>17</v>
      </c>
      <c r="W13" s="711">
        <f t="shared" si="2"/>
        <v>100</v>
      </c>
      <c r="X13" s="712"/>
      <c r="Y13" s="3155"/>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285"/>
      <c r="Q14" s="1528">
        <f t="shared" si="6"/>
        <v>111</v>
      </c>
      <c r="R14" s="710" t="s">
        <v>17</v>
      </c>
      <c r="S14" s="711">
        <f t="shared" si="0"/>
        <v>100</v>
      </c>
      <c r="T14" s="710" t="s">
        <v>17</v>
      </c>
      <c r="U14" s="711">
        <f t="shared" si="1"/>
        <v>100</v>
      </c>
      <c r="V14" s="710" t="s">
        <v>17</v>
      </c>
      <c r="W14" s="711">
        <f t="shared" si="2"/>
        <v>100</v>
      </c>
      <c r="X14" s="712"/>
      <c r="Y14" s="3155"/>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287" t="s">
        <v>2381</v>
      </c>
      <c r="Q15" s="1537" t="str">
        <f t="shared" si="6"/>
        <v>居住社区成熟度</v>
      </c>
      <c r="R15" s="714" t="s">
        <v>17</v>
      </c>
      <c r="S15" s="715">
        <f t="shared" si="0"/>
        <v>100</v>
      </c>
      <c r="T15" s="714" t="s">
        <v>17</v>
      </c>
      <c r="U15" s="715">
        <f t="shared" si="1"/>
        <v>100</v>
      </c>
      <c r="V15" s="714" t="s">
        <v>17</v>
      </c>
      <c r="W15" s="715">
        <f t="shared" si="2"/>
        <v>100</v>
      </c>
      <c r="X15" s="1540"/>
      <c r="Y15" s="3287"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48"/>
      <c r="M16" s="2942"/>
      <c r="N16" s="2942"/>
      <c r="O16" s="3000"/>
      <c r="P16" s="3288"/>
      <c r="Q16" s="1537"/>
      <c r="R16" s="714"/>
      <c r="S16" s="715"/>
      <c r="T16" s="714"/>
      <c r="U16" s="715"/>
      <c r="V16" s="714"/>
      <c r="W16" s="715"/>
      <c r="X16" s="1540"/>
      <c r="Y16" s="3288"/>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288"/>
      <c r="Q17" s="1537" t="str">
        <f>B17</f>
        <v>商业繁华度</v>
      </c>
      <c r="R17" s="714" t="s">
        <v>17</v>
      </c>
      <c r="S17" s="715">
        <f>F17</f>
        <v>100</v>
      </c>
      <c r="T17" s="714" t="s">
        <v>17</v>
      </c>
      <c r="U17" s="715">
        <f>H17</f>
        <v>100</v>
      </c>
      <c r="V17" s="714" t="s">
        <v>17</v>
      </c>
      <c r="W17" s="715">
        <f>J17</f>
        <v>100</v>
      </c>
      <c r="X17" s="1540"/>
      <c r="Y17" s="3288"/>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48"/>
      <c r="M18" s="2942"/>
      <c r="N18" s="2942"/>
      <c r="O18" s="3000"/>
      <c r="P18" s="3288"/>
      <c r="Q18" s="1537"/>
      <c r="R18" s="714"/>
      <c r="S18" s="715"/>
      <c r="T18" s="714"/>
      <c r="U18" s="715"/>
      <c r="V18" s="714"/>
      <c r="W18" s="715"/>
      <c r="X18" s="1540"/>
      <c r="Y18" s="3288"/>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288"/>
      <c r="Q19" s="1537" t="str">
        <f>B19</f>
        <v>办公集聚程度</v>
      </c>
      <c r="R19" s="714" t="s">
        <v>17</v>
      </c>
      <c r="S19" s="715">
        <f>F19</f>
        <v>100</v>
      </c>
      <c r="T19" s="714" t="s">
        <v>17</v>
      </c>
      <c r="U19" s="715">
        <f>H19</f>
        <v>100</v>
      </c>
      <c r="V19" s="714" t="s">
        <v>17</v>
      </c>
      <c r="W19" s="715">
        <f>J19</f>
        <v>100</v>
      </c>
      <c r="X19" s="1540"/>
      <c r="Y19" s="3288"/>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48"/>
      <c r="M20" s="2942"/>
      <c r="N20" s="2942"/>
      <c r="O20" s="3000"/>
      <c r="P20" s="3288"/>
      <c r="Q20" s="1537"/>
      <c r="R20" s="714"/>
      <c r="S20" s="715"/>
      <c r="T20" s="714"/>
      <c r="U20" s="715"/>
      <c r="V20" s="714"/>
      <c r="W20" s="715"/>
      <c r="X20" s="1540"/>
      <c r="Y20" s="3288"/>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288"/>
      <c r="Q21" s="1537" t="str">
        <f>B21</f>
        <v>交通便捷度</v>
      </c>
      <c r="R21" s="714" t="s">
        <v>17</v>
      </c>
      <c r="S21" s="715">
        <f>F21</f>
        <v>100</v>
      </c>
      <c r="T21" s="714" t="s">
        <v>17</v>
      </c>
      <c r="U21" s="715">
        <f>H21</f>
        <v>100</v>
      </c>
      <c r="V21" s="714" t="s">
        <v>17</v>
      </c>
      <c r="W21" s="715">
        <f>J21</f>
        <v>100</v>
      </c>
      <c r="X21" s="1540"/>
      <c r="Y21" s="3288"/>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48"/>
      <c r="M22" s="2942"/>
      <c r="N22" s="2942"/>
      <c r="O22" s="3000"/>
      <c r="P22" s="3288"/>
      <c r="Q22" s="1537"/>
      <c r="R22" s="714"/>
      <c r="S22" s="715"/>
      <c r="T22" s="714"/>
      <c r="U22" s="715"/>
      <c r="V22" s="714"/>
      <c r="W22" s="715"/>
      <c r="X22" s="1540"/>
      <c r="Y22" s="3288"/>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288"/>
      <c r="Q23" s="1537" t="str">
        <f t="shared" ref="Q23:Q37" si="8">B23</f>
        <v>区域土地利用方向</v>
      </c>
      <c r="R23" s="714" t="s">
        <v>17</v>
      </c>
      <c r="S23" s="715">
        <f>F23</f>
        <v>100</v>
      </c>
      <c r="T23" s="714" t="s">
        <v>17</v>
      </c>
      <c r="U23" s="715">
        <f>H23</f>
        <v>100</v>
      </c>
      <c r="V23" s="714" t="s">
        <v>17</v>
      </c>
      <c r="W23" s="715">
        <f>J23</f>
        <v>100</v>
      </c>
      <c r="X23" s="1540"/>
      <c r="Y23" s="3288"/>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48"/>
      <c r="M24" s="2942"/>
      <c r="N24" s="2942"/>
      <c r="O24" s="3000"/>
      <c r="P24" s="3288"/>
      <c r="Q24" s="1537"/>
      <c r="R24" s="714"/>
      <c r="S24" s="715"/>
      <c r="T24" s="714"/>
      <c r="U24" s="715"/>
      <c r="V24" s="714"/>
      <c r="W24" s="715"/>
      <c r="X24" s="1540"/>
      <c r="Y24" s="3288"/>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288"/>
      <c r="Q25" s="1537" t="str">
        <f t="shared" si="8"/>
        <v>自然及人文环境状况</v>
      </c>
      <c r="R25" s="714" t="s">
        <v>17</v>
      </c>
      <c r="S25" s="715">
        <f>F25</f>
        <v>100</v>
      </c>
      <c r="T25" s="714" t="s">
        <v>17</v>
      </c>
      <c r="U25" s="715">
        <f>H25</f>
        <v>100</v>
      </c>
      <c r="V25" s="714" t="s">
        <v>17</v>
      </c>
      <c r="W25" s="715">
        <f>J25</f>
        <v>100</v>
      </c>
      <c r="X25" s="1540"/>
      <c r="Y25" s="3288"/>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48"/>
      <c r="M26" s="2942"/>
      <c r="N26" s="2942"/>
      <c r="O26" s="3000"/>
      <c r="P26" s="3288"/>
      <c r="Q26" s="1537"/>
      <c r="R26" s="714"/>
      <c r="S26" s="715"/>
      <c r="T26" s="714"/>
      <c r="U26" s="715"/>
      <c r="V26" s="714"/>
      <c r="W26" s="715"/>
      <c r="X26" s="1540"/>
      <c r="Y26" s="3288"/>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288"/>
      <c r="Q27" s="1528" t="str">
        <f t="shared" si="8"/>
        <v>公共配套设施</v>
      </c>
      <c r="R27" s="710" t="s">
        <v>17</v>
      </c>
      <c r="S27" s="711">
        <f>F27</f>
        <v>100</v>
      </c>
      <c r="T27" s="710" t="s">
        <v>17</v>
      </c>
      <c r="U27" s="711">
        <f>H27</f>
        <v>100</v>
      </c>
      <c r="V27" s="710" t="s">
        <v>17</v>
      </c>
      <c r="W27" s="711">
        <f>J27</f>
        <v>100</v>
      </c>
      <c r="X27" s="712"/>
      <c r="Y27" s="3288"/>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3"/>
      <c r="M28" s="2944"/>
      <c r="N28" s="2944"/>
      <c r="O28" s="2998"/>
      <c r="P28" s="3288"/>
      <c r="Q28" s="1528"/>
      <c r="R28" s="710"/>
      <c r="S28" s="711"/>
      <c r="T28" s="710"/>
      <c r="U28" s="711"/>
      <c r="V28" s="710"/>
      <c r="W28" s="711"/>
      <c r="X28" s="712"/>
      <c r="Y28" s="3288"/>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288"/>
      <c r="Q29" s="1528" t="str">
        <f t="shared" ref="Q29" si="9">B29</f>
        <v>基础设施水平</v>
      </c>
      <c r="R29" s="710" t="s">
        <v>17</v>
      </c>
      <c r="S29" s="711">
        <f>F29</f>
        <v>100</v>
      </c>
      <c r="T29" s="710" t="s">
        <v>17</v>
      </c>
      <c r="U29" s="711">
        <f>H29</f>
        <v>100</v>
      </c>
      <c r="V29" s="710" t="s">
        <v>17</v>
      </c>
      <c r="W29" s="711">
        <f>J29</f>
        <v>100</v>
      </c>
      <c r="X29" s="712"/>
      <c r="Y29" s="3288"/>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3"/>
      <c r="M30" s="2944"/>
      <c r="N30" s="2944"/>
      <c r="O30" s="2998"/>
      <c r="P30" s="3288"/>
      <c r="Q30" s="1528"/>
      <c r="R30" s="710"/>
      <c r="S30" s="711"/>
      <c r="T30" s="710"/>
      <c r="U30" s="711"/>
      <c r="V30" s="710"/>
      <c r="W30" s="711"/>
      <c r="X30" s="712"/>
      <c r="Y30" s="3288"/>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288"/>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8"/>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288"/>
      <c r="Q32" s="1537" t="str">
        <f t="shared" si="8"/>
        <v>毗邻道路的类型与等级</v>
      </c>
      <c r="R32" s="714" t="s">
        <v>17</v>
      </c>
      <c r="S32" s="715">
        <f t="shared" si="10"/>
        <v>100</v>
      </c>
      <c r="T32" s="714" t="s">
        <v>17</v>
      </c>
      <c r="U32" s="715">
        <f t="shared" si="11"/>
        <v>100</v>
      </c>
      <c r="V32" s="714" t="s">
        <v>17</v>
      </c>
      <c r="W32" s="715">
        <f t="shared" si="12"/>
        <v>100</v>
      </c>
      <c r="X32" s="1540"/>
      <c r="Y32" s="3288"/>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48"/>
      <c r="M33" s="2942"/>
      <c r="N33" s="2942"/>
      <c r="O33" s="3000"/>
      <c r="P33" s="3288"/>
      <c r="Q33" s="1537"/>
      <c r="R33" s="714"/>
      <c r="S33" s="715"/>
      <c r="T33" s="714"/>
      <c r="U33" s="715"/>
      <c r="V33" s="714"/>
      <c r="W33" s="715"/>
      <c r="X33" s="1540"/>
      <c r="Y33" s="3288"/>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288"/>
      <c r="Q34" s="1537" t="str">
        <f t="shared" si="8"/>
        <v>土地级别</v>
      </c>
      <c r="R34" s="714" t="s">
        <v>17</v>
      </c>
      <c r="S34" s="715">
        <f t="shared" si="10"/>
        <v>100</v>
      </c>
      <c r="T34" s="714" t="s">
        <v>17</v>
      </c>
      <c r="U34" s="715">
        <f t="shared" si="11"/>
        <v>100</v>
      </c>
      <c r="V34" s="714" t="s">
        <v>17</v>
      </c>
      <c r="W34" s="715">
        <f t="shared" si="12"/>
        <v>100</v>
      </c>
      <c r="X34" s="1540"/>
      <c r="Y34" s="3288"/>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288"/>
      <c r="Q35" s="1537">
        <f t="shared" si="8"/>
        <v>111</v>
      </c>
      <c r="R35" s="714" t="s">
        <v>17</v>
      </c>
      <c r="S35" s="715">
        <f t="shared" si="10"/>
        <v>100</v>
      </c>
      <c r="T35" s="714" t="s">
        <v>17</v>
      </c>
      <c r="U35" s="715">
        <f t="shared" si="11"/>
        <v>100</v>
      </c>
      <c r="V35" s="714" t="s">
        <v>17</v>
      </c>
      <c r="W35" s="715">
        <f t="shared" si="12"/>
        <v>100</v>
      </c>
      <c r="X35" s="1540"/>
      <c r="Y35" s="3288"/>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43" t="s">
        <v>2386</v>
      </c>
      <c r="Q36" s="1537">
        <f t="shared" si="8"/>
        <v>111</v>
      </c>
      <c r="R36" s="714" t="s">
        <v>17</v>
      </c>
      <c r="S36" s="715">
        <f t="shared" si="10"/>
        <v>100</v>
      </c>
      <c r="T36" s="714" t="s">
        <v>17</v>
      </c>
      <c r="U36" s="715">
        <f t="shared" si="11"/>
        <v>100</v>
      </c>
      <c r="V36" s="714" t="s">
        <v>17</v>
      </c>
      <c r="W36" s="715">
        <f t="shared" si="12"/>
        <v>100</v>
      </c>
      <c r="X36" s="1540"/>
      <c r="Y36" s="3292"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292"/>
      <c r="Q37" s="1537">
        <f t="shared" si="8"/>
        <v>111</v>
      </c>
      <c r="R37" s="717" t="s">
        <v>17</v>
      </c>
      <c r="S37" s="718">
        <f t="shared" si="10"/>
        <v>100</v>
      </c>
      <c r="T37" s="717" t="s">
        <v>17</v>
      </c>
      <c r="U37" s="718">
        <f t="shared" si="11"/>
        <v>100</v>
      </c>
      <c r="V37" s="717" t="s">
        <v>17</v>
      </c>
      <c r="W37" s="718">
        <f t="shared" si="12"/>
        <v>100</v>
      </c>
      <c r="X37" s="719"/>
      <c r="Y37" s="3292"/>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292"/>
      <c r="Q38" s="1537" t="str">
        <f>B38</f>
        <v>宗地面积</v>
      </c>
      <c r="R38" s="714" t="s">
        <v>17</v>
      </c>
      <c r="S38" s="715" t="e">
        <f t="shared" si="10"/>
        <v>#N/A</v>
      </c>
      <c r="T38" s="714" t="s">
        <v>17</v>
      </c>
      <c r="U38" s="715" t="e">
        <f t="shared" si="11"/>
        <v>#N/A</v>
      </c>
      <c r="V38" s="714" t="s">
        <v>17</v>
      </c>
      <c r="W38" s="715" t="e">
        <f t="shared" si="12"/>
        <v>#N/A</v>
      </c>
      <c r="X38" s="1540"/>
      <c r="Y38" s="3292"/>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48"/>
      <c r="M39" s="2942"/>
      <c r="N39" s="2942"/>
      <c r="O39" s="3000"/>
      <c r="P39" s="3292"/>
      <c r="Q39" s="1537" t="str">
        <f t="shared" ref="Q39:Q45" si="14">B39</f>
        <v>宗地形状</v>
      </c>
      <c r="R39" s="714" t="s">
        <v>17</v>
      </c>
      <c r="S39" s="715">
        <f t="shared" si="10"/>
        <v>100</v>
      </c>
      <c r="T39" s="714" t="s">
        <v>17</v>
      </c>
      <c r="U39" s="715">
        <f t="shared" si="11"/>
        <v>100</v>
      </c>
      <c r="V39" s="714" t="s">
        <v>17</v>
      </c>
      <c r="W39" s="715">
        <f t="shared" si="12"/>
        <v>100</v>
      </c>
      <c r="X39" s="1540"/>
      <c r="Y39" s="3292"/>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48"/>
      <c r="M40" s="2942"/>
      <c r="N40" s="2942"/>
      <c r="O40" s="3000"/>
      <c r="P40" s="3292"/>
      <c r="Q40" s="1537" t="str">
        <f t="shared" si="14"/>
        <v>临街宽度及深度</v>
      </c>
      <c r="R40" s="714" t="s">
        <v>17</v>
      </c>
      <c r="S40" s="715">
        <f t="shared" si="10"/>
        <v>100</v>
      </c>
      <c r="T40" s="714" t="s">
        <v>17</v>
      </c>
      <c r="U40" s="715">
        <f t="shared" si="11"/>
        <v>100</v>
      </c>
      <c r="V40" s="714" t="s">
        <v>17</v>
      </c>
      <c r="W40" s="715">
        <f t="shared" si="12"/>
        <v>100</v>
      </c>
      <c r="X40" s="1540"/>
      <c r="Y40" s="3292"/>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3"/>
      <c r="M41" s="2944"/>
      <c r="N41" s="2944"/>
      <c r="O41" s="2998"/>
      <c r="P41" s="3292"/>
      <c r="Q41" s="1537" t="str">
        <f t="shared" si="14"/>
        <v>宗地开发程度</v>
      </c>
      <c r="R41" s="710" t="s">
        <v>17</v>
      </c>
      <c r="S41" s="711">
        <f t="shared" si="10"/>
        <v>100</v>
      </c>
      <c r="T41" s="710" t="s">
        <v>17</v>
      </c>
      <c r="U41" s="711">
        <f t="shared" si="11"/>
        <v>100</v>
      </c>
      <c r="V41" s="710" t="s">
        <v>17</v>
      </c>
      <c r="W41" s="711">
        <f t="shared" si="12"/>
        <v>100</v>
      </c>
      <c r="X41" s="712"/>
      <c r="Y41" s="3292"/>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48"/>
      <c r="M42" s="2942"/>
      <c r="N42" s="2942"/>
      <c r="O42" s="3000"/>
      <c r="P42" s="3292" t="s">
        <v>2386</v>
      </c>
      <c r="Q42" s="1537" t="str">
        <f t="shared" si="14"/>
        <v>工程地质条件</v>
      </c>
      <c r="R42" s="714" t="s">
        <v>17</v>
      </c>
      <c r="S42" s="715">
        <f t="shared" si="10"/>
        <v>100</v>
      </c>
      <c r="T42" s="714" t="s">
        <v>17</v>
      </c>
      <c r="U42" s="715">
        <f t="shared" si="11"/>
        <v>100</v>
      </c>
      <c r="V42" s="714" t="s">
        <v>17</v>
      </c>
      <c r="W42" s="715">
        <f t="shared" si="12"/>
        <v>100</v>
      </c>
      <c r="X42" s="1540"/>
      <c r="Y42" s="3292"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292"/>
      <c r="Q43" s="1537">
        <f t="shared" si="14"/>
        <v>111</v>
      </c>
      <c r="R43" s="714" t="s">
        <v>17</v>
      </c>
      <c r="S43" s="715">
        <f t="shared" si="10"/>
        <v>100</v>
      </c>
      <c r="T43" s="714" t="s">
        <v>17</v>
      </c>
      <c r="U43" s="715">
        <f t="shared" si="11"/>
        <v>100</v>
      </c>
      <c r="V43" s="714" t="s">
        <v>17</v>
      </c>
      <c r="W43" s="715">
        <f t="shared" si="12"/>
        <v>100</v>
      </c>
      <c r="X43" s="1540"/>
      <c r="Y43" s="3292"/>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292"/>
      <c r="Q44" s="1537">
        <f t="shared" si="14"/>
        <v>111</v>
      </c>
      <c r="R44" s="714" t="s">
        <v>17</v>
      </c>
      <c r="S44" s="715">
        <f t="shared" si="10"/>
        <v>100</v>
      </c>
      <c r="T44" s="714" t="s">
        <v>17</v>
      </c>
      <c r="U44" s="715">
        <f t="shared" si="11"/>
        <v>100</v>
      </c>
      <c r="V44" s="714" t="s">
        <v>17</v>
      </c>
      <c r="W44" s="715">
        <f t="shared" si="12"/>
        <v>100</v>
      </c>
      <c r="X44" s="1540"/>
      <c r="Y44" s="3292"/>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292"/>
      <c r="Q45" s="1537">
        <f t="shared" si="14"/>
        <v>111</v>
      </c>
      <c r="R45" s="717" t="s">
        <v>17</v>
      </c>
      <c r="S45" s="718">
        <f t="shared" si="10"/>
        <v>100</v>
      </c>
      <c r="T45" s="717" t="s">
        <v>17</v>
      </c>
      <c r="U45" s="718">
        <f t="shared" si="11"/>
        <v>100</v>
      </c>
      <c r="V45" s="717" t="s">
        <v>17</v>
      </c>
      <c r="W45" s="718">
        <f t="shared" si="12"/>
        <v>100</v>
      </c>
      <c r="X45" s="719"/>
      <c r="Y45" s="3292"/>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0"/>
      <c r="M46" s="2951"/>
      <c r="N46" s="2942"/>
      <c r="O46" s="2951"/>
      <c r="P46" s="3285" t="str">
        <f>A46</f>
        <v>成交单价</v>
      </c>
      <c r="Q46" s="3285"/>
      <c r="R46" s="3316">
        <f>E46</f>
        <v>0</v>
      </c>
      <c r="S46" s="3316"/>
      <c r="T46" s="3316">
        <f>G46</f>
        <v>0</v>
      </c>
      <c r="U46" s="3316"/>
      <c r="V46" s="3316">
        <f>I46</f>
        <v>0</v>
      </c>
      <c r="W46" s="3316"/>
      <c r="X46" s="699"/>
      <c r="Y46" s="721"/>
      <c r="Z46" s="699"/>
      <c r="AA46" s="699"/>
      <c r="AB46" s="699"/>
      <c r="AC46" s="699"/>
    </row>
    <row r="47" spans="1:29" ht="15.75" thickBot="1">
      <c r="A47" s="445" t="s">
        <v>2490</v>
      </c>
      <c r="B47" s="639"/>
      <c r="C47" s="448" t="e">
        <f>R48</f>
        <v>#DIV/0!</v>
      </c>
      <c r="D47" s="2539" t="s">
        <v>2880</v>
      </c>
      <c r="E47" s="448" t="e">
        <f>R47</f>
        <v>#DIV/0!</v>
      </c>
      <c r="F47" s="2540"/>
      <c r="G47" s="447" t="e">
        <f>T47</f>
        <v>#DIV/0!</v>
      </c>
      <c r="H47" s="2540"/>
      <c r="I47" s="448" t="e">
        <f>V47</f>
        <v>#DIV/0!</v>
      </c>
      <c r="J47" s="2540"/>
      <c r="K47" s="2542">
        <f>F47+H47+J47</f>
        <v>0</v>
      </c>
      <c r="L47" s="2950"/>
      <c r="M47" s="2951"/>
      <c r="N47" s="2951"/>
      <c r="O47" s="2951"/>
      <c r="P47" s="3285" t="str">
        <f>A47</f>
        <v>比较价值（元/平方米）</v>
      </c>
      <c r="Q47" s="3285"/>
      <c r="R47" s="3345" t="e">
        <f>ROUND(PRODUCT(R46,AA7:AA45),0)</f>
        <v>#DIV/0!</v>
      </c>
      <c r="S47" s="3345"/>
      <c r="T47" s="3345" t="e">
        <f>ROUND(PRODUCT(T46,AB7:AB45),0)</f>
        <v>#DIV/0!</v>
      </c>
      <c r="U47" s="3345"/>
      <c r="V47" s="3345" t="e">
        <f>ROUND(PRODUCT(V46,AC7:AC45),0)</f>
        <v>#DIV/0!</v>
      </c>
      <c r="W47" s="3345"/>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0"/>
      <c r="M48" s="2951"/>
      <c r="N48" s="2951"/>
      <c r="O48" s="2951"/>
      <c r="P48" s="3282" t="str">
        <f>A48</f>
        <v>估价对象XX用房的比较价值（楼面单价，元/平方米）</v>
      </c>
      <c r="Q48" s="3283"/>
      <c r="R48" s="3346" t="e">
        <f>ROUND(IF(D47="简单平均",AVERAGE(R47:W47),R47*F47+T47*H47+V47*J47),0)</f>
        <v>#DIV/0!</v>
      </c>
      <c r="S48" s="3346"/>
      <c r="T48" s="3346"/>
      <c r="U48" s="3346"/>
      <c r="V48" s="3346"/>
      <c r="W48" s="3346"/>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2579</v>
      </c>
      <c r="B55" s="641" t="s">
        <v>2580</v>
      </c>
      <c r="C55" s="2170" t="s">
        <v>2581</v>
      </c>
      <c r="D55" s="2171" t="s">
        <v>2582</v>
      </c>
      <c r="E55" s="642" t="s">
        <v>2583</v>
      </c>
      <c r="F55" s="1021" t="s">
        <v>2584</v>
      </c>
      <c r="G55" s="3300" t="s">
        <v>2585</v>
      </c>
      <c r="H55" s="3347"/>
      <c r="I55" s="140" t="s">
        <v>2586</v>
      </c>
      <c r="J55" s="2172">
        <f>项目基本情况!F35</f>
        <v>0</v>
      </c>
      <c r="K55" s="2173" t="s">
        <v>2587</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2588</v>
      </c>
      <c r="B56" s="645" t="e">
        <f>C48</f>
        <v>#DIV/0!</v>
      </c>
      <c r="C56" s="646">
        <v>1</v>
      </c>
      <c r="D56" s="1075">
        <v>1</v>
      </c>
      <c r="E56" s="646">
        <f>'数据-汇总表'!E8+'数据-汇总表'!E9</f>
        <v>27421.7</v>
      </c>
      <c r="F56" s="1017" t="e">
        <f t="shared" ref="F56:F65" si="15">ROUND(B56*E56/10000,0)</f>
        <v>#DIV/0!</v>
      </c>
      <c r="G56" s="3296"/>
      <c r="H56" s="3285"/>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2589</v>
      </c>
      <c r="B57" s="224" t="e">
        <f>ROUND($C$48*C57*D57,0)</f>
        <v>#DIV/0!</v>
      </c>
      <c r="C57" s="176">
        <f t="shared" ref="C57:C65" si="16">IF($C$55="北京市系数",I57,J57)</f>
        <v>0</v>
      </c>
      <c r="D57" s="1076">
        <v>0.25</v>
      </c>
      <c r="E57" s="650"/>
      <c r="F57" s="1017" t="e">
        <f t="shared" si="15"/>
        <v>#DIV/0!</v>
      </c>
      <c r="G57" s="3348" t="s">
        <v>2590</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2591</v>
      </c>
      <c r="B58" s="224" t="e">
        <f t="shared" ref="B58:B65" si="17">ROUND($C$48*C58*D58,0)</f>
        <v>#DIV/0!</v>
      </c>
      <c r="C58" s="176">
        <f t="shared" si="16"/>
        <v>0</v>
      </c>
      <c r="D58" s="1076">
        <v>0.25</v>
      </c>
      <c r="E58" s="650"/>
      <c r="F58" s="1017" t="e">
        <f t="shared" si="15"/>
        <v>#DIV/0!</v>
      </c>
      <c r="G58" s="3348"/>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2592</v>
      </c>
      <c r="B59" s="224" t="e">
        <f t="shared" si="17"/>
        <v>#DIV/0!</v>
      </c>
      <c r="C59" s="176">
        <f t="shared" si="16"/>
        <v>0</v>
      </c>
      <c r="D59" s="1076">
        <v>0.25</v>
      </c>
      <c r="E59" s="650"/>
      <c r="F59" s="1017" t="e">
        <f t="shared" si="15"/>
        <v>#DIV/0!</v>
      </c>
      <c r="G59" s="3348"/>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2593</v>
      </c>
      <c r="B60" s="224" t="e">
        <f t="shared" si="17"/>
        <v>#DIV/0!</v>
      </c>
      <c r="C60" s="176">
        <f t="shared" si="16"/>
        <v>0</v>
      </c>
      <c r="D60" s="1076">
        <v>0.25</v>
      </c>
      <c r="E60" s="650"/>
      <c r="F60" s="1017" t="e">
        <f t="shared" si="15"/>
        <v>#DIV/0!</v>
      </c>
      <c r="G60" s="3348"/>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2602</v>
      </c>
      <c r="B66" s="652" t="s">
        <v>28</v>
      </c>
      <c r="C66" s="652" t="s">
        <v>29</v>
      </c>
      <c r="D66" s="652" t="s">
        <v>997</v>
      </c>
      <c r="E66" s="652">
        <f>IF(B46="楼面地价",SUM(E56:E65),'数据-汇总表'!D3)</f>
        <v>27421.7</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1"/>
      <c r="Q68" s="2951"/>
      <c r="R68" s="2951"/>
      <c r="S68" s="2951"/>
      <c r="T68" s="2951"/>
      <c r="U68" s="2951"/>
      <c r="V68" s="2951"/>
      <c r="W68" s="2951"/>
      <c r="X68" s="2951"/>
      <c r="Y68" s="2951"/>
      <c r="Z68" s="2951"/>
      <c r="AA68" s="2951"/>
      <c r="AB68" s="2951"/>
      <c r="AC68" s="2951"/>
    </row>
    <row r="69" spans="1:29" ht="21.75" thickBot="1">
      <c r="A69" s="703" t="s">
        <v>2495</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6"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7"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2378</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2380</v>
      </c>
      <c r="B88" s="485" t="s">
        <v>2417</v>
      </c>
      <c r="C88" s="530" t="s">
        <v>2418</v>
      </c>
      <c r="D88" s="530" t="s">
        <v>2419</v>
      </c>
      <c r="E88" s="530" t="s">
        <v>2420</v>
      </c>
      <c r="F88" s="530" t="s">
        <v>2421</v>
      </c>
      <c r="G88" s="530" t="s">
        <v>2422</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2605</v>
      </c>
      <c r="C90" s="535" t="s">
        <v>2418</v>
      </c>
      <c r="D90" s="535" t="s">
        <v>2419</v>
      </c>
      <c r="E90" s="535" t="s">
        <v>2420</v>
      </c>
      <c r="F90" s="535" t="s">
        <v>2421</v>
      </c>
      <c r="G90" s="535" t="s">
        <v>2422</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2518</v>
      </c>
      <c r="C92" s="535" t="s">
        <v>2418</v>
      </c>
      <c r="D92" s="535" t="s">
        <v>2419</v>
      </c>
      <c r="E92" s="535" t="s">
        <v>2420</v>
      </c>
      <c r="F92" s="535" t="s">
        <v>2421</v>
      </c>
      <c r="G92" s="535" t="s">
        <v>2422</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2423</v>
      </c>
      <c r="C94" s="535" t="s">
        <v>2418</v>
      </c>
      <c r="D94" s="535" t="s">
        <v>2419</v>
      </c>
      <c r="E94" s="535" t="s">
        <v>2420</v>
      </c>
      <c r="F94" s="535" t="s">
        <v>2421</v>
      </c>
      <c r="G94" s="535" t="s">
        <v>2422</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2512</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2571</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2613</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2614</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2615</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2616</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7" zoomScaleNormal="60" zoomScaleSheetLayoutView="100" workbookViewId="0">
      <selection activeCell="N42" sqref="N4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f>F61</f>
        <v>1275</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f>ROUND(IF(D3="",B2*10000/'数据-汇总表'!E3,B2*10000/D3),0)</f>
        <v>465</v>
      </c>
      <c r="C3" s="209" t="s">
        <v>2567</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2466</v>
      </c>
      <c r="B4" s="362"/>
      <c r="C4" s="3300" t="s">
        <v>2467</v>
      </c>
      <c r="D4" s="3301"/>
      <c r="E4" s="3302" t="s">
        <v>2468</v>
      </c>
      <c r="F4" s="3303"/>
      <c r="G4" s="3300" t="s">
        <v>2469</v>
      </c>
      <c r="H4" s="3301"/>
      <c r="I4" s="3300" t="s">
        <v>2470</v>
      </c>
      <c r="J4" s="3301"/>
      <c r="K4" s="567" t="s">
        <v>2471</v>
      </c>
      <c r="L4" s="2941"/>
      <c r="M4" s="2942"/>
      <c r="N4" s="2942"/>
      <c r="O4" s="2942"/>
      <c r="P4" s="3304" t="s">
        <v>2472</v>
      </c>
      <c r="Q4" s="3305"/>
      <c r="R4" s="3310" t="s">
        <v>2468</v>
      </c>
      <c r="S4" s="3311"/>
      <c r="T4" s="3310" t="s">
        <v>2469</v>
      </c>
      <c r="U4" s="3311"/>
      <c r="V4" s="3316" t="s">
        <v>2470</v>
      </c>
      <c r="W4" s="3316"/>
      <c r="X4" s="1540"/>
      <c r="Y4" s="3310" t="s">
        <v>2472</v>
      </c>
      <c r="Z4" s="3311"/>
      <c r="AA4" s="3297" t="s">
        <v>2468</v>
      </c>
      <c r="AB4" s="3298" t="s">
        <v>2469</v>
      </c>
      <c r="AC4" s="3297" t="s">
        <v>2470</v>
      </c>
    </row>
    <row r="5" spans="1:29" ht="15">
      <c r="A5" s="364"/>
      <c r="B5" s="365"/>
      <c r="C5" s="3319" t="s">
        <v>2363</v>
      </c>
      <c r="D5" s="3320"/>
      <c r="E5" s="3326" t="str">
        <f>Sheet1!A7</f>
        <v>杭高新工业[2020]9号</v>
      </c>
      <c r="F5" s="3327"/>
      <c r="G5" s="3319" t="str">
        <f>Sheet1!A12</f>
        <v>杭高新工业[2020]1号</v>
      </c>
      <c r="H5" s="3320"/>
      <c r="I5" s="3319" t="str">
        <f>Sheet1!A21</f>
        <v>杭高新工业[2018]4号地块</v>
      </c>
      <c r="J5" s="3320"/>
      <c r="K5" s="567"/>
      <c r="L5" s="2941"/>
      <c r="M5" s="2942"/>
      <c r="N5" s="2942"/>
      <c r="O5" s="2942"/>
      <c r="P5" s="3306"/>
      <c r="Q5" s="3307"/>
      <c r="R5" s="3312"/>
      <c r="S5" s="3313"/>
      <c r="T5" s="3312"/>
      <c r="U5" s="3313"/>
      <c r="V5" s="3316"/>
      <c r="W5" s="3316"/>
      <c r="X5" s="1540"/>
      <c r="Y5" s="3312"/>
      <c r="Z5" s="3313"/>
      <c r="AA5" s="3298"/>
      <c r="AB5" s="3298"/>
      <c r="AC5" s="3298"/>
    </row>
    <row r="6" spans="1:29" ht="15.75" thickBot="1">
      <c r="A6" s="366"/>
      <c r="B6" s="367"/>
      <c r="C6" s="3349" t="s">
        <v>2618</v>
      </c>
      <c r="D6" s="3350"/>
      <c r="E6" s="3351" t="s">
        <v>2618</v>
      </c>
      <c r="F6" s="3352"/>
      <c r="G6" s="3349" t="s">
        <v>2618</v>
      </c>
      <c r="H6" s="3350"/>
      <c r="I6" s="3349" t="s">
        <v>2618</v>
      </c>
      <c r="J6" s="3350"/>
      <c r="K6" s="567" t="s">
        <v>2368</v>
      </c>
      <c r="L6" s="2941"/>
      <c r="M6" s="2942"/>
      <c r="N6" s="2942"/>
      <c r="O6" s="2942"/>
      <c r="P6" s="3308"/>
      <c r="Q6" s="3309"/>
      <c r="R6" s="3312"/>
      <c r="S6" s="3313"/>
      <c r="T6" s="3314"/>
      <c r="U6" s="3315"/>
      <c r="V6" s="3316"/>
      <c r="W6" s="3316"/>
      <c r="X6" s="1540"/>
      <c r="Y6" s="3314"/>
      <c r="Z6" s="3315"/>
      <c r="AA6" s="3299"/>
      <c r="AB6" s="3299"/>
      <c r="AC6" s="3299"/>
    </row>
    <row r="7" spans="1:29" s="113" customFormat="1" ht="15.75" thickBot="1">
      <c r="A7" s="368" t="s">
        <v>2369</v>
      </c>
      <c r="B7" s="369"/>
      <c r="C7" s="370">
        <f>'数据-取费表'!B2</f>
        <v>44306</v>
      </c>
      <c r="D7" s="371">
        <v>100</v>
      </c>
      <c r="E7" s="372" t="str">
        <f>Sheet1!J7</f>
        <v>2020-06-30</v>
      </c>
      <c r="F7" s="373">
        <f>SUMIF(65:65,YEAR(E7)&amp;"-"&amp;INT((MONTH(E7)+2)/3),66:66)</f>
        <v>98</v>
      </c>
      <c r="G7" s="2161" t="str">
        <f>Sheet1!J12</f>
        <v>2020-05-15</v>
      </c>
      <c r="H7" s="371">
        <f>SUMIF(65:65,YEAR(G7)&amp;"-"&amp;INT((MONTH(G7)+2)/3),66:66)</f>
        <v>98</v>
      </c>
      <c r="I7" s="2161" t="str">
        <f>Sheet1!J21</f>
        <v>2019-03-06</v>
      </c>
      <c r="J7" s="371">
        <f>SUMIF(65:65,YEAR(I7)&amp;"-"&amp;INT((MONTH(I7)+2)/3),66:66)</f>
        <v>95.5</v>
      </c>
      <c r="K7" s="568"/>
      <c r="L7" s="2943"/>
      <c r="M7" s="2944"/>
      <c r="N7" s="2944"/>
      <c r="O7" s="2944"/>
      <c r="P7" s="3321" t="s">
        <v>2370</v>
      </c>
      <c r="Q7" s="3323"/>
      <c r="R7" s="710" t="s">
        <v>17</v>
      </c>
      <c r="S7" s="711">
        <f t="shared" ref="S7:S15" si="0">F7</f>
        <v>98</v>
      </c>
      <c r="T7" s="710" t="s">
        <v>17</v>
      </c>
      <c r="U7" s="711">
        <f t="shared" ref="U7:U15" si="1">H7</f>
        <v>98</v>
      </c>
      <c r="V7" s="710" t="s">
        <v>17</v>
      </c>
      <c r="W7" s="711">
        <f t="shared" ref="W7:W15" si="2">J7</f>
        <v>95.5</v>
      </c>
      <c r="X7" s="712"/>
      <c r="Y7" s="3321" t="s">
        <v>2370</v>
      </c>
      <c r="Z7" s="3322"/>
      <c r="AA7" s="713">
        <f>D7/F7</f>
        <v>1.0204081632653061</v>
      </c>
      <c r="AB7" s="713">
        <f>D7/H7</f>
        <v>1.0204081632653061</v>
      </c>
      <c r="AC7" s="713">
        <f>D7/J7</f>
        <v>1.0471204188481675</v>
      </c>
    </row>
    <row r="8" spans="1:29" s="113" customFormat="1" ht="15.75" thickBot="1">
      <c r="A8" s="368" t="s">
        <v>2371</v>
      </c>
      <c r="B8" s="369"/>
      <c r="C8" s="374" t="s">
        <v>2372</v>
      </c>
      <c r="D8" s="371">
        <v>100</v>
      </c>
      <c r="E8" s="374" t="s">
        <v>3269</v>
      </c>
      <c r="F8" s="373">
        <f>SUMIF(68:68,E8,69:69)-SUMIF(68:68,C8,69:69)+100</f>
        <v>100</v>
      </c>
      <c r="G8" s="374" t="s">
        <v>3269</v>
      </c>
      <c r="H8" s="371">
        <f>SUMIF(68:68,G8,69:69)-SUMIF(68:68,C8,69:69)+100</f>
        <v>100</v>
      </c>
      <c r="I8" s="374" t="s">
        <v>3269</v>
      </c>
      <c r="J8" s="371">
        <f>SUMIF(68:68,I8,69:69)-SUMIF(68:68,C8,69:69)+100</f>
        <v>100</v>
      </c>
      <c r="K8" s="568"/>
      <c r="L8" s="2943"/>
      <c r="M8" s="2944"/>
      <c r="N8" s="2944"/>
      <c r="O8" s="2944"/>
      <c r="P8" s="3321" t="s">
        <v>2373</v>
      </c>
      <c r="Q8" s="3322"/>
      <c r="R8" s="710" t="s">
        <v>17</v>
      </c>
      <c r="S8" s="711">
        <f t="shared" si="0"/>
        <v>100</v>
      </c>
      <c r="T8" s="710" t="s">
        <v>17</v>
      </c>
      <c r="U8" s="711">
        <f t="shared" si="1"/>
        <v>100</v>
      </c>
      <c r="V8" s="710" t="s">
        <v>17</v>
      </c>
      <c r="W8" s="711">
        <f t="shared" si="2"/>
        <v>100</v>
      </c>
      <c r="X8" s="712"/>
      <c r="Y8" s="3321" t="s">
        <v>2373</v>
      </c>
      <c r="Z8" s="3322"/>
      <c r="AA8" s="713">
        <f t="shared" ref="AA8:AA40" si="3">D8/F8</f>
        <v>1</v>
      </c>
      <c r="AB8" s="713">
        <f t="shared" ref="AB8:AB40" si="4">D8/H8</f>
        <v>1</v>
      </c>
      <c r="AC8" s="713">
        <f t="shared" ref="AC8:AC40" si="5">D8/J8</f>
        <v>1</v>
      </c>
    </row>
    <row r="9" spans="1:29" s="113" customFormat="1">
      <c r="A9" s="375" t="s">
        <v>2374</v>
      </c>
      <c r="B9" s="67" t="s">
        <v>2375</v>
      </c>
      <c r="C9" s="2164" t="s">
        <v>6</v>
      </c>
      <c r="D9" s="131">
        <v>100</v>
      </c>
      <c r="E9" s="2164" t="s">
        <v>6</v>
      </c>
      <c r="F9" s="131">
        <f>SUMIF(70:70,E9,71:71)-SUMIF(70:70,C9,71:71)+100</f>
        <v>100</v>
      </c>
      <c r="G9" s="2164" t="s">
        <v>6</v>
      </c>
      <c r="H9" s="131">
        <f>SUMIF(70:70,G9,71:71)-SUMIF(70:70,C9,71:71)+100</f>
        <v>100</v>
      </c>
      <c r="I9" s="2164" t="s">
        <v>6</v>
      </c>
      <c r="J9" s="131">
        <f>SUMIF(70:70,I9,71:71)-SUMIF(70:70,C9,71:71)+100</f>
        <v>100</v>
      </c>
      <c r="K9" s="568"/>
      <c r="L9" s="2943"/>
      <c r="M9" s="2944"/>
      <c r="N9" s="2944"/>
      <c r="O9" s="2998"/>
      <c r="P9" s="3285" t="s">
        <v>2376</v>
      </c>
      <c r="Q9" s="1528"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91">
        <f>'数据-取费表'!F6</f>
        <v>43.26</v>
      </c>
      <c r="D10" s="132">
        <v>100</v>
      </c>
      <c r="E10" s="391" t="s">
        <v>3286</v>
      </c>
      <c r="F10" s="132">
        <f>ROUND(100/'数据-取费表'!G16,0)</f>
        <v>104</v>
      </c>
      <c r="G10" s="391" t="s">
        <v>3286</v>
      </c>
      <c r="H10" s="132">
        <f>ROUND(100/'数据-取费表'!G16,0)</f>
        <v>104</v>
      </c>
      <c r="I10" s="391" t="s">
        <v>3286</v>
      </c>
      <c r="J10" s="132">
        <f>ROUND(100/'数据-取费表'!G16,0)</f>
        <v>104</v>
      </c>
      <c r="K10" s="628"/>
      <c r="L10" s="2945"/>
      <c r="M10" s="2946"/>
      <c r="N10" s="2946"/>
      <c r="O10" s="2999"/>
      <c r="P10" s="3285"/>
      <c r="Q10" s="1528" t="str">
        <f t="shared" si="6"/>
        <v>土地使用年限（年）</v>
      </c>
      <c r="R10" s="710" t="s">
        <v>17</v>
      </c>
      <c r="S10" s="711">
        <f t="shared" si="0"/>
        <v>104</v>
      </c>
      <c r="T10" s="710" t="s">
        <v>17</v>
      </c>
      <c r="U10" s="711">
        <f t="shared" si="1"/>
        <v>104</v>
      </c>
      <c r="V10" s="710" t="s">
        <v>17</v>
      </c>
      <c r="W10" s="711">
        <f t="shared" si="2"/>
        <v>104</v>
      </c>
      <c r="X10" s="712"/>
      <c r="Y10" s="3155"/>
      <c r="Z10" s="55" t="str">
        <f t="shared" si="7"/>
        <v>土地使用年限（年）</v>
      </c>
      <c r="AA10" s="713">
        <f t="shared" si="3"/>
        <v>0.96153846153846156</v>
      </c>
      <c r="AB10" s="713">
        <f t="shared" si="4"/>
        <v>0.96153846153846156</v>
      </c>
      <c r="AC10" s="713">
        <f t="shared" si="5"/>
        <v>0.96153846153846156</v>
      </c>
    </row>
    <row r="11" spans="1:29" ht="15.75" thickBot="1">
      <c r="A11" s="387"/>
      <c r="B11" s="381" t="s">
        <v>2379</v>
      </c>
      <c r="C11" s="388">
        <f>'数据-汇总表'!I5</f>
        <v>2.75</v>
      </c>
      <c r="D11" s="132">
        <v>100</v>
      </c>
      <c r="E11" s="388">
        <v>3</v>
      </c>
      <c r="F11" s="132">
        <f>LOOKUP(E11,75:75,76:76)-LOOKUP(C11,75:75,76:76)+100</f>
        <v>98</v>
      </c>
      <c r="G11" s="389">
        <v>3</v>
      </c>
      <c r="H11" s="132">
        <f>LOOKUP(G11,75:75,76:76)-LOOKUP(C11,75:75,76:76)+100</f>
        <v>98</v>
      </c>
      <c r="I11" s="388">
        <v>2.8</v>
      </c>
      <c r="J11" s="132">
        <f>LOOKUP(I11,75:75,76:76)-LOOKUP(C11,75:75,76:76)+100</f>
        <v>100</v>
      </c>
      <c r="K11" s="629">
        <v>2</v>
      </c>
      <c r="L11" s="2947"/>
      <c r="M11" s="2942"/>
      <c r="N11" s="2942"/>
      <c r="O11" s="3000"/>
      <c r="P11" s="3285"/>
      <c r="Q11" s="1528" t="str">
        <f t="shared" si="6"/>
        <v>容积率</v>
      </c>
      <c r="R11" s="710" t="s">
        <v>17</v>
      </c>
      <c r="S11" s="711">
        <f t="shared" si="0"/>
        <v>98</v>
      </c>
      <c r="T11" s="710" t="s">
        <v>17</v>
      </c>
      <c r="U11" s="711">
        <f t="shared" si="1"/>
        <v>98</v>
      </c>
      <c r="V11" s="710" t="s">
        <v>17</v>
      </c>
      <c r="W11" s="711">
        <f t="shared" si="2"/>
        <v>100</v>
      </c>
      <c r="X11" s="712"/>
      <c r="Y11" s="3155"/>
      <c r="Z11" s="55" t="str">
        <f t="shared" si="7"/>
        <v>容积率</v>
      </c>
      <c r="AA11" s="713">
        <f t="shared" si="3"/>
        <v>1.0204081632653061</v>
      </c>
      <c r="AB11" s="713">
        <f t="shared" si="4"/>
        <v>1.0204081632653061</v>
      </c>
      <c r="AC11" s="713">
        <f t="shared" si="5"/>
        <v>1</v>
      </c>
    </row>
    <row r="12" spans="1:29" s="113" customFormat="1" ht="15" hidden="1">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285"/>
      <c r="Q12" s="1528">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hidden="1">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285"/>
      <c r="Q13" s="1528">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hidden="1"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285"/>
      <c r="Q14" s="1528">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1"/>
      <c r="J15" s="400">
        <f>SUMIF(83:83,I16,84:84)-SUMIF(83:83,C16,84:84)+100</f>
        <v>100</v>
      </c>
      <c r="K15" s="629">
        <v>5</v>
      </c>
      <c r="L15" s="2948"/>
      <c r="M15" s="2942"/>
      <c r="N15" s="2942"/>
      <c r="O15" s="3000"/>
      <c r="P15" s="3287" t="s">
        <v>2381</v>
      </c>
      <c r="Q15" s="1537" t="str">
        <f t="shared" si="6"/>
        <v>产业集聚程度</v>
      </c>
      <c r="R15" s="714" t="s">
        <v>17</v>
      </c>
      <c r="S15" s="715">
        <f t="shared" si="0"/>
        <v>100</v>
      </c>
      <c r="T15" s="714" t="s">
        <v>17</v>
      </c>
      <c r="U15" s="715">
        <f t="shared" si="1"/>
        <v>100</v>
      </c>
      <c r="V15" s="714" t="s">
        <v>17</v>
      </c>
      <c r="W15" s="715">
        <f t="shared" si="2"/>
        <v>100</v>
      </c>
      <c r="X15" s="1540"/>
      <c r="Y15" s="3287" t="s">
        <v>2381</v>
      </c>
      <c r="Z15" s="1541" t="str">
        <f t="shared" si="7"/>
        <v>产业集聚程度</v>
      </c>
      <c r="AA15" s="1538">
        <f t="shared" si="3"/>
        <v>1</v>
      </c>
      <c r="AB15" s="1538">
        <f t="shared" si="4"/>
        <v>1</v>
      </c>
      <c r="AC15" s="1538">
        <f t="shared" si="5"/>
        <v>1</v>
      </c>
    </row>
    <row r="16" spans="1:29" ht="15">
      <c r="A16" s="387"/>
      <c r="B16" s="586"/>
      <c r="C16" s="406" t="s">
        <v>3287</v>
      </c>
      <c r="D16" s="407"/>
      <c r="E16" s="2091" t="s">
        <v>3287</v>
      </c>
      <c r="F16" s="407"/>
      <c r="G16" s="2091" t="s">
        <v>3287</v>
      </c>
      <c r="H16" s="409"/>
      <c r="I16" s="2091" t="s">
        <v>3287</v>
      </c>
      <c r="J16" s="407"/>
      <c r="K16" s="628"/>
      <c r="L16" s="2948"/>
      <c r="M16" s="2942"/>
      <c r="N16" s="2942"/>
      <c r="O16" s="3000"/>
      <c r="P16" s="3288"/>
      <c r="Q16" s="1537"/>
      <c r="R16" s="714"/>
      <c r="S16" s="715"/>
      <c r="T16" s="714"/>
      <c r="U16" s="715"/>
      <c r="V16" s="714"/>
      <c r="W16" s="715"/>
      <c r="X16" s="1540"/>
      <c r="Y16" s="3288"/>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1"/>
      <c r="J17" s="409">
        <f>SUMIF(85:85,I18,86:86)-SUMIF(85:85,C18,86:86)+100</f>
        <v>100</v>
      </c>
      <c r="K17" s="629">
        <v>3</v>
      </c>
      <c r="L17" s="2948"/>
      <c r="M17" s="2942"/>
      <c r="N17" s="2942"/>
      <c r="O17" s="3000"/>
      <c r="P17" s="3288"/>
      <c r="Q17" s="1537" t="str">
        <f>B17</f>
        <v>交通便捷度</v>
      </c>
      <c r="R17" s="714" t="s">
        <v>17</v>
      </c>
      <c r="S17" s="715">
        <f>F17</f>
        <v>100</v>
      </c>
      <c r="T17" s="714" t="s">
        <v>17</v>
      </c>
      <c r="U17" s="715">
        <f>H17</f>
        <v>100</v>
      </c>
      <c r="V17" s="714" t="s">
        <v>17</v>
      </c>
      <c r="W17" s="715">
        <f>J17</f>
        <v>100</v>
      </c>
      <c r="X17" s="1540"/>
      <c r="Y17" s="3288"/>
      <c r="Z17" s="1541" t="str">
        <f>Q17</f>
        <v>交通便捷度</v>
      </c>
      <c r="AA17" s="1538">
        <f t="shared" si="3"/>
        <v>1</v>
      </c>
      <c r="AB17" s="1538">
        <f t="shared" si="4"/>
        <v>1</v>
      </c>
      <c r="AC17" s="1538">
        <f t="shared" si="5"/>
        <v>1</v>
      </c>
    </row>
    <row r="18" spans="1:29" ht="15">
      <c r="A18" s="387"/>
      <c r="B18" s="588"/>
      <c r="C18" s="406" t="s">
        <v>3287</v>
      </c>
      <c r="D18" s="407"/>
      <c r="E18" s="2085" t="s">
        <v>3287</v>
      </c>
      <c r="F18" s="407"/>
      <c r="G18" s="2085" t="s">
        <v>3287</v>
      </c>
      <c r="H18" s="407"/>
      <c r="I18" s="2085" t="s">
        <v>3287</v>
      </c>
      <c r="J18" s="407"/>
      <c r="K18" s="628"/>
      <c r="L18" s="2948"/>
      <c r="M18" s="2942"/>
      <c r="N18" s="2942"/>
      <c r="O18" s="3000"/>
      <c r="P18" s="3288"/>
      <c r="Q18" s="1537"/>
      <c r="R18" s="714"/>
      <c r="S18" s="715"/>
      <c r="T18" s="714"/>
      <c r="U18" s="715"/>
      <c r="V18" s="714"/>
      <c r="W18" s="715"/>
      <c r="X18" s="1540"/>
      <c r="Y18" s="3288"/>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48"/>
      <c r="M19" s="2942"/>
      <c r="N19" s="2942"/>
      <c r="O19" s="3000"/>
      <c r="P19" s="3288"/>
      <c r="Q19" s="1537" t="str">
        <f t="shared" ref="Q19:Q33" si="8">B19</f>
        <v>区域土地利用方向</v>
      </c>
      <c r="R19" s="714" t="s">
        <v>17</v>
      </c>
      <c r="S19" s="715">
        <f>F19</f>
        <v>100</v>
      </c>
      <c r="T19" s="714" t="s">
        <v>17</v>
      </c>
      <c r="U19" s="715">
        <f>H19</f>
        <v>100</v>
      </c>
      <c r="V19" s="714" t="s">
        <v>17</v>
      </c>
      <c r="W19" s="715">
        <f>J19</f>
        <v>100</v>
      </c>
      <c r="X19" s="1540"/>
      <c r="Y19" s="3288"/>
      <c r="Z19" s="1541" t="str">
        <f>Q19</f>
        <v>区域土地利用方向</v>
      </c>
      <c r="AA19" s="1538">
        <f t="shared" si="3"/>
        <v>1</v>
      </c>
      <c r="AB19" s="1538">
        <f t="shared" si="4"/>
        <v>1</v>
      </c>
      <c r="AC19" s="1538">
        <f t="shared" si="5"/>
        <v>1</v>
      </c>
    </row>
    <row r="20" spans="1:29" ht="15">
      <c r="A20" s="364"/>
      <c r="B20" s="588"/>
      <c r="C20" s="406" t="s">
        <v>3287</v>
      </c>
      <c r="D20" s="407"/>
      <c r="E20" s="2085" t="s">
        <v>3287</v>
      </c>
      <c r="F20" s="407"/>
      <c r="G20" s="2085" t="s">
        <v>3287</v>
      </c>
      <c r="H20" s="407"/>
      <c r="I20" s="2085" t="s">
        <v>3287</v>
      </c>
      <c r="J20" s="407"/>
      <c r="K20" s="751"/>
      <c r="L20" s="2948"/>
      <c r="M20" s="2942"/>
      <c r="N20" s="2942"/>
      <c r="O20" s="3000"/>
      <c r="P20" s="3288"/>
      <c r="Q20" s="1537"/>
      <c r="R20" s="714"/>
      <c r="S20" s="715"/>
      <c r="T20" s="714"/>
      <c r="U20" s="715"/>
      <c r="V20" s="714"/>
      <c r="W20" s="715"/>
      <c r="X20" s="1540"/>
      <c r="Y20" s="3288"/>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1"/>
      <c r="J21" s="409">
        <f>SUMIF(89:89,I22,90:90)-SUMIF(89:89,C22,90:90)+100</f>
        <v>100</v>
      </c>
      <c r="K21" s="629">
        <v>2</v>
      </c>
      <c r="L21" s="2948"/>
      <c r="M21" s="2942"/>
      <c r="N21" s="2942"/>
      <c r="O21" s="3000"/>
      <c r="P21" s="3288"/>
      <c r="Q21" s="1537" t="str">
        <f t="shared" si="8"/>
        <v>环境状况</v>
      </c>
      <c r="R21" s="714" t="s">
        <v>17</v>
      </c>
      <c r="S21" s="715">
        <f>F21</f>
        <v>100</v>
      </c>
      <c r="T21" s="714" t="s">
        <v>17</v>
      </c>
      <c r="U21" s="715">
        <f>H21</f>
        <v>100</v>
      </c>
      <c r="V21" s="714" t="s">
        <v>17</v>
      </c>
      <c r="W21" s="715">
        <f>J21</f>
        <v>100</v>
      </c>
      <c r="X21" s="1540"/>
      <c r="Y21" s="3288"/>
      <c r="Z21" s="1541" t="str">
        <f>Q21</f>
        <v>环境状况</v>
      </c>
      <c r="AA21" s="1538">
        <f t="shared" si="3"/>
        <v>1</v>
      </c>
      <c r="AB21" s="1538">
        <f t="shared" si="4"/>
        <v>1</v>
      </c>
      <c r="AC21" s="1538">
        <f t="shared" si="5"/>
        <v>1</v>
      </c>
    </row>
    <row r="22" spans="1:29" ht="15">
      <c r="A22" s="364"/>
      <c r="B22" s="588"/>
      <c r="C22" s="406" t="s">
        <v>3288</v>
      </c>
      <c r="D22" s="407"/>
      <c r="E22" s="2091" t="s">
        <v>3288</v>
      </c>
      <c r="F22" s="407"/>
      <c r="G22" s="2091" t="s">
        <v>3288</v>
      </c>
      <c r="H22" s="407"/>
      <c r="I22" s="2091" t="s">
        <v>3288</v>
      </c>
      <c r="J22" s="407"/>
      <c r="K22" s="628"/>
      <c r="L22" s="2948"/>
      <c r="M22" s="2942"/>
      <c r="N22" s="2942"/>
      <c r="O22" s="3000"/>
      <c r="P22" s="3288"/>
      <c r="Q22" s="1537"/>
      <c r="R22" s="714"/>
      <c r="S22" s="715"/>
      <c r="T22" s="714"/>
      <c r="U22" s="715"/>
      <c r="V22" s="714"/>
      <c r="W22" s="715"/>
      <c r="X22" s="1540"/>
      <c r="Y22" s="3288"/>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1"/>
      <c r="J23" s="409">
        <f>SUMIF(91:91,I24,92:92)-SUMIF(91:91,C24,92:92)+100</f>
        <v>100</v>
      </c>
      <c r="K23" s="629">
        <v>2</v>
      </c>
      <c r="L23" s="2943"/>
      <c r="M23" s="2944"/>
      <c r="N23" s="2944"/>
      <c r="O23" s="2998"/>
      <c r="P23" s="3288"/>
      <c r="Q23" s="1528" t="str">
        <f t="shared" si="8"/>
        <v>公共配套设施</v>
      </c>
      <c r="R23" s="710" t="s">
        <v>17</v>
      </c>
      <c r="S23" s="711">
        <f>F23</f>
        <v>100</v>
      </c>
      <c r="T23" s="710" t="s">
        <v>17</v>
      </c>
      <c r="U23" s="711">
        <f>H23</f>
        <v>100</v>
      </c>
      <c r="V23" s="710" t="s">
        <v>17</v>
      </c>
      <c r="W23" s="711">
        <f>J23</f>
        <v>100</v>
      </c>
      <c r="X23" s="712"/>
      <c r="Y23" s="3288"/>
      <c r="Z23" s="55" t="str">
        <f>Q23</f>
        <v>公共配套设施</v>
      </c>
      <c r="AA23" s="1538">
        <f>D23/F23</f>
        <v>1</v>
      </c>
      <c r="AB23" s="1538">
        <f>D23/H23</f>
        <v>1</v>
      </c>
      <c r="AC23" s="1538">
        <f>D23/J23</f>
        <v>1</v>
      </c>
    </row>
    <row r="24" spans="1:29" s="113" customFormat="1" ht="15">
      <c r="A24" s="605"/>
      <c r="B24" s="588"/>
      <c r="C24" s="2165" t="s">
        <v>3287</v>
      </c>
      <c r="D24" s="407"/>
      <c r="E24" s="2091" t="s">
        <v>3287</v>
      </c>
      <c r="F24" s="407"/>
      <c r="G24" s="2091" t="s">
        <v>3287</v>
      </c>
      <c r="H24" s="407"/>
      <c r="I24" s="2091" t="s">
        <v>3287</v>
      </c>
      <c r="J24" s="407"/>
      <c r="K24" s="628"/>
      <c r="L24" s="2943"/>
      <c r="M24" s="2944"/>
      <c r="N24" s="2944"/>
      <c r="O24" s="2998"/>
      <c r="P24" s="3288"/>
      <c r="Q24" s="1528"/>
      <c r="R24" s="710"/>
      <c r="S24" s="711"/>
      <c r="T24" s="710"/>
      <c r="U24" s="711"/>
      <c r="V24" s="710"/>
      <c r="W24" s="711"/>
      <c r="X24" s="712"/>
      <c r="Y24" s="3288"/>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1"/>
      <c r="J25" s="409">
        <f>SUMIF(93:93,I26,94:94)-SUMIF(93:93,C26,94:94)+100</f>
        <v>100</v>
      </c>
      <c r="K25" s="629">
        <v>2</v>
      </c>
      <c r="L25" s="2943"/>
      <c r="M25" s="2944"/>
      <c r="N25" s="2944"/>
      <c r="O25" s="2998"/>
      <c r="P25" s="3288"/>
      <c r="Q25" s="1528" t="str">
        <f t="shared" ref="Q25" si="9">B25</f>
        <v>基础设施水平</v>
      </c>
      <c r="R25" s="710" t="s">
        <v>17</v>
      </c>
      <c r="S25" s="711">
        <f>F25</f>
        <v>100</v>
      </c>
      <c r="T25" s="710" t="s">
        <v>17</v>
      </c>
      <c r="U25" s="711">
        <f>H25</f>
        <v>100</v>
      </c>
      <c r="V25" s="710" t="s">
        <v>17</v>
      </c>
      <c r="W25" s="711">
        <f>J25</f>
        <v>100</v>
      </c>
      <c r="X25" s="712"/>
      <c r="Y25" s="3288"/>
      <c r="Z25" s="55" t="str">
        <f>Q25</f>
        <v>基础设施水平</v>
      </c>
      <c r="AA25" s="1538">
        <f>D25/F25</f>
        <v>1</v>
      </c>
      <c r="AB25" s="1538">
        <f>D25/H25</f>
        <v>1</v>
      </c>
      <c r="AC25" s="1538">
        <f>D25/J25</f>
        <v>1</v>
      </c>
    </row>
    <row r="26" spans="1:29" s="113" customFormat="1" ht="15.75" thickBot="1">
      <c r="A26" s="605"/>
      <c r="B26" s="588"/>
      <c r="C26" s="2165" t="s">
        <v>3289</v>
      </c>
      <c r="D26" s="407"/>
      <c r="E26" s="2166" t="s">
        <v>3289</v>
      </c>
      <c r="F26" s="407"/>
      <c r="G26" s="2166" t="s">
        <v>3289</v>
      </c>
      <c r="H26" s="407"/>
      <c r="I26" s="2166" t="s">
        <v>3289</v>
      </c>
      <c r="J26" s="407"/>
      <c r="K26" s="628"/>
      <c r="L26" s="2943"/>
      <c r="M26" s="2944"/>
      <c r="N26" s="2944"/>
      <c r="O26" s="2998"/>
      <c r="P26" s="3288"/>
      <c r="Q26" s="1528"/>
      <c r="R26" s="710"/>
      <c r="S26" s="711"/>
      <c r="T26" s="710"/>
      <c r="U26" s="711"/>
      <c r="V26" s="710"/>
      <c r="W26" s="711"/>
      <c r="X26" s="712"/>
      <c r="Y26" s="3288"/>
      <c r="Z26" s="55"/>
      <c r="AA26" s="713">
        <v>1</v>
      </c>
      <c r="AB26" s="713">
        <v>1</v>
      </c>
      <c r="AC26" s="713">
        <v>1</v>
      </c>
    </row>
    <row r="27" spans="1:29" ht="15" hidden="1">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288"/>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8"/>
      <c r="Z27" s="1541" t="str">
        <f t="shared" ref="Z27:Z40" si="13">Q27</f>
        <v>临街状况</v>
      </c>
      <c r="AA27" s="1538">
        <f t="shared" si="3"/>
        <v>1</v>
      </c>
      <c r="AB27" s="1538">
        <f t="shared" si="4"/>
        <v>1</v>
      </c>
      <c r="AC27" s="1538">
        <f t="shared" si="5"/>
        <v>1</v>
      </c>
    </row>
    <row r="28" spans="1:29" ht="27" hidden="1">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288"/>
      <c r="Q28" s="1537" t="str">
        <f t="shared" si="8"/>
        <v>毗邻道路的类型与等级</v>
      </c>
      <c r="R28" s="714" t="s">
        <v>17</v>
      </c>
      <c r="S28" s="715">
        <f t="shared" si="10"/>
        <v>100</v>
      </c>
      <c r="T28" s="714" t="s">
        <v>17</v>
      </c>
      <c r="U28" s="715">
        <f t="shared" si="11"/>
        <v>100</v>
      </c>
      <c r="V28" s="714" t="s">
        <v>17</v>
      </c>
      <c r="W28" s="715">
        <f t="shared" si="12"/>
        <v>100</v>
      </c>
      <c r="X28" s="1540"/>
      <c r="Y28" s="3288"/>
      <c r="Z28" s="1541" t="str">
        <f t="shared" si="13"/>
        <v>毗邻道路的类型与等级</v>
      </c>
      <c r="AA28" s="1538">
        <f t="shared" si="3"/>
        <v>1</v>
      </c>
      <c r="AB28" s="1538">
        <f t="shared" si="4"/>
        <v>1</v>
      </c>
      <c r="AC28" s="1538">
        <f t="shared" si="5"/>
        <v>1</v>
      </c>
    </row>
    <row r="29" spans="1:29" ht="15" hidden="1">
      <c r="A29" s="387"/>
      <c r="B29" s="588"/>
      <c r="C29" s="406"/>
      <c r="D29" s="407"/>
      <c r="E29" s="2091"/>
      <c r="F29" s="407"/>
      <c r="G29" s="2091"/>
      <c r="H29" s="407"/>
      <c r="I29" s="2091"/>
      <c r="J29" s="407"/>
      <c r="K29" s="570"/>
      <c r="L29" s="2948"/>
      <c r="M29" s="2942"/>
      <c r="N29" s="2942"/>
      <c r="O29" s="3000"/>
      <c r="P29" s="3288"/>
      <c r="Q29" s="1537"/>
      <c r="R29" s="714"/>
      <c r="S29" s="715"/>
      <c r="T29" s="714"/>
      <c r="U29" s="715"/>
      <c r="V29" s="714"/>
      <c r="W29" s="715"/>
      <c r="X29" s="1540"/>
      <c r="Y29" s="3288"/>
      <c r="Z29" s="1541"/>
      <c r="AA29" s="1538">
        <v>1</v>
      </c>
      <c r="AB29" s="1538">
        <v>1</v>
      </c>
      <c r="AC29" s="1538">
        <v>1</v>
      </c>
    </row>
    <row r="30" spans="1:29" ht="15" hidden="1">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288"/>
      <c r="Q30" s="1537" t="str">
        <f t="shared" si="8"/>
        <v>土地级别</v>
      </c>
      <c r="R30" s="714" t="s">
        <v>17</v>
      </c>
      <c r="S30" s="715">
        <f t="shared" si="10"/>
        <v>100</v>
      </c>
      <c r="T30" s="714" t="s">
        <v>17</v>
      </c>
      <c r="U30" s="715">
        <f t="shared" si="11"/>
        <v>100</v>
      </c>
      <c r="V30" s="714" t="s">
        <v>17</v>
      </c>
      <c r="W30" s="715">
        <f t="shared" si="12"/>
        <v>100</v>
      </c>
      <c r="X30" s="1540"/>
      <c r="Y30" s="3288"/>
      <c r="Z30" s="1541" t="str">
        <f t="shared" si="13"/>
        <v>土地级别</v>
      </c>
      <c r="AA30" s="1538">
        <f t="shared" si="3"/>
        <v>1</v>
      </c>
      <c r="AB30" s="1538">
        <f t="shared" si="4"/>
        <v>1</v>
      </c>
      <c r="AC30" s="1538">
        <f t="shared" si="5"/>
        <v>1</v>
      </c>
    </row>
    <row r="31" spans="1:29" ht="15" hidden="1">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288"/>
      <c r="Q31" s="1537">
        <f t="shared" si="8"/>
        <v>111</v>
      </c>
      <c r="R31" s="714" t="s">
        <v>17</v>
      </c>
      <c r="S31" s="715">
        <f t="shared" si="10"/>
        <v>100</v>
      </c>
      <c r="T31" s="714" t="s">
        <v>17</v>
      </c>
      <c r="U31" s="715">
        <f t="shared" si="11"/>
        <v>100</v>
      </c>
      <c r="V31" s="714" t="s">
        <v>17</v>
      </c>
      <c r="W31" s="715">
        <f t="shared" si="12"/>
        <v>100</v>
      </c>
      <c r="X31" s="1540"/>
      <c r="Y31" s="3288"/>
      <c r="Z31" s="1541">
        <f t="shared" si="13"/>
        <v>111</v>
      </c>
      <c r="AA31" s="1538">
        <f t="shared" si="3"/>
        <v>1</v>
      </c>
      <c r="AB31" s="1538">
        <f t="shared" si="4"/>
        <v>1</v>
      </c>
      <c r="AC31" s="1538">
        <f t="shared" si="5"/>
        <v>1</v>
      </c>
    </row>
    <row r="32" spans="1:29" ht="15" hidden="1">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43" t="s">
        <v>2386</v>
      </c>
      <c r="Q32" s="1537">
        <f t="shared" si="8"/>
        <v>111</v>
      </c>
      <c r="R32" s="714" t="s">
        <v>17</v>
      </c>
      <c r="S32" s="715">
        <f t="shared" si="10"/>
        <v>100</v>
      </c>
      <c r="T32" s="714" t="s">
        <v>17</v>
      </c>
      <c r="U32" s="715">
        <f t="shared" si="11"/>
        <v>100</v>
      </c>
      <c r="V32" s="714" t="s">
        <v>17</v>
      </c>
      <c r="W32" s="715">
        <f t="shared" si="12"/>
        <v>100</v>
      </c>
      <c r="X32" s="1540"/>
      <c r="Y32" s="3292" t="s">
        <v>2386</v>
      </c>
      <c r="Z32" s="1541">
        <f t="shared" si="13"/>
        <v>111</v>
      </c>
      <c r="AA32" s="1538">
        <f t="shared" si="3"/>
        <v>1</v>
      </c>
      <c r="AB32" s="1538">
        <f t="shared" si="4"/>
        <v>1</v>
      </c>
      <c r="AC32" s="1538">
        <f t="shared" si="5"/>
        <v>1</v>
      </c>
    </row>
    <row r="33" spans="1:31" s="430" customFormat="1" ht="15.75" hidden="1"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292"/>
      <c r="Q33" s="1537">
        <f t="shared" si="8"/>
        <v>111</v>
      </c>
      <c r="R33" s="717" t="s">
        <v>17</v>
      </c>
      <c r="S33" s="718">
        <f t="shared" si="10"/>
        <v>100</v>
      </c>
      <c r="T33" s="717" t="s">
        <v>17</v>
      </c>
      <c r="U33" s="718">
        <f t="shared" si="11"/>
        <v>100</v>
      </c>
      <c r="V33" s="717" t="s">
        <v>17</v>
      </c>
      <c r="W33" s="718">
        <f t="shared" si="12"/>
        <v>100</v>
      </c>
      <c r="X33" s="719"/>
      <c r="Y33" s="3292"/>
      <c r="Z33" s="720">
        <f t="shared" si="13"/>
        <v>111</v>
      </c>
      <c r="AA33" s="1538">
        <f t="shared" si="3"/>
        <v>1</v>
      </c>
      <c r="AB33" s="1538">
        <f t="shared" si="4"/>
        <v>1</v>
      </c>
      <c r="AC33" s="1538">
        <f t="shared" si="5"/>
        <v>1</v>
      </c>
    </row>
    <row r="34" spans="1:31" ht="15">
      <c r="A34" s="399" t="s">
        <v>2384</v>
      </c>
      <c r="B34" s="415" t="s">
        <v>2572</v>
      </c>
      <c r="C34" s="635">
        <f>'数据-汇总表'!D3</f>
        <v>9989</v>
      </c>
      <c r="D34" s="426">
        <v>100</v>
      </c>
      <c r="E34" s="635">
        <f>Sheet1!D7</f>
        <v>10045</v>
      </c>
      <c r="F34" s="426">
        <f>LOOKUP(E34,108:108,109:109)-LOOKUP(C34,108:108,109:109)+100</f>
        <v>100</v>
      </c>
      <c r="G34" s="635">
        <f>Sheet1!D12</f>
        <v>9790</v>
      </c>
      <c r="H34" s="426">
        <f>LOOKUP(G34,108:108,109:109)-LOOKUP(C34,108:108,109:109)+100</f>
        <v>100</v>
      </c>
      <c r="I34" s="487">
        <f>Sheet1!D21</f>
        <v>16667</v>
      </c>
      <c r="J34" s="426">
        <f>LOOKUP(I34,108:108,109:109)-LOOKUP(C34,108:108,109:109)+100</f>
        <v>100</v>
      </c>
      <c r="K34" s="570"/>
      <c r="L34" s="2948"/>
      <c r="M34" s="2942"/>
      <c r="N34" s="2942"/>
      <c r="O34" s="3000"/>
      <c r="P34" s="3292"/>
      <c r="Q34" s="1537" t="str">
        <f>B34</f>
        <v>宗地面积</v>
      </c>
      <c r="R34" s="714" t="s">
        <v>17</v>
      </c>
      <c r="S34" s="715">
        <f t="shared" si="10"/>
        <v>100</v>
      </c>
      <c r="T34" s="714" t="s">
        <v>17</v>
      </c>
      <c r="U34" s="715">
        <f t="shared" si="11"/>
        <v>100</v>
      </c>
      <c r="V34" s="714" t="s">
        <v>17</v>
      </c>
      <c r="W34" s="715">
        <f t="shared" si="12"/>
        <v>100</v>
      </c>
      <c r="X34" s="1540"/>
      <c r="Y34" s="3292"/>
      <c r="Z34" s="1541" t="str">
        <f t="shared" si="13"/>
        <v>宗地面积</v>
      </c>
      <c r="AA34" s="1538">
        <f t="shared" si="3"/>
        <v>1</v>
      </c>
      <c r="AB34" s="1538">
        <f t="shared" si="4"/>
        <v>1</v>
      </c>
      <c r="AC34" s="1538">
        <f t="shared" si="5"/>
        <v>1</v>
      </c>
    </row>
    <row r="35" spans="1:31" ht="15">
      <c r="A35" s="431"/>
      <c r="B35" s="381" t="s">
        <v>2573</v>
      </c>
      <c r="C35" s="2093" t="s">
        <v>3291</v>
      </c>
      <c r="D35" s="394">
        <v>100</v>
      </c>
      <c r="E35" s="2093" t="s">
        <v>3291</v>
      </c>
      <c r="F35" s="394">
        <f>SUMIF(110:110,E35,111:111)-SUMIF(110:110,C35,111:111)+100</f>
        <v>100</v>
      </c>
      <c r="G35" s="2093" t="s">
        <v>3291</v>
      </c>
      <c r="H35" s="394">
        <f>SUMIF(110:110,G35,111:111)-SUMIF(110:110,C35,111:111)+100</f>
        <v>100</v>
      </c>
      <c r="I35" s="2093" t="s">
        <v>3291</v>
      </c>
      <c r="J35" s="394">
        <f>SUMIF(110:110,I35,111:111)-SUMIF(110:110,C35,111:111)+100</f>
        <v>100</v>
      </c>
      <c r="K35" s="569">
        <v>2</v>
      </c>
      <c r="L35" s="2948"/>
      <c r="M35" s="2942"/>
      <c r="N35" s="2942"/>
      <c r="O35" s="3000"/>
      <c r="P35" s="3292"/>
      <c r="Q35" s="1537" t="str">
        <f t="shared" ref="Q35:Q40" si="14">B35</f>
        <v>宗地形状</v>
      </c>
      <c r="R35" s="714" t="s">
        <v>17</v>
      </c>
      <c r="S35" s="715">
        <f t="shared" si="10"/>
        <v>100</v>
      </c>
      <c r="T35" s="714" t="s">
        <v>17</v>
      </c>
      <c r="U35" s="715">
        <f t="shared" si="11"/>
        <v>100</v>
      </c>
      <c r="V35" s="714" t="s">
        <v>17</v>
      </c>
      <c r="W35" s="715">
        <f t="shared" si="12"/>
        <v>100</v>
      </c>
      <c r="X35" s="1540"/>
      <c r="Y35" s="3292"/>
      <c r="Z35" s="1541" t="str">
        <f t="shared" si="13"/>
        <v>宗地形状</v>
      </c>
      <c r="AA35" s="1538">
        <f t="shared" si="3"/>
        <v>1</v>
      </c>
      <c r="AB35" s="1538">
        <f t="shared" si="4"/>
        <v>1</v>
      </c>
      <c r="AC35" s="1538">
        <f t="shared" si="5"/>
        <v>1</v>
      </c>
    </row>
    <row r="36" spans="1:31" s="113" customFormat="1" ht="15">
      <c r="A36" s="432"/>
      <c r="B36" s="381" t="s">
        <v>2575</v>
      </c>
      <c r="C36" s="2167" t="s">
        <v>3289</v>
      </c>
      <c r="D36" s="132">
        <v>100</v>
      </c>
      <c r="E36" s="2167" t="s">
        <v>3289</v>
      </c>
      <c r="F36" s="394">
        <f>SUMIF(112:112,E36,113:113)-SUMIF(112:112,C36,113:113)+100</f>
        <v>100</v>
      </c>
      <c r="G36" s="2167" t="s">
        <v>3289</v>
      </c>
      <c r="H36" s="394">
        <f>SUMIF(112:112,G36,113:113)-SUMIF(112:112,C36,113:113)+100</f>
        <v>100</v>
      </c>
      <c r="I36" s="2167" t="s">
        <v>3289</v>
      </c>
      <c r="J36" s="394">
        <f>SUMIF(112:112,I36,113:113)-SUMIF(112:112,C36,113:113)+100</f>
        <v>100</v>
      </c>
      <c r="K36" s="569">
        <v>2</v>
      </c>
      <c r="L36" s="2943"/>
      <c r="M36" s="2944"/>
      <c r="N36" s="2944"/>
      <c r="O36" s="2998"/>
      <c r="P36" s="3292"/>
      <c r="Q36" s="1537" t="str">
        <f t="shared" si="14"/>
        <v>宗地开发程度</v>
      </c>
      <c r="R36" s="710" t="s">
        <v>17</v>
      </c>
      <c r="S36" s="711">
        <f t="shared" si="10"/>
        <v>100</v>
      </c>
      <c r="T36" s="710" t="s">
        <v>17</v>
      </c>
      <c r="U36" s="711">
        <f t="shared" si="11"/>
        <v>100</v>
      </c>
      <c r="V36" s="710" t="s">
        <v>17</v>
      </c>
      <c r="W36" s="711">
        <f t="shared" si="12"/>
        <v>100</v>
      </c>
      <c r="X36" s="712"/>
      <c r="Y36" s="3292"/>
      <c r="Z36" s="55" t="str">
        <f t="shared" si="13"/>
        <v>宗地开发程度</v>
      </c>
      <c r="AA36" s="713">
        <f t="shared" si="3"/>
        <v>1</v>
      </c>
      <c r="AB36" s="713">
        <f t="shared" si="4"/>
        <v>1</v>
      </c>
      <c r="AC36" s="713">
        <f t="shared" si="5"/>
        <v>1</v>
      </c>
    </row>
    <row r="37" spans="1:31" ht="15">
      <c r="A37" s="431"/>
      <c r="B37" s="381" t="s">
        <v>2576</v>
      </c>
      <c r="C37" s="2093" t="s">
        <v>3287</v>
      </c>
      <c r="D37" s="394">
        <v>100</v>
      </c>
      <c r="E37" s="2093" t="s">
        <v>3287</v>
      </c>
      <c r="F37" s="394">
        <f>SUMIF(114:114,E37,115:115)-SUMIF(114:114,C37,115:115)+100</f>
        <v>100</v>
      </c>
      <c r="G37" s="2093" t="s">
        <v>3287</v>
      </c>
      <c r="H37" s="394">
        <f>SUMIF(114:114,G37,115:115)-SUMIF(114:114,C37,115:115)+100</f>
        <v>100</v>
      </c>
      <c r="I37" s="2093" t="s">
        <v>3287</v>
      </c>
      <c r="J37" s="394">
        <f>SUMIF(114:114,I37,115:115)-SUMIF(114:114,C37,115:115)+100</f>
        <v>100</v>
      </c>
      <c r="K37" s="569">
        <v>2</v>
      </c>
      <c r="L37" s="2948"/>
      <c r="M37" s="2942"/>
      <c r="N37" s="2942"/>
      <c r="O37" s="3000"/>
      <c r="P37" s="3292" t="s">
        <v>2386</v>
      </c>
      <c r="Q37" s="1537" t="str">
        <f t="shared" si="14"/>
        <v>工程地质条件</v>
      </c>
      <c r="R37" s="714" t="s">
        <v>17</v>
      </c>
      <c r="S37" s="715">
        <f t="shared" si="10"/>
        <v>100</v>
      </c>
      <c r="T37" s="714" t="s">
        <v>17</v>
      </c>
      <c r="U37" s="715">
        <f t="shared" si="11"/>
        <v>100</v>
      </c>
      <c r="V37" s="714" t="s">
        <v>17</v>
      </c>
      <c r="W37" s="715">
        <f t="shared" si="12"/>
        <v>100</v>
      </c>
      <c r="X37" s="1540"/>
      <c r="Y37" s="3292"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292"/>
      <c r="Q38" s="1537">
        <f t="shared" si="14"/>
        <v>111</v>
      </c>
      <c r="R38" s="714" t="s">
        <v>17</v>
      </c>
      <c r="S38" s="715">
        <f t="shared" si="10"/>
        <v>100</v>
      </c>
      <c r="T38" s="714" t="s">
        <v>17</v>
      </c>
      <c r="U38" s="715">
        <f t="shared" si="11"/>
        <v>100</v>
      </c>
      <c r="V38" s="714" t="s">
        <v>17</v>
      </c>
      <c r="W38" s="715">
        <f t="shared" si="12"/>
        <v>100</v>
      </c>
      <c r="X38" s="1540"/>
      <c r="Y38" s="3292"/>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292"/>
      <c r="Q39" s="1537">
        <f t="shared" si="14"/>
        <v>111</v>
      </c>
      <c r="R39" s="714" t="s">
        <v>17</v>
      </c>
      <c r="S39" s="715">
        <f t="shared" si="10"/>
        <v>100</v>
      </c>
      <c r="T39" s="714" t="s">
        <v>17</v>
      </c>
      <c r="U39" s="715">
        <f t="shared" si="11"/>
        <v>100</v>
      </c>
      <c r="V39" s="714" t="s">
        <v>17</v>
      </c>
      <c r="W39" s="715">
        <f t="shared" si="12"/>
        <v>100</v>
      </c>
      <c r="X39" s="1540"/>
      <c r="Y39" s="3292"/>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292"/>
      <c r="Q40" s="1537">
        <f t="shared" si="14"/>
        <v>111</v>
      </c>
      <c r="R40" s="717" t="s">
        <v>17</v>
      </c>
      <c r="S40" s="718">
        <f t="shared" si="10"/>
        <v>100</v>
      </c>
      <c r="T40" s="717" t="s">
        <v>17</v>
      </c>
      <c r="U40" s="718">
        <f t="shared" si="11"/>
        <v>100</v>
      </c>
      <c r="V40" s="717" t="s">
        <v>17</v>
      </c>
      <c r="W40" s="718">
        <f t="shared" si="12"/>
        <v>100</v>
      </c>
      <c r="X40" s="719"/>
      <c r="Y40" s="3292"/>
      <c r="Z40" s="720">
        <f t="shared" si="13"/>
        <v>111</v>
      </c>
      <c r="AA40" s="1538">
        <f t="shared" si="3"/>
        <v>1</v>
      </c>
      <c r="AB40" s="1538">
        <f t="shared" si="4"/>
        <v>1</v>
      </c>
      <c r="AC40" s="1538">
        <f t="shared" si="5"/>
        <v>1</v>
      </c>
    </row>
    <row r="41" spans="1:31" ht="15">
      <c r="A41" s="438" t="s">
        <v>2541</v>
      </c>
      <c r="B41" s="2169" t="s">
        <v>3271</v>
      </c>
      <c r="C41" s="638" t="s">
        <v>1</v>
      </c>
      <c r="D41" s="440"/>
      <c r="E41" s="441">
        <f>ROUND(Sheet1!M7,0)</f>
        <v>450</v>
      </c>
      <c r="F41" s="442"/>
      <c r="G41" s="443">
        <f>ROUND(Sheet1!M12,0)</f>
        <v>450</v>
      </c>
      <c r="H41" s="444"/>
      <c r="I41" s="441">
        <f>ROUND(Sheet1!M21,0)</f>
        <v>490</v>
      </c>
      <c r="J41" s="444"/>
      <c r="K41" s="723"/>
      <c r="L41" s="2950"/>
      <c r="M41" s="2942"/>
      <c r="N41" s="2942"/>
      <c r="O41" s="2951"/>
      <c r="P41" s="3285" t="str">
        <f>A41</f>
        <v>成交单价</v>
      </c>
      <c r="Q41" s="3285"/>
      <c r="R41" s="3316">
        <f>E41</f>
        <v>450</v>
      </c>
      <c r="S41" s="3316"/>
      <c r="T41" s="3316">
        <f>G41</f>
        <v>450</v>
      </c>
      <c r="U41" s="3316"/>
      <c r="V41" s="3316">
        <f>I41</f>
        <v>490</v>
      </c>
      <c r="W41" s="3316"/>
      <c r="X41" s="699"/>
      <c r="Y41" s="721"/>
      <c r="Z41" s="699"/>
      <c r="AA41" s="699"/>
      <c r="AB41" s="699"/>
      <c r="AC41" s="699"/>
    </row>
    <row r="42" spans="1:31" ht="15.75" thickBot="1">
      <c r="A42" s="445" t="s">
        <v>2490</v>
      </c>
      <c r="B42" s="639"/>
      <c r="C42" s="448">
        <f>R43</f>
        <v>465</v>
      </c>
      <c r="D42" s="2539" t="s">
        <v>2880</v>
      </c>
      <c r="E42" s="448">
        <f>R42</f>
        <v>451</v>
      </c>
      <c r="F42" s="2540"/>
      <c r="G42" s="447">
        <f>T42</f>
        <v>451</v>
      </c>
      <c r="H42" s="2540"/>
      <c r="I42" s="448">
        <f>V42</f>
        <v>493</v>
      </c>
      <c r="J42" s="2540"/>
      <c r="K42" s="2542">
        <f>F42+H42+J42</f>
        <v>0</v>
      </c>
      <c r="L42" s="2950"/>
      <c r="M42" s="2942"/>
      <c r="N42" s="2942"/>
      <c r="O42" s="2951"/>
      <c r="P42" s="3285" t="str">
        <f>A42</f>
        <v>比较价值（元/平方米）</v>
      </c>
      <c r="Q42" s="3285"/>
      <c r="R42" s="3345">
        <f>ROUND(PRODUCT(R41,AA7:AA40),0)</f>
        <v>451</v>
      </c>
      <c r="S42" s="3345"/>
      <c r="T42" s="3345">
        <f>ROUND(PRODUCT(T41,AB7:AB40),0)</f>
        <v>451</v>
      </c>
      <c r="U42" s="3345"/>
      <c r="V42" s="3345">
        <f>ROUND(PRODUCT(V41,AC7:AC40),0)</f>
        <v>493</v>
      </c>
      <c r="W42" s="3345"/>
      <c r="X42" s="699"/>
      <c r="Y42" s="699"/>
      <c r="Z42" s="699"/>
      <c r="AA42" s="699"/>
      <c r="AB42" s="699"/>
      <c r="AC42" s="699"/>
    </row>
    <row r="43" spans="1:31" ht="15.75" thickBot="1">
      <c r="A43" s="449" t="s">
        <v>2491</v>
      </c>
      <c r="B43" s="450"/>
      <c r="C43" s="451">
        <f>R43</f>
        <v>465</v>
      </c>
      <c r="D43" s="451"/>
      <c r="E43" s="451"/>
      <c r="F43" s="451"/>
      <c r="G43" s="451"/>
      <c r="H43" s="451"/>
      <c r="I43" s="451"/>
      <c r="J43" s="451"/>
      <c r="K43" s="724"/>
      <c r="L43" s="2950"/>
      <c r="M43" s="2942"/>
      <c r="N43" s="2942"/>
      <c r="O43" s="2951"/>
      <c r="P43" s="3282" t="str">
        <f>A43</f>
        <v>估价对象XX用房的比较价值（楼面单价，元/平方米）</v>
      </c>
      <c r="Q43" s="3283"/>
      <c r="R43" s="3346">
        <f>ROUND(IF(D42="简单平均",AVERAGE(R42:W42),R42*F42+T42*H42+V42*J42),0)</f>
        <v>465</v>
      </c>
      <c r="S43" s="3346"/>
      <c r="T43" s="3346"/>
      <c r="U43" s="3346"/>
      <c r="V43" s="3346"/>
      <c r="W43" s="3346"/>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2492</v>
      </c>
      <c r="D46" s="455"/>
      <c r="E46" s="456">
        <f>IF(E41&lt;E42,E42/E41-1,E41/E42-1)</f>
        <v>2.2222222222221255E-3</v>
      </c>
      <c r="F46" s="457" t="str">
        <f>IF(OR(E46&gt;=0.3,E46&lt;=-0.3),"超过30%","")</f>
        <v/>
      </c>
      <c r="G46" s="456">
        <f>IF(G41&lt;G42,G42/G41-1,G41/G42-1)</f>
        <v>2.2222222222221255E-3</v>
      </c>
      <c r="H46" s="457" t="str">
        <f>IF(OR(G46&gt;=0.3,G46&lt;=-0.3),"超过30%","")</f>
        <v/>
      </c>
      <c r="I46" s="456">
        <f>IF(I41&lt;I42,I42/I41-1,I41/I42-1)</f>
        <v>6.1224489795919101E-3</v>
      </c>
      <c r="J46" s="457" t="str">
        <f>IF(OR(I46&gt;=0.3,I46&lt;=-0.3),"超过30%","")</f>
        <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2493</v>
      </c>
      <c r="D47" s="458"/>
      <c r="E47" s="456">
        <f>IF(E42&lt;G42,G42/E42-1,E42/G42-1)</f>
        <v>0</v>
      </c>
      <c r="F47" s="457" t="str">
        <f>IF(OR(E47&gt;=0.2,E47&lt;=-0.2),"超过20%","")</f>
        <v/>
      </c>
      <c r="G47" s="456">
        <f>IF(G42&lt;I42,I42/G42-1,G42/I42-1)</f>
        <v>9.312638580931254E-2</v>
      </c>
      <c r="H47" s="457" t="str">
        <f>IF(OR(G47&gt;=0.2,G47&lt;=-0.2),"超过20%","")</f>
        <v/>
      </c>
      <c r="I47" s="456">
        <f>IF(I42&lt;E42,E42/I42-1,I42/E42-1)</f>
        <v>9.312638580931254E-2</v>
      </c>
      <c r="J47" s="457" t="str">
        <f>IF(OR(I47&gt;=0.2,I47&lt;=-0.2),"超过20%","")</f>
        <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2494</v>
      </c>
      <c r="D48" s="458"/>
      <c r="E48" s="456">
        <f>IF(E41&lt;G41,G41/E41-1,E41/G41-1)</f>
        <v>0</v>
      </c>
      <c r="F48" s="457" t="str">
        <f>IF(OR(E48&gt;=0.3,E48&lt;=-0.3),"超过30%","")</f>
        <v/>
      </c>
      <c r="G48" s="456">
        <f>IF(G41&lt;I41,I41/G41-1,G41/I41-1)</f>
        <v>8.8888888888888795E-2</v>
      </c>
      <c r="H48" s="457" t="str">
        <f>IF(OR(G48&gt;=0.3,G48&lt;=-0.3),"超过30%","")</f>
        <v/>
      </c>
      <c r="I48" s="456">
        <f>IF(I41&lt;E41,E41/I41-1,I41/E41-1)</f>
        <v>8.8888888888888795E-2</v>
      </c>
      <c r="J48" s="457" t="str">
        <f>IF(OR(I48&gt;=0.3,I48&lt;=-0.3),"超过30%","")</f>
        <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2579</v>
      </c>
      <c r="B50" s="641" t="s">
        <v>2580</v>
      </c>
      <c r="C50" s="2170" t="s">
        <v>2581</v>
      </c>
      <c r="D50" s="2171" t="s">
        <v>2582</v>
      </c>
      <c r="E50" s="642" t="s">
        <v>2583</v>
      </c>
      <c r="F50" s="643" t="s">
        <v>2584</v>
      </c>
      <c r="G50" s="3300" t="s">
        <v>2585</v>
      </c>
      <c r="H50" s="3347"/>
      <c r="I50" s="1541" t="s">
        <v>2621</v>
      </c>
      <c r="J50" s="1541">
        <f>项目基本情况!F35</f>
        <v>0</v>
      </c>
      <c r="K50" s="2173"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2588</v>
      </c>
      <c r="B51" s="645">
        <f>C43</f>
        <v>465</v>
      </c>
      <c r="C51" s="646">
        <v>1</v>
      </c>
      <c r="D51" s="1075">
        <v>1</v>
      </c>
      <c r="E51" s="646">
        <f>'数据-汇总表'!E8+'数据-汇总表'!E9</f>
        <v>27421.7</v>
      </c>
      <c r="F51" s="647">
        <f t="shared" ref="F51:F60" si="15">ROUND(B51*E51/10000,0)</f>
        <v>1275</v>
      </c>
      <c r="G51" s="3296"/>
      <c r="H51" s="3285"/>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2589</v>
      </c>
      <c r="B52" s="224">
        <f>ROUND($C$43*C52*D52,0)</f>
        <v>0</v>
      </c>
      <c r="C52" s="176">
        <f t="shared" ref="C52:C60" si="16">IF($C$50="北京市系数",I52,J52)</f>
        <v>0</v>
      </c>
      <c r="D52" s="1076">
        <v>0.25</v>
      </c>
      <c r="E52" s="650"/>
      <c r="F52" s="647">
        <f t="shared" si="15"/>
        <v>0</v>
      </c>
      <c r="G52" s="3348" t="s">
        <v>2590</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2591</v>
      </c>
      <c r="B53" s="224">
        <f t="shared" ref="B53:B60" si="17">ROUND($C$43*C53*D53,0)</f>
        <v>0</v>
      </c>
      <c r="C53" s="176">
        <f t="shared" si="16"/>
        <v>0</v>
      </c>
      <c r="D53" s="1076">
        <v>0.25</v>
      </c>
      <c r="E53" s="650"/>
      <c r="F53" s="647">
        <f t="shared" si="15"/>
        <v>0</v>
      </c>
      <c r="G53" s="3348"/>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2592</v>
      </c>
      <c r="B54" s="224">
        <f t="shared" si="17"/>
        <v>0</v>
      </c>
      <c r="C54" s="176">
        <f t="shared" si="16"/>
        <v>0</v>
      </c>
      <c r="D54" s="1076">
        <v>0.25</v>
      </c>
      <c r="E54" s="650"/>
      <c r="F54" s="647">
        <f t="shared" si="15"/>
        <v>0</v>
      </c>
      <c r="G54" s="3348"/>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2593</v>
      </c>
      <c r="B55" s="224">
        <f t="shared" si="17"/>
        <v>0</v>
      </c>
      <c r="C55" s="176">
        <f t="shared" si="16"/>
        <v>0</v>
      </c>
      <c r="D55" s="1076">
        <v>0.25</v>
      </c>
      <c r="E55" s="650"/>
      <c r="F55" s="647">
        <f t="shared" si="15"/>
        <v>0</v>
      </c>
      <c r="G55" s="3348"/>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2594</v>
      </c>
      <c r="B56" s="224">
        <f t="shared" si="17"/>
        <v>0</v>
      </c>
      <c r="C56" s="176">
        <f t="shared" si="16"/>
        <v>0</v>
      </c>
      <c r="D56" s="1076">
        <v>0.25</v>
      </c>
      <c r="E56" s="223">
        <f>'数据-汇总表'!E11</f>
        <v>0</v>
      </c>
      <c r="F56" s="647">
        <f t="shared" si="15"/>
        <v>0</v>
      </c>
      <c r="G56" s="2174" t="s">
        <v>2595</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2596</v>
      </c>
      <c r="B57" s="224">
        <f t="shared" si="17"/>
        <v>0</v>
      </c>
      <c r="C57" s="176">
        <f t="shared" si="16"/>
        <v>0</v>
      </c>
      <c r="D57" s="1076">
        <v>0.25</v>
      </c>
      <c r="E57" s="223">
        <f>'数据-汇总表'!E12</f>
        <v>0</v>
      </c>
      <c r="F57" s="647">
        <f t="shared" si="15"/>
        <v>0</v>
      </c>
      <c r="G57" s="1023" t="s">
        <v>2597</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2598</v>
      </c>
      <c r="B58" s="224">
        <f t="shared" si="17"/>
        <v>0</v>
      </c>
      <c r="C58" s="176">
        <f t="shared" si="16"/>
        <v>0</v>
      </c>
      <c r="D58" s="1076">
        <v>0.25</v>
      </c>
      <c r="E58" s="223">
        <f>'数据-汇总表'!E13</f>
        <v>0</v>
      </c>
      <c r="F58" s="647">
        <f t="shared" si="15"/>
        <v>0</v>
      </c>
      <c r="G58" s="1023" t="s">
        <v>2599</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2600</v>
      </c>
      <c r="B59" s="224">
        <f t="shared" si="17"/>
        <v>0</v>
      </c>
      <c r="C59" s="176">
        <f t="shared" si="16"/>
        <v>0</v>
      </c>
      <c r="D59" s="1076">
        <v>0.25</v>
      </c>
      <c r="E59" s="223">
        <f>'数据-汇总表'!E14</f>
        <v>0</v>
      </c>
      <c r="F59" s="647">
        <f t="shared" si="15"/>
        <v>0</v>
      </c>
      <c r="G59" s="2174" t="s">
        <v>2590</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2601</v>
      </c>
      <c r="B60" s="224">
        <f t="shared" si="17"/>
        <v>0</v>
      </c>
      <c r="C60" s="176">
        <f t="shared" si="16"/>
        <v>0</v>
      </c>
      <c r="D60" s="1076">
        <v>0.25</v>
      </c>
      <c r="E60" s="223">
        <f>'数据-汇总表'!E15</f>
        <v>0</v>
      </c>
      <c r="F60" s="647">
        <f t="shared" si="15"/>
        <v>0</v>
      </c>
      <c r="G60" s="2175" t="s">
        <v>2595</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2602</v>
      </c>
      <c r="B61" s="652" t="s">
        <v>28</v>
      </c>
      <c r="C61" s="652" t="s">
        <v>29</v>
      </c>
      <c r="D61" s="652" t="s">
        <v>997</v>
      </c>
      <c r="E61" s="652">
        <f>IF(B41="楼面地价",SUM(E51:E60),'数据-汇总表'!D3)</f>
        <v>27421.7</v>
      </c>
      <c r="F61" s="653">
        <f>IF(B41="楼面地价",SUM(F51:F60),ROUND(C43*E61/10000,0))</f>
        <v>1275</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1"/>
      <c r="Q63" s="2951"/>
      <c r="R63" s="2951"/>
      <c r="S63" s="2951"/>
      <c r="T63" s="2951"/>
      <c r="U63" s="2951"/>
      <c r="V63" s="2951"/>
      <c r="W63" s="2951"/>
      <c r="X63" s="2951"/>
      <c r="Y63" s="2951"/>
      <c r="Z63" s="2951"/>
      <c r="AA63" s="2951"/>
      <c r="AB63" s="2951"/>
      <c r="AC63" s="2951"/>
      <c r="AD63" s="2951"/>
      <c r="AE63" s="2951"/>
    </row>
    <row r="64" spans="1:31" ht="21.75" thickBot="1">
      <c r="A64" s="703" t="s">
        <v>2495</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6"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1" t="s">
        <v>2622</v>
      </c>
      <c r="B66" s="294" t="str">
        <f>"北京市平均增长率"&amp;TEXT(基准地价修正!P24,"0.00%")</f>
        <v>北京市平均增长率0.00%</v>
      </c>
      <c r="C66" s="560">
        <v>100</v>
      </c>
      <c r="D66" s="552">
        <f>C66-0.5</f>
        <v>99.5</v>
      </c>
      <c r="E66" s="552">
        <f t="shared" ref="E66:N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552">
        <f t="shared" si="20"/>
        <v>94.5</v>
      </c>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2409</v>
      </c>
      <c r="B70" s="485" t="s">
        <v>2375</v>
      </c>
      <c r="C70" s="3055" t="s">
        <v>3270</v>
      </c>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v>100</v>
      </c>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2378</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2379</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v>0</v>
      </c>
      <c r="D75" s="506">
        <v>1</v>
      </c>
      <c r="E75" s="506">
        <v>2</v>
      </c>
      <c r="F75" s="506">
        <v>3</v>
      </c>
      <c r="G75" s="506">
        <v>4</v>
      </c>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2380</v>
      </c>
      <c r="B83" s="485" t="s">
        <v>2526</v>
      </c>
      <c r="C83" s="530" t="s">
        <v>2418</v>
      </c>
      <c r="D83" s="530" t="s">
        <v>2419</v>
      </c>
      <c r="E83" s="530" t="s">
        <v>2420</v>
      </c>
      <c r="F83" s="530" t="s">
        <v>2421</v>
      </c>
      <c r="G83" s="530" t="s">
        <v>2422</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95</v>
      </c>
      <c r="E84" s="501">
        <f>D84-$K15</f>
        <v>90</v>
      </c>
      <c r="F84" s="501">
        <f>E84-$K15</f>
        <v>85</v>
      </c>
      <c r="G84" s="501">
        <f>F84-$K15</f>
        <v>80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2423</v>
      </c>
      <c r="C85" s="535" t="s">
        <v>2418</v>
      </c>
      <c r="D85" s="535" t="s">
        <v>2419</v>
      </c>
      <c r="E85" s="535" t="s">
        <v>2420</v>
      </c>
      <c r="F85" s="535" t="s">
        <v>2421</v>
      </c>
      <c r="G85" s="535" t="s">
        <v>2422</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97</v>
      </c>
      <c r="E86" s="501">
        <f>D86-$K17</f>
        <v>94</v>
      </c>
      <c r="F86" s="501">
        <f>E86-$K17</f>
        <v>91</v>
      </c>
      <c r="G86" s="501">
        <f>F86-$K17</f>
        <v>88</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2512</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2571</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ht="28.5">
      <c r="A107" s="484" t="s">
        <v>2384</v>
      </c>
      <c r="B107" s="485" t="s">
        <v>2612</v>
      </c>
      <c r="C107" s="486" t="str">
        <f t="shared" ref="C107:L107" si="26">C108&amp;"(含)"&amp;"-"&amp;D108</f>
        <v>0(含)-20000</v>
      </c>
      <c r="D107" s="486" t="str">
        <f t="shared" si="26"/>
        <v>20000(含)-40000</v>
      </c>
      <c r="E107" s="486" t="str">
        <f t="shared" si="26"/>
        <v>40000(含)-</v>
      </c>
      <c r="F107" s="486" t="str">
        <f t="shared" si="26"/>
        <v>(含)-</v>
      </c>
      <c r="G107" s="486" t="str">
        <f t="shared" si="26"/>
        <v>(含)-</v>
      </c>
      <c r="H107" s="486" t="str">
        <f t="shared" si="26"/>
        <v>(含)-</v>
      </c>
      <c r="I107" s="486" t="str">
        <f t="shared" si="26"/>
        <v>(含)-</v>
      </c>
      <c r="J107" s="486" t="str">
        <f t="shared" si="26"/>
        <v>(含)-</v>
      </c>
      <c r="K107" s="1504" t="str">
        <f t="shared" si="26"/>
        <v>(含)-</v>
      </c>
      <c r="L107" s="1504" t="str">
        <f t="shared" si="26"/>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v>0</v>
      </c>
      <c r="D108" s="552">
        <v>20000</v>
      </c>
      <c r="E108" s="552">
        <v>40000</v>
      </c>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v>100</v>
      </c>
      <c r="D109" s="548">
        <f>C109+1</f>
        <v>101</v>
      </c>
      <c r="E109" s="548">
        <f t="shared" ref="E109" si="27">D109+1</f>
        <v>102</v>
      </c>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2613</v>
      </c>
      <c r="C110" s="3058" t="s">
        <v>3290</v>
      </c>
      <c r="D110" s="3058" t="s">
        <v>3292</v>
      </c>
      <c r="E110" s="3058" t="s">
        <v>3293</v>
      </c>
      <c r="F110" s="3058" t="s">
        <v>3294</v>
      </c>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8">C111-$K35</f>
        <v>98</v>
      </c>
      <c r="E111" s="501">
        <f t="shared" si="28"/>
        <v>96</v>
      </c>
      <c r="F111" s="501">
        <f t="shared" si="28"/>
        <v>94</v>
      </c>
      <c r="G111" s="501">
        <f t="shared" si="28"/>
        <v>92</v>
      </c>
      <c r="H111" s="501">
        <f t="shared" si="28"/>
        <v>90</v>
      </c>
      <c r="I111" s="501">
        <f t="shared" si="28"/>
        <v>88</v>
      </c>
      <c r="J111" s="501">
        <f t="shared" si="28"/>
        <v>86</v>
      </c>
      <c r="K111" s="501">
        <f t="shared" si="28"/>
        <v>84</v>
      </c>
      <c r="L111" s="501">
        <f t="shared" si="28"/>
        <v>82</v>
      </c>
      <c r="M111" s="502">
        <f t="shared" si="28"/>
        <v>80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2615</v>
      </c>
      <c r="C112" s="3059" t="s">
        <v>3295</v>
      </c>
      <c r="D112" s="3059" t="s">
        <v>3296</v>
      </c>
      <c r="E112" s="3059" t="s">
        <v>3297</v>
      </c>
      <c r="F112" s="3059" t="s">
        <v>3298</v>
      </c>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9">C113-$K36</f>
        <v>98</v>
      </c>
      <c r="E113" s="501">
        <f t="shared" si="29"/>
        <v>96</v>
      </c>
      <c r="F113" s="501">
        <f t="shared" si="29"/>
        <v>94</v>
      </c>
      <c r="G113" s="501">
        <f t="shared" si="29"/>
        <v>92</v>
      </c>
      <c r="H113" s="501">
        <f t="shared" si="29"/>
        <v>90</v>
      </c>
      <c r="I113" s="501">
        <f t="shared" si="29"/>
        <v>88</v>
      </c>
      <c r="J113" s="501">
        <f t="shared" si="29"/>
        <v>86</v>
      </c>
      <c r="K113" s="501">
        <f t="shared" si="29"/>
        <v>84</v>
      </c>
      <c r="L113" s="501">
        <f t="shared" si="29"/>
        <v>82</v>
      </c>
      <c r="M113" s="502">
        <f t="shared" si="29"/>
        <v>80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2616</v>
      </c>
      <c r="C114" s="3059" t="s">
        <v>3299</v>
      </c>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30">C115-$K37</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0</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6" t="s">
        <v>2633</v>
      </c>
      <c r="D2" s="2187" t="s">
        <v>2634</v>
      </c>
      <c r="E2" s="2188"/>
      <c r="F2" s="2187" t="s">
        <v>2635</v>
      </c>
      <c r="G2" s="2189">
        <f>IF(E2="商业",项目基本情况!B37,IF(E2="办公",项目基本情况!C37,IF(E2="住宅",项目基本情况!D37,项目基本情况!E37)))</f>
        <v>0</v>
      </c>
      <c r="H2" s="2187" t="s">
        <v>2636</v>
      </c>
      <c r="I2" s="2189">
        <f>IF(E2="商业",项目基本情况!B38,IF(E2="办公",项目基本情况!C38,IF(E2="住宅",项目基本情况!D38,项目基本情况!E38)))</f>
        <v>0</v>
      </c>
      <c r="J2" s="2190"/>
      <c r="K2" s="1280"/>
      <c r="L2" s="2191"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6" t="s">
        <v>2639</v>
      </c>
      <c r="D3" s="2187" t="s">
        <v>2640</v>
      </c>
      <c r="E3" s="2192"/>
      <c r="F3" s="2193" t="s">
        <v>2641</v>
      </c>
      <c r="G3" s="855">
        <f>IF(F3="宗地容积率",'数据-汇总表'!I4,IF(F3="估价对象容积率",'数据-汇总表'!I6,'数据-汇总表'!I7))</f>
        <v>2.75</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56"/>
      <c r="B4" s="3357"/>
      <c r="C4" s="3357"/>
      <c r="D4" s="3358"/>
      <c r="E4" s="3358"/>
      <c r="F4" s="3358"/>
      <c r="G4" s="3358"/>
      <c r="H4" s="3358"/>
      <c r="I4" s="3358"/>
      <c r="J4" s="3359"/>
      <c r="K4" s="1280"/>
      <c r="L4" s="2191"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2646</v>
      </c>
      <c r="C5" s="856" t="e">
        <f>ROUND(IF(E2="商业",C6*C7+C16,(IF(E2="住宅",C6*C12+C16,C6+C16))),0)</f>
        <v>#DIV/0!</v>
      </c>
      <c r="D5" s="1524" t="e">
        <f>ROUND(C6+C16,0)</f>
        <v>#DIV/0!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2648</v>
      </c>
      <c r="B6" s="2205" t="s">
        <v>2649</v>
      </c>
      <c r="C6" s="857">
        <f>SUMIF(L1:L12,G2,M1:M12)</f>
        <v>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60"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3" t="s">
        <v>2655</v>
      </c>
      <c r="X7" s="1376">
        <f>G2</f>
        <v>0</v>
      </c>
      <c r="Y7" s="1376" t="s">
        <v>2656</v>
      </c>
      <c r="Z7" s="1377">
        <f>G3</f>
        <v>2.75</v>
      </c>
      <c r="AA7" s="1378"/>
      <c r="AB7" s="1378"/>
      <c r="AC7" s="1379"/>
      <c r="AD7" s="1380"/>
      <c r="AE7" s="1380"/>
      <c r="AF7" s="1380"/>
      <c r="AG7" s="1380"/>
      <c r="AH7" s="1380"/>
      <c r="AI7" s="1380"/>
      <c r="AJ7" s="1381"/>
    </row>
    <row r="8" spans="1:36" ht="15">
      <c r="A8" s="3361"/>
      <c r="B8" s="175" t="s">
        <v>2657</v>
      </c>
      <c r="C8" s="2215"/>
      <c r="D8" s="859" t="s">
        <v>139</v>
      </c>
      <c r="E8" s="860" t="e">
        <f>ROUND(C11/E7,4)</f>
        <v>#DIV/0!</v>
      </c>
      <c r="F8" s="2216" t="s">
        <v>2658</v>
      </c>
      <c r="G8" s="2217"/>
      <c r="H8" s="2217"/>
      <c r="I8" s="2217"/>
      <c r="J8" s="2218"/>
      <c r="K8" s="1280"/>
      <c r="L8" s="2191"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53" t="s">
        <v>2660</v>
      </c>
      <c r="X8" s="3354"/>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61"/>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55" t="s">
        <v>2676</v>
      </c>
      <c r="X9" s="1383" t="s">
        <v>2677</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1"/>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5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1"/>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55" t="s">
        <v>2684</v>
      </c>
      <c r="X11" s="1386" t="s">
        <v>2685</v>
      </c>
      <c r="Y11" s="1387">
        <f>$G$3</f>
        <v>2.75</v>
      </c>
      <c r="Z11" s="1387">
        <f t="shared" ref="Z11:AJ11" si="3">$G$3</f>
        <v>2.75</v>
      </c>
      <c r="AA11" s="1387">
        <f t="shared" si="3"/>
        <v>2.75</v>
      </c>
      <c r="AB11" s="1387">
        <f t="shared" si="3"/>
        <v>2.75</v>
      </c>
      <c r="AC11" s="1387">
        <f t="shared" si="3"/>
        <v>2.75</v>
      </c>
      <c r="AD11" s="1387">
        <f t="shared" si="3"/>
        <v>2.75</v>
      </c>
      <c r="AE11" s="1387">
        <f t="shared" si="3"/>
        <v>2.75</v>
      </c>
      <c r="AF11" s="1387">
        <f t="shared" si="3"/>
        <v>2.75</v>
      </c>
      <c r="AG11" s="1387">
        <f t="shared" si="3"/>
        <v>2.75</v>
      </c>
      <c r="AH11" s="1387">
        <f t="shared" si="3"/>
        <v>2.75</v>
      </c>
      <c r="AI11" s="1387">
        <f t="shared" si="3"/>
        <v>2.75</v>
      </c>
      <c r="AJ11" s="1387">
        <f t="shared" si="3"/>
        <v>2.75</v>
      </c>
    </row>
    <row r="12" spans="1:36" ht="25.5" thickBot="1">
      <c r="A12" s="3360"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55"/>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2"/>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4">
        <v>12</v>
      </c>
      <c r="S13" s="1375"/>
      <c r="T13" s="1374" t="e">
        <f t="shared" si="0"/>
        <v>#DIV/0!</v>
      </c>
      <c r="U13" s="1375"/>
      <c r="V13" s="1374" t="e">
        <f t="shared" si="1"/>
        <v>#DIV/0!</v>
      </c>
      <c r="W13" s="3355"/>
      <c r="X13" s="1388"/>
      <c r="Y13" s="1385">
        <f>(-0.163*(Y12^2)-0.59*Y12+7617)*(10^(-4))/Y11</f>
        <v>0.27698181818181822</v>
      </c>
      <c r="Z13" s="1385">
        <f t="shared" ref="Z13:AJ13" si="5">(-0.163*(Z12^2)-0.59*Z12+7617)*(10^(-4))/Z11</f>
        <v>0.27698181818181822</v>
      </c>
      <c r="AA13" s="1385">
        <f t="shared" si="5"/>
        <v>0.27698181818181822</v>
      </c>
      <c r="AB13" s="1385">
        <f t="shared" si="5"/>
        <v>0.27698181818181822</v>
      </c>
      <c r="AC13" s="1385">
        <f t="shared" si="5"/>
        <v>0.27698181818181822</v>
      </c>
      <c r="AD13" s="1385">
        <f t="shared" si="5"/>
        <v>0.27698181818181822</v>
      </c>
      <c r="AE13" s="1385">
        <f t="shared" si="5"/>
        <v>0.27698181818181822</v>
      </c>
      <c r="AF13" s="1385">
        <f t="shared" si="5"/>
        <v>0.27698181818181822</v>
      </c>
      <c r="AG13" s="1385">
        <f t="shared" si="5"/>
        <v>0.27698181818181822</v>
      </c>
      <c r="AH13" s="1385">
        <f t="shared" si="5"/>
        <v>0.27698181818181822</v>
      </c>
      <c r="AI13" s="1385">
        <f t="shared" si="5"/>
        <v>0.27698181818181822</v>
      </c>
      <c r="AJ13" s="1385">
        <f t="shared" si="5"/>
        <v>0.27698181818181822</v>
      </c>
    </row>
    <row r="14" spans="1:36" ht="15">
      <c r="A14" s="3362"/>
      <c r="B14" s="2233"/>
      <c r="C14" s="2234"/>
      <c r="D14" s="2235"/>
      <c r="E14" s="2235"/>
      <c r="F14" s="2236"/>
      <c r="G14" s="2237" t="s">
        <v>2697</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7"/>
      <c r="AE14" s="3017"/>
      <c r="AF14" s="3017"/>
      <c r="AG14" s="3017"/>
      <c r="AH14" s="3017"/>
      <c r="AI14" s="3017"/>
      <c r="AJ14" s="3018"/>
    </row>
    <row r="15" spans="1:36" ht="15.75" thickBot="1">
      <c r="A15" s="3363"/>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7"/>
      <c r="AE15" s="3017"/>
      <c r="AF15" s="3017"/>
      <c r="AG15" s="3017"/>
      <c r="AH15" s="3017"/>
      <c r="AI15" s="3017"/>
      <c r="AJ15" s="3018"/>
    </row>
    <row r="16" spans="1:36" ht="24.6" customHeight="1">
      <c r="A16" s="3360" t="s">
        <v>2703</v>
      </c>
      <c r="B16" s="2210" t="s">
        <v>2704</v>
      </c>
      <c r="C16" s="2372" t="e">
        <f>ROUND(IF(F17="与级别开发程度一致",0,(G17-E17)/C17),0)</f>
        <v>#DIV/0!</v>
      </c>
      <c r="D16" s="3376" t="s">
        <v>2708</v>
      </c>
      <c r="E16" s="3377"/>
      <c r="F16" s="3376" t="s">
        <v>2705</v>
      </c>
      <c r="G16" s="3377"/>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7"/>
      <c r="AE16" s="3017"/>
      <c r="AF16" s="3017"/>
      <c r="AG16" s="3017"/>
      <c r="AH16" s="3017"/>
      <c r="AI16" s="3017"/>
      <c r="AJ16" s="3018"/>
    </row>
    <row r="17" spans="1:37" ht="13.5" thickBot="1">
      <c r="A17" s="3364"/>
      <c r="B17" s="2383" t="s">
        <v>2707</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0</v>
      </c>
      <c r="D18" s="2380"/>
      <c r="E18" s="2381"/>
      <c r="F18" s="2381"/>
      <c r="G18" s="2381"/>
      <c r="H18" s="2381"/>
      <c r="I18" s="2381"/>
      <c r="J18" s="2382"/>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6"/>
    </row>
    <row r="19" spans="1:37" s="2203" customFormat="1" ht="27.75" thickBot="1">
      <c r="A19" s="2247" t="s">
        <v>809</v>
      </c>
      <c r="B19" s="2248" t="s">
        <v>2711</v>
      </c>
      <c r="C19" s="863" t="e">
        <f>ROUND(IF(H19="按公示增长率计算",SUMPRODUCT((地价!A3:A33=YEAR(G19)&amp;"-"&amp;ROUNDUP(MONTH(G19)/3,0))*(地价!X2:AB2=E2)*(地价!X3:AB33)),IF(H19="地价指数",M20/M19,(1+I19)^O19)),4)</f>
        <v>#VALUE!</v>
      </c>
      <c r="D19" s="2252" t="s">
        <v>2712</v>
      </c>
      <c r="E19" s="864">
        <v>41640</v>
      </c>
      <c r="F19" s="2252" t="s">
        <v>2713</v>
      </c>
      <c r="G19" s="865">
        <f>'数据-取费表'!B2</f>
        <v>44306</v>
      </c>
      <c r="H19" s="2253"/>
      <c r="I19" s="866" t="str">
        <f>IF(H19="季度增幅（自定义）",SUMIF(N21:N24,E2,O21:O24),"")</f>
        <v/>
      </c>
      <c r="J19" s="2250"/>
      <c r="K19" s="1287"/>
      <c r="L19" s="2254" t="s">
        <v>2714</v>
      </c>
      <c r="M19" s="1497">
        <f>ROUND(SUMIF(地价!B2:F2,E2,地价!B33:F33),0)</f>
        <v>0</v>
      </c>
      <c r="N19" s="2255"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1"/>
      <c r="AI19" s="3020"/>
      <c r="AJ19" s="3020"/>
      <c r="AK19" s="2256"/>
    </row>
    <row r="20" spans="1:37" s="2203" customFormat="1" ht="27.75" thickBot="1">
      <c r="A20" s="2257" t="s">
        <v>810</v>
      </c>
      <c r="B20" s="2258" t="s">
        <v>2716</v>
      </c>
      <c r="C20" s="868" t="e">
        <f>ROUND(POWER(1+G20,J20-I20)*(POWER(1+G20,I20)-1)/(POWER(1+G20,J20)-1),4)</f>
        <v>#DIV/0!</v>
      </c>
      <c r="D20" s="2259" t="s">
        <v>2717</v>
      </c>
      <c r="E20" s="1506">
        <f ca="1">存贷款利率!D4/100</f>
        <v>3.85E-2</v>
      </c>
      <c r="F20" s="2259" t="s">
        <v>2709</v>
      </c>
      <c r="G20" s="873">
        <f>SUMIF(M26:P26,E2,M28:P28)</f>
        <v>0</v>
      </c>
      <c r="H20" s="2259" t="s">
        <v>2718</v>
      </c>
      <c r="I20" s="874" t="e">
        <f>SUMIF('数据-取费表'!C6:C15,E2,'数据-取费表'!F6:F15)/COUNTIF('数据-取费表'!C6:C15,E2)</f>
        <v>#DIV/0!</v>
      </c>
      <c r="J20" s="875">
        <f>IF(E2="住宅",70,IF(E2="商业",40,50))</f>
        <v>50</v>
      </c>
      <c r="K20" s="1287"/>
      <c r="L20" s="2260" t="s">
        <v>2719</v>
      </c>
      <c r="M20" s="1498">
        <f>ROUND(SUMPRODUCT((地价!A4:A33=YEAR(G19)&amp;"-"&amp;ROUNDUP(MONTH(G19)/3,0))*(地价!B2:F2=E2)*(地价!B4:F33)),0)</f>
        <v>0</v>
      </c>
      <c r="N20" s="2261" t="s">
        <v>2720</v>
      </c>
      <c r="O20" s="2262" t="s">
        <v>2721</v>
      </c>
      <c r="P20" s="2263" t="s">
        <v>2722</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3" customFormat="1" ht="15">
      <c r="A21" s="2264" t="s">
        <v>811</v>
      </c>
      <c r="B21" s="2265" t="s">
        <v>2723</v>
      </c>
      <c r="C21" s="876">
        <f>IF(B21="容积率修正",IF(G3&lt;=10,D22,J22),C23)</f>
        <v>0</v>
      </c>
      <c r="D21" s="2266"/>
      <c r="E21" s="2266"/>
      <c r="F21" s="2266"/>
      <c r="G21" s="2266"/>
      <c r="H21" s="2266"/>
      <c r="I21" s="2266"/>
      <c r="J21" s="2267"/>
      <c r="K21" s="1287"/>
      <c r="L21" s="3016"/>
      <c r="M21" s="3016"/>
      <c r="N21" s="2268" t="s">
        <v>2724</v>
      </c>
      <c r="O21" s="1335"/>
      <c r="P21" s="1336">
        <f>SUMPRODUCT((地价!A3:A33=YEAR(G19)&amp;"-"&amp;ROUNDUP(MONTH(G19)/3,0))*(地价!AD2:AH2=N21)*(地价!AD3:AH33))</f>
        <v>0</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3" customFormat="1" ht="14.25">
      <c r="A22" s="2142" t="s">
        <v>2725</v>
      </c>
      <c r="B22" s="2269" t="s">
        <v>2726</v>
      </c>
      <c r="C22" s="1537" t="s">
        <v>2727</v>
      </c>
      <c r="D22" s="1537">
        <f>IF(E22=G22,F22,IF(G3&lt;=10,ROUND(F22+(H22-F22)*(G3-E22)/(G22-E22),4),"——"))</f>
        <v>0</v>
      </c>
      <c r="E22" s="855">
        <f>ROUNDDOWN(G3,1)</f>
        <v>2.7</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2.8000000000000003</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7" t="str">
        <f>IF(G3&gt;10,D113,"——")</f>
        <v>——</v>
      </c>
      <c r="K22" s="1287"/>
      <c r="L22" s="3016"/>
      <c r="M22" s="3016"/>
      <c r="N22" s="2268" t="s">
        <v>2728</v>
      </c>
      <c r="O22" s="1335"/>
      <c r="P22" s="1336">
        <f>SUMPRODUCT((地价!A3:A33=YEAR(G19)&amp;"-"&amp;ROUNDUP(MONTH(G19)/3,0))*(地价!AD2:AH2=N22)*(地价!AD3:AH33))</f>
        <v>0</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SUMPRODUCT((地价!A3:A33=YEAR(G19)&amp;"-"&amp;ROUNDUP(MONTH(G19)/3,0))*(地价!AD2:AH2=N23)*(地价!AD3:AH33))</f>
        <v>0</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0</v>
      </c>
      <c r="D24" s="2249"/>
      <c r="E24" s="2276"/>
      <c r="F24" s="2276"/>
      <c r="G24" s="2276"/>
      <c r="H24" s="2276"/>
      <c r="I24" s="2276"/>
      <c r="J24" s="2277"/>
      <c r="K24" s="1287"/>
      <c r="L24" s="3016"/>
      <c r="M24" s="3016"/>
      <c r="N24" s="2278" t="s">
        <v>2733</v>
      </c>
      <c r="O24" s="1337"/>
      <c r="P24" s="1338">
        <f>SUMPRODUCT((地价!A3:A33=YEAR(G19)&amp;"-"&amp;ROUNDUP(MONTH(G19)/3,0))*(地价!AD2:AH2=N24)*(地价!AD3:AH33))</f>
        <v>0</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7" t="s">
        <v>813</v>
      </c>
      <c r="B25" s="2279" t="s">
        <v>2734</v>
      </c>
      <c r="C25" s="869"/>
      <c r="D25" s="2213"/>
      <c r="E25" s="2213"/>
      <c r="F25" s="2280"/>
      <c r="G25" s="2213"/>
      <c r="H25" s="2213"/>
      <c r="I25" s="2213"/>
      <c r="J25" s="2214"/>
      <c r="K25" s="1280"/>
      <c r="L25" s="2184"/>
      <c r="M25" s="2184"/>
      <c r="N25" s="3011" t="s">
        <v>2735</v>
      </c>
      <c r="O25" s="3012"/>
      <c r="P25" s="3013">
        <f>SUMPRODUCT((地价!A3:A33=YEAR(G19)&amp;"-"&amp;ROUNDUP(MONTH(G19)/3,0))*(地价!AD2:AH2=N25)*(地价!AD3:AH33))</f>
        <v>0</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3" t="e">
        <f>IF(B21="容积率修正",E29+SUM(E33:E39),SUM(V2:V16)+SUM(E33:E39))</f>
        <v>#DIV/0!</v>
      </c>
      <c r="D26" s="2282"/>
      <c r="E26" s="2238"/>
      <c r="F26" s="2283"/>
      <c r="G26" s="2238"/>
      <c r="H26" s="2238"/>
      <c r="I26" s="2238"/>
      <c r="J26" s="2284"/>
      <c r="K26" s="1280"/>
      <c r="L26" s="3014" t="s">
        <v>2634</v>
      </c>
      <c r="M26" s="2211" t="s">
        <v>2699</v>
      </c>
      <c r="N26" s="2211" t="s">
        <v>2700</v>
      </c>
      <c r="O26" s="2211" t="s">
        <v>2701</v>
      </c>
      <c r="P26" s="3015"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t="e">
        <f>E30+SUM(I33:I39)</f>
        <v>#DIV/0!</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t="e">
        <f>ROUND(C5*C18*C19*C20*C21*C24,0)</f>
        <v>#DIV/0!</v>
      </c>
      <c r="D29" s="2297"/>
      <c r="E29" s="879" t="e">
        <f>ROUND(C29*D29/10000,0)</f>
        <v>#DIV/0!</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t="e">
        <f>ROUND(IF(E2="工业",C29*M39,C29*M38),0)</f>
        <v>#DIV/0!</v>
      </c>
      <c r="D30" s="2303"/>
      <c r="E30" s="879" t="e">
        <f>ROUND(C30*D30/10000,0)</f>
        <v>#DIV/0!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73"/>
      <c r="B33" s="2313" t="s">
        <v>2750</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78"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74"/>
      <c r="B34" s="2230" t="s">
        <v>2751</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74"/>
      <c r="B35" s="2230" t="s">
        <v>2752</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7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75"/>
      <c r="B36" s="2230" t="s">
        <v>2753</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75"/>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6"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t="e">
        <f>ROUND(POWER(1+E41,H41-G41)*(POWER(1+E41,G41)-1)/(POWER(1+E41,H41)-1),4)</f>
        <v>#DIV/0!</v>
      </c>
      <c r="D41" s="176" t="s">
        <v>2709</v>
      </c>
      <c r="E41" s="2370">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2761</v>
      </c>
      <c r="B47" s="1536" t="s">
        <v>2762</v>
      </c>
      <c r="C47" s="1536" t="s">
        <v>2763</v>
      </c>
      <c r="D47" s="1536" t="s">
        <v>2764</v>
      </c>
      <c r="E47" s="758" t="s">
        <v>2765</v>
      </c>
      <c r="F47" s="2331" t="s">
        <v>2766</v>
      </c>
      <c r="G47" s="1536" t="s">
        <v>754</v>
      </c>
      <c r="H47" s="2332" t="s">
        <v>2767</v>
      </c>
      <c r="I47" s="1536"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2777</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2780</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2761</v>
      </c>
      <c r="B58" s="1536"/>
      <c r="C58" s="1536" t="s">
        <v>2763</v>
      </c>
      <c r="D58" s="1536" t="s">
        <v>2764</v>
      </c>
      <c r="E58" s="758" t="s">
        <v>2765</v>
      </c>
      <c r="F58" s="2331" t="s">
        <v>2781</v>
      </c>
      <c r="G58" s="1536" t="s">
        <v>754</v>
      </c>
      <c r="H58" s="2332" t="s">
        <v>2767</v>
      </c>
      <c r="I58" s="1536"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0" t="s">
        <v>2782</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2770</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2771</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2772</v>
      </c>
      <c r="B62" s="2335" t="s">
        <v>2773</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2774</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2775</v>
      </c>
      <c r="B64" s="2336" t="s">
        <v>2776</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2777</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2778</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2779</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2761</v>
      </c>
      <c r="B69" s="1536"/>
      <c r="C69" s="1536" t="s">
        <v>2763</v>
      </c>
      <c r="D69" s="1536" t="s">
        <v>2764</v>
      </c>
      <c r="E69" s="758" t="s">
        <v>2765</v>
      </c>
      <c r="F69" s="2331" t="s">
        <v>2781</v>
      </c>
      <c r="G69" s="1536" t="s">
        <v>754</v>
      </c>
      <c r="H69" s="2332" t="s">
        <v>2767</v>
      </c>
      <c r="I69" s="1536"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0" t="s">
        <v>2784</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2770</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2771</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2785</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2777</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2778</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2775</v>
      </c>
      <c r="B76" s="2336" t="s">
        <v>2776</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2779</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2786</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2787</v>
      </c>
      <c r="B79" s="2327">
        <f>1+E81</f>
        <v>1</v>
      </c>
      <c r="C79" s="753"/>
      <c r="D79" s="753"/>
      <c r="E79" s="754"/>
      <c r="F79" s="2329"/>
      <c r="G79" s="6"/>
      <c r="H79" s="6"/>
      <c r="I79" s="6"/>
      <c r="J79" s="7"/>
      <c r="K79" s="7"/>
      <c r="L79" s="7"/>
      <c r="M79" s="7"/>
      <c r="N79" s="7"/>
      <c r="Z79" s="2185"/>
      <c r="AA79" s="2251"/>
      <c r="AG79" s="1282"/>
      <c r="AK79" s="2251"/>
    </row>
    <row r="80" spans="1:37" ht="24.75">
      <c r="A80" s="2330" t="s">
        <v>2761</v>
      </c>
      <c r="B80" s="1536"/>
      <c r="C80" s="1536" t="s">
        <v>2763</v>
      </c>
      <c r="D80" s="1536" t="s">
        <v>2764</v>
      </c>
      <c r="E80" s="758" t="s">
        <v>2765</v>
      </c>
      <c r="F80" s="2331" t="s">
        <v>2781</v>
      </c>
      <c r="G80" s="1536" t="s">
        <v>754</v>
      </c>
      <c r="H80" s="2332" t="s">
        <v>2767</v>
      </c>
      <c r="I80" s="1536" t="s">
        <v>2768</v>
      </c>
      <c r="J80" s="560" t="s">
        <v>2418</v>
      </c>
      <c r="K80" s="560" t="s">
        <v>2419</v>
      </c>
      <c r="L80" s="560" t="s">
        <v>2420</v>
      </c>
      <c r="M80" s="560" t="s">
        <v>2421</v>
      </c>
      <c r="N80" s="560" t="s">
        <v>2422</v>
      </c>
      <c r="Z80" s="2185"/>
      <c r="AA80" s="2251"/>
      <c r="AG80" s="1282"/>
      <c r="AK80" s="2251"/>
    </row>
    <row r="81" spans="1:37" ht="38.25">
      <c r="A81" s="2330" t="s">
        <v>2788</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2771</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2785</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2777</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2778</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2775</v>
      </c>
      <c r="B87" s="2336" t="s">
        <v>2789</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2790</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65" t="s">
        <v>2791</v>
      </c>
      <c r="B90" s="3365"/>
      <c r="C90" s="3365"/>
      <c r="D90" s="3365"/>
      <c r="E90" s="3365"/>
      <c r="F90" s="3365"/>
      <c r="G90" s="3365"/>
      <c r="H90" s="3365"/>
      <c r="I90" s="3365"/>
      <c r="J90" s="3365"/>
      <c r="K90" s="2344"/>
      <c r="L90" s="2344"/>
      <c r="M90" s="2344"/>
      <c r="N90" s="2344"/>
    </row>
    <row r="91" spans="1:37">
      <c r="A91" s="3367" t="s">
        <v>2792</v>
      </c>
      <c r="B91" s="3367" t="s">
        <v>2793</v>
      </c>
      <c r="C91" s="2298" t="s">
        <v>2794</v>
      </c>
      <c r="D91" s="2299"/>
      <c r="E91" s="2299"/>
      <c r="F91" s="2299"/>
      <c r="G91" s="2299"/>
      <c r="H91" s="2299"/>
      <c r="I91" s="2299"/>
      <c r="J91" s="2345"/>
      <c r="K91" s="2346"/>
      <c r="L91" s="2346"/>
      <c r="M91" s="2346"/>
      <c r="N91" s="2346"/>
    </row>
    <row r="92" spans="1:37">
      <c r="A92" s="3367"/>
      <c r="B92" s="3367"/>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8"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69"/>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69"/>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69"/>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69"/>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69"/>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69"/>
      <c r="B99" s="2347" t="s">
        <v>2677</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70"/>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68" t="s">
        <v>2796</v>
      </c>
      <c r="B101" s="2351" t="s">
        <v>2797</v>
      </c>
      <c r="C101" s="2352">
        <f>$G$3</f>
        <v>2.75</v>
      </c>
      <c r="D101" s="2352">
        <f t="shared" ref="D101:N101" si="31">$G$3</f>
        <v>2.75</v>
      </c>
      <c r="E101" s="2352">
        <f t="shared" si="31"/>
        <v>2.75</v>
      </c>
      <c r="F101" s="2352">
        <f t="shared" si="31"/>
        <v>2.75</v>
      </c>
      <c r="G101" s="2352">
        <f t="shared" si="31"/>
        <v>2.75</v>
      </c>
      <c r="H101" s="2352">
        <f t="shared" si="31"/>
        <v>2.75</v>
      </c>
      <c r="I101" s="2352">
        <f t="shared" si="31"/>
        <v>2.75</v>
      </c>
      <c r="J101" s="2352">
        <f t="shared" si="31"/>
        <v>2.75</v>
      </c>
      <c r="K101" s="2352">
        <f t="shared" si="31"/>
        <v>2.75</v>
      </c>
      <c r="L101" s="2352">
        <f t="shared" si="31"/>
        <v>2.75</v>
      </c>
      <c r="M101" s="2352">
        <f t="shared" si="31"/>
        <v>2.75</v>
      </c>
      <c r="N101" s="2352">
        <f t="shared" si="31"/>
        <v>2.75</v>
      </c>
    </row>
    <row r="102" spans="1:14">
      <c r="A102" s="3369"/>
      <c r="B102" s="2347">
        <v>1</v>
      </c>
      <c r="C102" s="2348">
        <f>1.9362/C101</f>
        <v>0.70407272727272729</v>
      </c>
      <c r="D102" s="2348">
        <f>1.9362/D101</f>
        <v>0.70407272727272729</v>
      </c>
      <c r="E102" s="2348">
        <f>1.8629/E101</f>
        <v>0.67741818181818181</v>
      </c>
      <c r="F102" s="2348">
        <f>1.8629/F101</f>
        <v>0.67741818181818181</v>
      </c>
      <c r="G102" s="2348">
        <f>1.8629/G101</f>
        <v>0.67741818181818181</v>
      </c>
      <c r="H102" s="2348">
        <f>1.8629/H101</f>
        <v>0.67741818181818181</v>
      </c>
      <c r="I102" s="2348">
        <f>1.8629/I101</f>
        <v>0.67741818181818181</v>
      </c>
      <c r="J102" s="2348">
        <f>1.942/J101</f>
        <v>0.70618181818181813</v>
      </c>
      <c r="K102" s="2348">
        <f>1.942/K101</f>
        <v>0.70618181818181813</v>
      </c>
      <c r="L102" s="2348">
        <f>1.942/L101</f>
        <v>0.70618181818181813</v>
      </c>
      <c r="M102" s="2348">
        <f>1.942/M101</f>
        <v>0.70618181818181813</v>
      </c>
      <c r="N102" s="2348">
        <f>1.942/N101</f>
        <v>0.70618181818181813</v>
      </c>
    </row>
    <row r="103" spans="1:14">
      <c r="A103" s="3369"/>
      <c r="B103" s="2347">
        <v>2</v>
      </c>
      <c r="C103" s="2348">
        <f>1.4198/C101</f>
        <v>0.51629090909090902</v>
      </c>
      <c r="D103" s="2348">
        <f>1.4198/D101</f>
        <v>0.51629090909090902</v>
      </c>
      <c r="E103" s="2348">
        <f>1.3372/E101</f>
        <v>0.48625454545454544</v>
      </c>
      <c r="F103" s="2348">
        <f>1.3372/F101</f>
        <v>0.48625454545454544</v>
      </c>
      <c r="G103" s="2348">
        <f>1.3372/G101</f>
        <v>0.48625454545454544</v>
      </c>
      <c r="H103" s="2348">
        <f>1.3372/H101</f>
        <v>0.48625454545454544</v>
      </c>
      <c r="I103" s="2348">
        <f>1.3372/I101</f>
        <v>0.48625454545454544</v>
      </c>
      <c r="J103" s="2348">
        <f>1.2799/J101</f>
        <v>0.46541818181818184</v>
      </c>
      <c r="K103" s="2348">
        <f>1.2799/K101</f>
        <v>0.46541818181818184</v>
      </c>
      <c r="L103" s="2348">
        <f>1.2799/L101</f>
        <v>0.46541818181818184</v>
      </c>
      <c r="M103" s="2348">
        <f>1.2799/M101</f>
        <v>0.46541818181818184</v>
      </c>
      <c r="N103" s="2348">
        <f>1.2799/N101</f>
        <v>0.46541818181818184</v>
      </c>
    </row>
    <row r="104" spans="1:14">
      <c r="A104" s="3369"/>
      <c r="B104" s="2347">
        <v>3</v>
      </c>
      <c r="C104" s="2348">
        <f>1.1594/C101</f>
        <v>0.42159999999999997</v>
      </c>
      <c r="D104" s="2348">
        <f>1.1594/D101</f>
        <v>0.42159999999999997</v>
      </c>
      <c r="E104" s="2348">
        <f>1.0788/E101</f>
        <v>0.39229090909090908</v>
      </c>
      <c r="F104" s="2348">
        <f>1.0788/F101</f>
        <v>0.39229090909090908</v>
      </c>
      <c r="G104" s="2348">
        <f>1.0788/G101</f>
        <v>0.39229090909090908</v>
      </c>
      <c r="H104" s="2348">
        <f>1.0788/H101</f>
        <v>0.39229090909090908</v>
      </c>
      <c r="I104" s="2348">
        <f>1.0788/I101</f>
        <v>0.39229090909090908</v>
      </c>
      <c r="J104" s="2348">
        <f>1.0072/J101</f>
        <v>0.3662545454545455</v>
      </c>
      <c r="K104" s="2348">
        <f>1.0072/K101</f>
        <v>0.3662545454545455</v>
      </c>
      <c r="L104" s="2348">
        <f>1.0072/L101</f>
        <v>0.3662545454545455</v>
      </c>
      <c r="M104" s="2348">
        <f>1.0072/M101</f>
        <v>0.3662545454545455</v>
      </c>
      <c r="N104" s="2348">
        <f>1.0072/N101</f>
        <v>0.3662545454545455</v>
      </c>
    </row>
    <row r="105" spans="1:14">
      <c r="A105" s="3369"/>
      <c r="B105" s="2347">
        <v>4</v>
      </c>
      <c r="C105" s="2348">
        <f>0.9622/C101</f>
        <v>0.34989090909090909</v>
      </c>
      <c r="D105" s="2348">
        <f>0.9622/D101</f>
        <v>0.34989090909090909</v>
      </c>
      <c r="E105" s="2348">
        <f>0.8656/E101</f>
        <v>0.31476363636363636</v>
      </c>
      <c r="F105" s="2348">
        <f>0.8656/F101</f>
        <v>0.31476363636363636</v>
      </c>
      <c r="G105" s="2348">
        <f>0.8656/G101</f>
        <v>0.31476363636363636</v>
      </c>
      <c r="H105" s="2348">
        <f>0.8656/H101</f>
        <v>0.31476363636363636</v>
      </c>
      <c r="I105" s="2348">
        <f>0.8656/I101</f>
        <v>0.31476363636363636</v>
      </c>
      <c r="J105" s="2348">
        <f>0.7525/J101</f>
        <v>0.27363636363636362</v>
      </c>
      <c r="K105" s="2348">
        <f>0.7525/K101</f>
        <v>0.27363636363636362</v>
      </c>
      <c r="L105" s="2348">
        <f>0.7525/L101</f>
        <v>0.27363636363636362</v>
      </c>
      <c r="M105" s="2348">
        <f>0.7525/M101</f>
        <v>0.27363636363636362</v>
      </c>
      <c r="N105" s="2348">
        <f>0.7525/N101</f>
        <v>0.27363636363636362</v>
      </c>
    </row>
    <row r="106" spans="1:14">
      <c r="A106" s="3369"/>
      <c r="B106" s="2347">
        <v>5</v>
      </c>
      <c r="C106" s="2348">
        <f>0.8417/C101</f>
        <v>0.30607272727272727</v>
      </c>
      <c r="D106" s="2348">
        <f>0.8417/D101</f>
        <v>0.30607272727272727</v>
      </c>
      <c r="E106" s="2348">
        <f>0.7371/E101</f>
        <v>0.26803636363636363</v>
      </c>
      <c r="F106" s="2348">
        <f>0.7371/F101</f>
        <v>0.26803636363636363</v>
      </c>
      <c r="G106" s="2348">
        <f>0.7371/G101</f>
        <v>0.26803636363636363</v>
      </c>
      <c r="H106" s="2348">
        <f>0.7371/H101</f>
        <v>0.26803636363636363</v>
      </c>
      <c r="I106" s="2348">
        <f>0.7371/I101</f>
        <v>0.26803636363636363</v>
      </c>
      <c r="J106" s="2348">
        <f>0.5659/J101</f>
        <v>0.20578181818181818</v>
      </c>
      <c r="K106" s="2348">
        <f>0.5659/K101</f>
        <v>0.20578181818181818</v>
      </c>
      <c r="L106" s="2348">
        <f>0.5659/L101</f>
        <v>0.20578181818181818</v>
      </c>
      <c r="M106" s="2348">
        <f>0.5659/M101</f>
        <v>0.20578181818181818</v>
      </c>
      <c r="N106" s="2348">
        <f>0.5659/N101</f>
        <v>0.20578181818181818</v>
      </c>
    </row>
    <row r="107" spans="1:14">
      <c r="A107" s="3369"/>
      <c r="B107" s="2347">
        <v>6</v>
      </c>
      <c r="C107" s="2348">
        <f>0.7608/C101</f>
        <v>0.27665454545454549</v>
      </c>
      <c r="D107" s="2348">
        <f>0.7608/D101</f>
        <v>0.27665454545454549</v>
      </c>
      <c r="E107" s="2348">
        <f>0.6482/E101</f>
        <v>0.2357090909090909</v>
      </c>
      <c r="F107" s="2348">
        <f>0.6482/F101</f>
        <v>0.2357090909090909</v>
      </c>
      <c r="G107" s="2348">
        <f>0.6482/G101</f>
        <v>0.2357090909090909</v>
      </c>
      <c r="H107" s="2348">
        <f>0.6482/H101</f>
        <v>0.2357090909090909</v>
      </c>
      <c r="I107" s="2348">
        <f>0.6482/I101</f>
        <v>0.2357090909090909</v>
      </c>
      <c r="J107" s="2348">
        <f>0.4525/J101</f>
        <v>0.16454545454545455</v>
      </c>
      <c r="K107" s="2348">
        <f>0.4525/K101</f>
        <v>0.16454545454545455</v>
      </c>
      <c r="L107" s="2348">
        <f>0.4525/L101</f>
        <v>0.16454545454545455</v>
      </c>
      <c r="M107" s="2348">
        <f>0.4525/M101</f>
        <v>0.16454545454545455</v>
      </c>
      <c r="N107" s="2348">
        <f>0.4525/N101</f>
        <v>0.16454545454545455</v>
      </c>
    </row>
    <row r="108" spans="1:14">
      <c r="A108" s="3369"/>
      <c r="B108" s="3371" t="s">
        <v>2798</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70"/>
      <c r="B109" s="3372"/>
      <c r="C109" s="2350">
        <f>(-0.163*(C108^2)-0.59*C108+7617)*(10^(-4))/C101</f>
        <v>0.27698181818181822</v>
      </c>
      <c r="D109" s="2350">
        <f>(-0.163*(D108^2)-0.59*D108+7617)*(10^(-4))/D101</f>
        <v>0.27698181818181822</v>
      </c>
      <c r="E109" s="2350">
        <f>(-0.161*(E108^2)-7.509*E108+6533)*(10^(-4))/E101</f>
        <v>0.23756363636363637</v>
      </c>
      <c r="F109" s="2350">
        <f>(-0.161*(F108^2)-7.509*F108+6533)*(10^(-4))/F101</f>
        <v>0.23756363636363637</v>
      </c>
      <c r="G109" s="2350">
        <f>(-0.161*(G108^2)-7.509*G108+6533)*(10^(-4))/G101</f>
        <v>0.23756363636363637</v>
      </c>
      <c r="H109" s="2350">
        <f>(-0.161*(H108^2)-7.509*H108+6533)*(10^(-4))/H101</f>
        <v>0.23756363636363637</v>
      </c>
      <c r="I109" s="2350">
        <f>(-0.161*(I108^2)-7.509*I108+6533)*(10^(-4))/I101</f>
        <v>0.23756363636363637</v>
      </c>
      <c r="J109" s="2350">
        <f>(-0.214*(J108^2)-21.991*J108+4665)*(10^(-4))/J101</f>
        <v>0.16963636363636364</v>
      </c>
      <c r="K109" s="2350">
        <f>(-0.214*(K108^2)-21.991*K108+4665)*(10^(-4))/K101</f>
        <v>0.16963636363636364</v>
      </c>
      <c r="L109" s="2350">
        <f>(-0.214*(L108^2)-21.991*L108+4665)*(10^(-4))/L101</f>
        <v>0.16963636363636364</v>
      </c>
      <c r="M109" s="2350">
        <f>(-0.214*(M108^2)-21.991*M108+4665)*(10^(-4))/M101</f>
        <v>0.16963636363636364</v>
      </c>
      <c r="N109" s="2350">
        <f>(-0.214*(N108^2)-21.991*N108+4665)*(10^(-4))/N101</f>
        <v>0.16963636363636364</v>
      </c>
    </row>
    <row r="110" spans="1:14">
      <c r="A110" s="3366" t="s">
        <v>2799</v>
      </c>
      <c r="B110" s="3366"/>
      <c r="C110" s="3366"/>
      <c r="D110" s="3366"/>
      <c r="E110" s="3366"/>
      <c r="F110" s="3366"/>
      <c r="G110" s="3366"/>
      <c r="H110" s="3366"/>
      <c r="I110" s="3366"/>
      <c r="J110" s="3366"/>
      <c r="K110" s="2353"/>
      <c r="L110" s="2353"/>
      <c r="M110" s="2353"/>
      <c r="N110" s="2353"/>
    </row>
    <row r="112" spans="1:14" ht="13.5" thickBot="1"/>
    <row r="113" spans="1:13" ht="25.5" thickBot="1">
      <c r="A113" s="842" t="s">
        <v>2800</v>
      </c>
      <c r="B113" s="1197">
        <f>G3</f>
        <v>2.75</v>
      </c>
      <c r="C113" s="843" t="s">
        <v>2801</v>
      </c>
      <c r="D113" s="844">
        <f>SUMPRODUCT((A115:A118=F113)*(B114:M114=H113)*B115:M118)</f>
        <v>0</v>
      </c>
      <c r="E113" s="2189" t="s">
        <v>2634</v>
      </c>
      <c r="F113" s="2355">
        <f>E2</f>
        <v>0</v>
      </c>
      <c r="G113" s="2189" t="s">
        <v>2635</v>
      </c>
      <c r="H113" s="2355">
        <f>G2</f>
        <v>0</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2699</v>
      </c>
      <c r="B115" s="849">
        <f>ROUND(0.9335-0.0094*B113,4)</f>
        <v>0.90769999999999995</v>
      </c>
      <c r="C115" s="849">
        <f>B115</f>
        <v>0.90769999999999995</v>
      </c>
      <c r="D115" s="849">
        <f>ROUND(0.8331-0.0109*B113,4)</f>
        <v>0.80310000000000004</v>
      </c>
      <c r="E115" s="849">
        <f>D115</f>
        <v>0.80310000000000004</v>
      </c>
      <c r="F115" s="849">
        <f>E115</f>
        <v>0.80310000000000004</v>
      </c>
      <c r="G115" s="849">
        <f>F115</f>
        <v>0.80310000000000004</v>
      </c>
      <c r="H115" s="849">
        <f>G115</f>
        <v>0.80310000000000004</v>
      </c>
      <c r="I115" s="849">
        <f>ROUND(0.689-0.0155*B113,4)</f>
        <v>0.64639999999999997</v>
      </c>
      <c r="J115" s="849">
        <f t="shared" ref="J115:M118" si="33">I115</f>
        <v>0.64639999999999997</v>
      </c>
      <c r="K115" s="849">
        <f t="shared" si="33"/>
        <v>0.64639999999999997</v>
      </c>
      <c r="L115" s="849">
        <f t="shared" si="33"/>
        <v>0.64639999999999997</v>
      </c>
      <c r="M115" s="850">
        <f t="shared" si="33"/>
        <v>0.64639999999999997</v>
      </c>
    </row>
    <row r="116" spans="1:13">
      <c r="A116" s="848" t="s">
        <v>2700</v>
      </c>
      <c r="B116" s="849">
        <f>ROUND(0.949-0.012*B113,4)</f>
        <v>0.91600000000000004</v>
      </c>
      <c r="C116" s="849">
        <f>B116</f>
        <v>0.91600000000000004</v>
      </c>
      <c r="D116" s="849">
        <f>ROUND(0.8567-0.013*B113,4)</f>
        <v>0.82099999999999995</v>
      </c>
      <c r="E116" s="849">
        <f t="shared" ref="E116:H117" si="34">D116</f>
        <v>0.82099999999999995</v>
      </c>
      <c r="F116" s="849">
        <f t="shared" si="34"/>
        <v>0.82099999999999995</v>
      </c>
      <c r="G116" s="849">
        <f t="shared" si="34"/>
        <v>0.82099999999999995</v>
      </c>
      <c r="H116" s="849">
        <f t="shared" si="34"/>
        <v>0.82099999999999995</v>
      </c>
      <c r="I116" s="849">
        <f>ROUND(0.7694-0.014*B113,4)</f>
        <v>0.73089999999999999</v>
      </c>
      <c r="J116" s="849">
        <f t="shared" si="33"/>
        <v>0.73089999999999999</v>
      </c>
      <c r="K116" s="849">
        <f t="shared" si="33"/>
        <v>0.73089999999999999</v>
      </c>
      <c r="L116" s="849">
        <f t="shared" si="33"/>
        <v>0.73089999999999999</v>
      </c>
      <c r="M116" s="850">
        <f t="shared" si="33"/>
        <v>0.73089999999999999</v>
      </c>
    </row>
    <row r="117" spans="1:13">
      <c r="A117" s="848" t="s">
        <v>2701</v>
      </c>
      <c r="B117" s="849">
        <f>ROUND(0.8808-0.006*B113,4)</f>
        <v>0.86429999999999996</v>
      </c>
      <c r="C117" s="849">
        <f>B117</f>
        <v>0.86429999999999996</v>
      </c>
      <c r="D117" s="849">
        <f>ROUND(0.8748-0.008*B113,4)</f>
        <v>0.8528</v>
      </c>
      <c r="E117" s="849">
        <f t="shared" si="34"/>
        <v>0.8528</v>
      </c>
      <c r="F117" s="849">
        <f t="shared" si="34"/>
        <v>0.8528</v>
      </c>
      <c r="G117" s="849">
        <f t="shared" si="34"/>
        <v>0.8528</v>
      </c>
      <c r="H117" s="849">
        <f t="shared" si="34"/>
        <v>0.8528</v>
      </c>
      <c r="I117" s="849">
        <f>ROUND(0.7412-0.0095*B113,4)</f>
        <v>0.71509999999999996</v>
      </c>
      <c r="J117" s="849">
        <f t="shared" si="33"/>
        <v>0.71509999999999996</v>
      </c>
      <c r="K117" s="849">
        <f t="shared" si="33"/>
        <v>0.71509999999999996</v>
      </c>
      <c r="L117" s="849">
        <f t="shared" si="33"/>
        <v>0.71509999999999996</v>
      </c>
      <c r="M117" s="850">
        <f t="shared" si="33"/>
        <v>0.71509999999999996</v>
      </c>
    </row>
    <row r="118" spans="1:13" ht="13.5" thickBot="1">
      <c r="A118" s="670" t="s">
        <v>2702</v>
      </c>
      <c r="B118" s="851">
        <f>ROUND(0.7275-0.01*B113,4)</f>
        <v>0.7</v>
      </c>
      <c r="C118" s="851">
        <f>B118</f>
        <v>0.7</v>
      </c>
      <c r="D118" s="851">
        <f>ROUND(0.7043-0.012*B113,4)</f>
        <v>0.67130000000000001</v>
      </c>
      <c r="E118" s="851">
        <f>D118</f>
        <v>0.67130000000000001</v>
      </c>
      <c r="F118" s="851">
        <f>E118</f>
        <v>0.67130000000000001</v>
      </c>
      <c r="G118" s="851">
        <f>ROUND(0.6299-0.0122*B113,4)</f>
        <v>0.59640000000000004</v>
      </c>
      <c r="H118" s="851">
        <f>G118</f>
        <v>0.59640000000000004</v>
      </c>
      <c r="I118" s="851">
        <f>ROUND(0.5667-0.0136*B113,4)</f>
        <v>0.52929999999999999</v>
      </c>
      <c r="J118" s="851">
        <f t="shared" si="33"/>
        <v>0.52929999999999999</v>
      </c>
      <c r="K118" s="851">
        <f t="shared" si="33"/>
        <v>0.52929999999999999</v>
      </c>
      <c r="L118" s="851">
        <f t="shared" si="33"/>
        <v>0.52929999999999999</v>
      </c>
      <c r="M118" s="852">
        <f t="shared" si="33"/>
        <v>0.52929999999999999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2822</v>
      </c>
      <c r="B1" s="2364"/>
      <c r="C1" s="2364"/>
      <c r="D1" s="2364"/>
      <c r="E1" s="2364"/>
      <c r="F1" s="3021"/>
      <c r="G1" s="3021"/>
      <c r="H1" s="3021"/>
      <c r="I1" s="3021"/>
      <c r="J1" s="3021"/>
      <c r="K1" s="3021"/>
      <c r="L1" s="3021"/>
      <c r="M1" s="3021"/>
      <c r="N1" s="3021"/>
      <c r="O1" s="3021"/>
      <c r="P1" s="3021"/>
    </row>
    <row r="2" spans="1:16" ht="15.75">
      <c r="A2" s="2362" t="s">
        <v>2814</v>
      </c>
      <c r="B2" s="2826" t="e">
        <f ca="1">SUMIF(B6:B13,"&lt;&gt;#ref!",B6:B13)</f>
        <v>#DIV/0!</v>
      </c>
      <c r="C2" s="2362" t="s">
        <v>2815</v>
      </c>
      <c r="D2" s="2362" t="s">
        <v>2816</v>
      </c>
      <c r="E2" s="2836">
        <f ca="1">SUMIF(E6:E13,"&lt;&gt;#ref!",E6:E13)</f>
        <v>0</v>
      </c>
      <c r="F2" s="3021"/>
      <c r="G2" s="3021"/>
      <c r="H2" s="3021"/>
      <c r="I2" s="3021"/>
      <c r="J2" s="3021"/>
      <c r="K2" s="3021"/>
      <c r="L2" s="3021"/>
      <c r="M2" s="3021"/>
      <c r="N2" s="3021"/>
      <c r="O2" s="3021"/>
      <c r="P2" s="3021"/>
    </row>
    <row r="3" spans="1:16" ht="15.75">
      <c r="A3" s="2362" t="s">
        <v>2817</v>
      </c>
      <c r="B3" s="2826" t="e">
        <f ca="1">ROUND(B2*10000/E2,0)</f>
        <v>#DIV/0!</v>
      </c>
      <c r="C3" s="2362" t="s">
        <v>2823</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2818</v>
      </c>
      <c r="B5" s="2834" t="s">
        <v>2819</v>
      </c>
      <c r="C5" s="2363"/>
      <c r="D5" s="3021"/>
      <c r="E5" s="2835" t="s">
        <v>2820</v>
      </c>
      <c r="F5" s="3021"/>
      <c r="G5" s="3021"/>
      <c r="H5" s="3021"/>
      <c r="I5" s="3021"/>
      <c r="J5" s="3021"/>
      <c r="K5" s="3021"/>
      <c r="L5" s="3021"/>
      <c r="M5" s="3021"/>
      <c r="N5" s="3021"/>
      <c r="O5" s="3021"/>
      <c r="P5" s="3021"/>
    </row>
    <row r="6" spans="1:16" ht="15.75">
      <c r="A6" s="2833" t="s">
        <v>2821</v>
      </c>
      <c r="B6" s="2826" t="e">
        <f ca="1">SUMIF(INDIRECT("'"&amp;A6&amp;"'"&amp;"!A:A"),"总价",INDIRECT("'"&amp;A6&amp;"'"&amp;"!B:B"))</f>
        <v>#DIV/0!</v>
      </c>
      <c r="C6" s="2362" t="s">
        <v>2815</v>
      </c>
      <c r="D6" s="3021"/>
      <c r="E6" s="2836">
        <f ca="1">SUMIF(INDIRECT("'"&amp;A6&amp;"'"&amp;"!C:C"),"建筑面积",INDIRECT("'"&amp;A6&amp;"'"&amp;"!D:D"))</f>
        <v>0</v>
      </c>
      <c r="F6" s="3021"/>
      <c r="G6" s="3021"/>
      <c r="H6" s="3021"/>
      <c r="I6" s="3021"/>
      <c r="J6" s="3021"/>
      <c r="K6" s="3021"/>
      <c r="L6" s="3021"/>
      <c r="M6" s="3021"/>
      <c r="N6" s="3021"/>
      <c r="O6" s="3021"/>
      <c r="P6" s="3021"/>
    </row>
    <row r="7" spans="1:16" ht="15.75">
      <c r="A7" s="2833"/>
      <c r="B7" s="2826" t="e">
        <f ca="1">SUMIF(INDIRECT("'"&amp;A7&amp;"'"&amp;"!A:A"),"总价",INDIRECT("'"&amp;A7&amp;"'"&amp;"!B:B"))</f>
        <v>#REF!</v>
      </c>
      <c r="C7" s="2362" t="s">
        <v>2815</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2" t="s">
        <v>2815</v>
      </c>
      <c r="D8" s="3021"/>
      <c r="E8" s="2836" t="e">
        <f t="shared" ca="1" si="0"/>
        <v>#REF!</v>
      </c>
      <c r="F8" s="3021"/>
      <c r="G8" s="3021"/>
      <c r="H8" s="3021"/>
      <c r="I8" s="3021"/>
      <c r="J8" s="3021"/>
      <c r="K8" s="3021"/>
      <c r="L8" s="3021"/>
      <c r="M8" s="3021"/>
      <c r="N8" s="3021"/>
      <c r="O8" s="3021"/>
      <c r="P8" s="3021"/>
    </row>
    <row r="9" spans="1:16" ht="15.75">
      <c r="A9" s="2833"/>
      <c r="B9" s="2826" t="e">
        <f t="shared" ca="1" si="1"/>
        <v>#REF!</v>
      </c>
      <c r="C9" s="2362" t="s">
        <v>2815</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2" t="s">
        <v>2815</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2" t="s">
        <v>2815</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2" t="s">
        <v>2815</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2" t="s">
        <v>2815</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7" sqref="I7"/>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5" t="s">
        <v>1117</v>
      </c>
      <c r="C1" s="3385"/>
      <c r="D1" s="3385"/>
      <c r="E1" s="3385"/>
      <c r="F1" s="3385"/>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0">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0">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7">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2872</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2870</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2869</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2868</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2866</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2864</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2867</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81">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2862</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81"/>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2861</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81"/>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2854</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90"/>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2852</v>
      </c>
      <c r="B18" s="2439">
        <v>439</v>
      </c>
      <c r="C18" s="2439">
        <v>327</v>
      </c>
      <c r="D18" s="2439">
        <f>C18</f>
        <v>327</v>
      </c>
      <c r="E18" s="2439">
        <v>627</v>
      </c>
      <c r="F18" s="2440">
        <v>283</v>
      </c>
      <c r="G18" s="3386">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2853</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81"/>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81"/>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90"/>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86">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81"/>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81"/>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82"/>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80">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81"/>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81"/>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82"/>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80">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81"/>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81"/>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82"/>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7">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8"/>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8"/>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9"/>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80">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81"/>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81"/>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82"/>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80">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81">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81">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82">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80">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81">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81">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82">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80">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81">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81">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82">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80">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81">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81">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82">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80">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81">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81">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82">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80">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81">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81">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82">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80">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81">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81">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82">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80">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81">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81">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82">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80">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81">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81">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82">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80">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81">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81">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82">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4" t="s">
        <v>2825</v>
      </c>
      <c r="D1" s="3395"/>
      <c r="E1" s="3395"/>
      <c r="F1" s="3395"/>
      <c r="G1" s="3395"/>
      <c r="H1" s="3395"/>
      <c r="I1" s="3395"/>
      <c r="J1" s="3395"/>
      <c r="K1" s="3395"/>
      <c r="L1" s="3395"/>
      <c r="M1" s="3395"/>
      <c r="N1" s="3395"/>
      <c r="O1" s="3395"/>
      <c r="P1" s="3395"/>
      <c r="Q1" s="3395"/>
      <c r="R1" s="3395"/>
      <c r="S1" s="3396"/>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2828</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2829</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2830</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5"/>
      <c r="F19" s="1525"/>
      <c r="G19" s="1525"/>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6"/>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1" t="s">
        <v>33</v>
      </c>
      <c r="D22" s="3392"/>
      <c r="E22" s="3392"/>
      <c r="F22" s="3392"/>
      <c r="G22" s="3392"/>
      <c r="H22" s="3392"/>
      <c r="I22" s="3392"/>
      <c r="J22" s="3392"/>
      <c r="K22" s="3392"/>
      <c r="L22" s="3392"/>
      <c r="M22" s="3392"/>
      <c r="N22" s="3392"/>
      <c r="O22" s="3392"/>
      <c r="P22" s="3392"/>
      <c r="Q22" s="3393"/>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679"/>
      <c r="B4" s="3066" t="s">
        <v>1595</v>
      </c>
      <c r="C4" s="3066"/>
      <c r="D4" s="3066"/>
      <c r="E4" s="1679"/>
    </row>
    <row r="5" spans="1:5" ht="16.5" thickTop="1">
      <c r="A5" s="1677"/>
      <c r="B5" s="3064" t="s">
        <v>1587</v>
      </c>
      <c r="C5" s="1680" t="s">
        <v>1588</v>
      </c>
      <c r="D5" s="959">
        <f ca="1">结果表!H101</f>
        <v>26505</v>
      </c>
      <c r="E5" s="1677"/>
    </row>
    <row r="6" spans="1:5" ht="15.75">
      <c r="A6" s="1677"/>
      <c r="B6" s="3064"/>
      <c r="C6" s="1680" t="s">
        <v>1589</v>
      </c>
      <c r="D6" s="959" t="str">
        <f ca="1">NUMBERSTRING(INT(D5*10000),2)&amp;"元整"</f>
        <v>贰亿陆仟伍佰零伍万元整</v>
      </c>
      <c r="E6" s="1677"/>
    </row>
    <row r="7" spans="1:5" ht="15.75">
      <c r="A7" s="1677"/>
      <c r="B7" s="3069"/>
      <c r="C7" s="1681" t="s">
        <v>1590</v>
      </c>
      <c r="D7" s="960">
        <f ca="1">结果表!H102</f>
        <v>9666</v>
      </c>
      <c r="E7" s="1677"/>
    </row>
    <row r="8" spans="1:5" ht="15.75">
      <c r="A8" s="1677"/>
      <c r="B8" s="3070" t="str">
        <f>结果表!E103</f>
        <v>2.估价师知悉的法定优先受偿款</v>
      </c>
      <c r="C8" s="1682" t="s">
        <v>1591</v>
      </c>
      <c r="D8" s="960">
        <f>结果表!H103</f>
        <v>0</v>
      </c>
      <c r="E8" s="1677"/>
    </row>
    <row r="9" spans="1:5" ht="15.75">
      <c r="A9" s="1677"/>
      <c r="B9" s="3072"/>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63" t="str">
        <f>结果表!E107</f>
        <v>3.房地产抵押价值</v>
      </c>
      <c r="C13" s="1685" t="s">
        <v>1588</v>
      </c>
      <c r="D13" s="962">
        <f ca="1">结果表!H107</f>
        <v>26505</v>
      </c>
      <c r="E13" s="1677"/>
    </row>
    <row r="14" spans="1:5" ht="15.75">
      <c r="A14" s="1677"/>
      <c r="B14" s="3064"/>
      <c r="C14" s="1680" t="s">
        <v>1589</v>
      </c>
      <c r="D14" s="959" t="str">
        <f ca="1">NUMBERSTRING(INT(D13*10000),2)&amp;"元整"</f>
        <v>贰亿陆仟伍佰零伍万元整</v>
      </c>
      <c r="E14" s="1677"/>
    </row>
    <row r="15" spans="1:5" ht="15">
      <c r="A15" s="1677"/>
      <c r="B15" s="3069"/>
      <c r="C15" s="1681" t="s">
        <v>1599</v>
      </c>
      <c r="D15" s="968">
        <f ca="1">结果表!H108</f>
        <v>9666</v>
      </c>
      <c r="E15" s="1677"/>
    </row>
    <row r="16" spans="1:5" ht="15">
      <c r="A16" s="1677"/>
      <c r="B16" s="3070" t="str">
        <f>结果表!E109</f>
        <v>——</v>
      </c>
      <c r="C16" s="1685" t="s">
        <v>1600</v>
      </c>
      <c r="D16" s="1686" t="str">
        <f>结果表!H109</f>
        <v>——</v>
      </c>
      <c r="E16" s="1677"/>
    </row>
    <row r="17" spans="1:5" ht="15.75">
      <c r="A17" s="1677"/>
      <c r="B17" s="3071"/>
      <c r="C17" s="1680" t="s">
        <v>1601</v>
      </c>
      <c r="D17" s="959" t="e">
        <f>NUMBERSTRING(INT(D16*10000),2)&amp;"元整"</f>
        <v>#VALUE!</v>
      </c>
      <c r="E17" s="1677"/>
    </row>
    <row r="18" spans="1:5" ht="15">
      <c r="A18" s="1677"/>
      <c r="B18" s="3072"/>
      <c r="C18" s="1681" t="s">
        <v>1590</v>
      </c>
      <c r="D18" s="968" t="str">
        <f>结果表!H110</f>
        <v>——</v>
      </c>
      <c r="E18" s="1677"/>
    </row>
    <row r="19" spans="1:5" ht="15.75">
      <c r="A19" s="1677"/>
      <c r="B19" s="3063" t="str">
        <f>结果表!E111</f>
        <v>4.抵押净值</v>
      </c>
      <c r="C19" s="1685" t="s">
        <v>1588</v>
      </c>
      <c r="D19" s="960">
        <f ca="1">结果表!H111</f>
        <v>24946</v>
      </c>
      <c r="E19" s="1677"/>
    </row>
    <row r="20" spans="1:5" ht="15.75">
      <c r="A20" s="1677"/>
      <c r="B20" s="3064"/>
      <c r="C20" s="1680" t="s">
        <v>1601</v>
      </c>
      <c r="D20" s="959" t="str">
        <f ca="1">NUMBERSTRING(INT(D19*10000),2)&amp;"元整"</f>
        <v>贰亿肆仟玖佰肆拾陆万元整</v>
      </c>
      <c r="E20" s="1677"/>
    </row>
    <row r="21" spans="1:5" ht="15.75" thickBot="1">
      <c r="A21" s="1677"/>
      <c r="B21" s="3065"/>
      <c r="C21" s="1687" t="s">
        <v>1599</v>
      </c>
      <c r="D21" s="969">
        <f ca="1">结果表!H112</f>
        <v>9097</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53092</v>
      </c>
      <c r="C2" s="2" t="s">
        <v>133</v>
      </c>
      <c r="D2" s="205"/>
      <c r="E2" s="205"/>
      <c r="F2" s="205"/>
      <c r="G2" s="205"/>
    </row>
    <row r="3" spans="1:7" s="206" customFormat="1" ht="18" customHeight="1" thickBot="1">
      <c r="A3" s="209" t="s">
        <v>85</v>
      </c>
      <c r="B3" s="210">
        <f ca="1">ROUND(B2*10000/'数据-汇总表'!E3,0)</f>
        <v>19361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603</v>
      </c>
      <c r="D10" s="954">
        <f>'数据-汇总表'!E6</f>
        <v>27421.7</v>
      </c>
      <c r="E10" s="231">
        <f>'数据-取费表'!B28</f>
        <v>220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548</v>
      </c>
      <c r="D19" s="958">
        <f>'数据-汇总表'!E3</f>
        <v>27421.7</v>
      </c>
      <c r="E19" s="217">
        <f>'数据-取费表'!B31</f>
        <v>200</v>
      </c>
      <c r="F19" s="237"/>
      <c r="G19" s="1" t="s">
        <v>1042</v>
      </c>
    </row>
    <row r="20" spans="1:7" s="220" customFormat="1" ht="13.5" customHeight="1">
      <c r="A20" s="885" t="s">
        <v>1025</v>
      </c>
      <c r="B20" s="216" t="s">
        <v>104</v>
      </c>
      <c r="C20" s="238">
        <f>ROUND((C5+C19)*F20,0)</f>
        <v>427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1918</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1850</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49</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3268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3268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29228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18458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17139</v>
      </c>
      <c r="D34" s="223"/>
      <c r="E34" s="226"/>
      <c r="F34" s="263">
        <f>IF('数据-取费表'!B24=0,1,'数据-取费表'!N16)</f>
        <v>1</v>
      </c>
      <c r="G34" s="225" t="s">
        <v>116</v>
      </c>
    </row>
    <row r="35" spans="1:7" ht="13.5" customHeight="1">
      <c r="A35" s="888" t="s">
        <v>796</v>
      </c>
      <c r="B35" s="221" t="s">
        <v>60</v>
      </c>
      <c r="C35" s="226">
        <f>ROUND(C34*F35,0)</f>
        <v>514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548</v>
      </c>
      <c r="D37" s="223">
        <f>'数据-汇总表'!E3</f>
        <v>27421.7</v>
      </c>
      <c r="E37" s="255">
        <f>'数据-取费表'!B35</f>
        <v>200</v>
      </c>
      <c r="F37" s="265"/>
      <c r="G37" s="267" t="s">
        <v>119</v>
      </c>
    </row>
    <row r="38" spans="1:7" ht="13.5" customHeight="1">
      <c r="A38" s="888" t="s">
        <v>799</v>
      </c>
      <c r="B38" s="221" t="s">
        <v>63</v>
      </c>
      <c r="C38" s="226">
        <f>ROUND(C34*F38,0)</f>
        <v>257</v>
      </c>
      <c r="D38" s="226"/>
      <c r="E38" s="226"/>
      <c r="F38" s="265">
        <f>'数据-取费表'!B36</f>
        <v>1.4999999999999999E-2</v>
      </c>
      <c r="G38" s="225" t="s">
        <v>117</v>
      </c>
    </row>
    <row r="39" spans="1:7" s="220" customFormat="1" ht="13.5" customHeight="1">
      <c r="A39" s="885" t="s">
        <v>783</v>
      </c>
      <c r="B39" s="216" t="s">
        <v>104</v>
      </c>
      <c r="C39" s="238">
        <f>ROUND(C33*F20,0)</f>
        <v>369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819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803</v>
      </c>
      <c r="D42" s="244"/>
      <c r="E42" s="244"/>
      <c r="F42" s="245"/>
      <c r="G42" s="3251" t="s">
        <v>121</v>
      </c>
    </row>
    <row r="43" spans="1:7" ht="13.5" customHeight="1">
      <c r="A43" s="888" t="s">
        <v>792</v>
      </c>
      <c r="B43" s="221" t="s">
        <v>1032</v>
      </c>
      <c r="C43" s="244">
        <f ca="1">ROUND(IF('数据-取费表'!B22&lt;=1,C39*F22*'数据-取费表'!B21/2,C39*(POWER((1+F22),'数据-取费表'!B21/2)-1)),0)</f>
        <v>16</v>
      </c>
      <c r="D43" s="244"/>
      <c r="E43" s="244"/>
      <c r="F43" s="245"/>
      <c r="G43" s="3252"/>
    </row>
    <row r="44" spans="1:7" ht="13.5" customHeight="1">
      <c r="A44" s="888" t="s">
        <v>793</v>
      </c>
      <c r="B44" s="221" t="s">
        <v>1034</v>
      </c>
      <c r="C44" s="244">
        <f ca="1">ROUND(IF('数据-取费表'!B22&lt;=1,C40*F22*'数据-取费表'!B21/2,C40*(POWER((1+F22),'数据-取费表'!B21/2)-1)),4)</f>
        <v>8.9999999999999998E-4</v>
      </c>
      <c r="D44" s="244"/>
      <c r="E44" s="244"/>
      <c r="F44" s="245"/>
      <c r="G44" s="3253"/>
    </row>
    <row r="45" spans="1:7" s="220" customFormat="1" ht="13.5" customHeight="1">
      <c r="A45" s="885" t="s">
        <v>786</v>
      </c>
      <c r="B45" s="250" t="s">
        <v>112</v>
      </c>
      <c r="C45" s="251">
        <f>C46</f>
        <v>2824</v>
      </c>
      <c r="D45" s="241">
        <f>C47</f>
        <v>3.0000000000000001E-3</v>
      </c>
      <c r="E45" s="242" t="s">
        <v>129</v>
      </c>
      <c r="F45" s="252"/>
      <c r="G45" s="253" t="s">
        <v>1040</v>
      </c>
    </row>
    <row r="46" spans="1:7" s="220" customFormat="1" ht="13.5" customHeight="1">
      <c r="A46" s="888" t="s">
        <v>794</v>
      </c>
      <c r="B46" s="254" t="s">
        <v>1033</v>
      </c>
      <c r="C46" s="255">
        <f>ROUND((C33+C39)*F27,0)</f>
        <v>2824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24351</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23864</v>
      </c>
      <c r="D51" s="238"/>
      <c r="E51" s="238"/>
      <c r="F51" s="270"/>
      <c r="G51" s="240" t="s">
        <v>64</v>
      </c>
    </row>
    <row r="52" spans="1:7" s="214" customFormat="1" ht="16.5" thickBot="1">
      <c r="A52" s="271" t="s">
        <v>65</v>
      </c>
      <c r="B52" s="272"/>
      <c r="C52" s="273">
        <f ca="1">C31+C51</f>
        <v>53092</v>
      </c>
      <c r="D52" s="272"/>
      <c r="E52" s="272"/>
      <c r="F52" s="272"/>
      <c r="G52" s="274"/>
    </row>
    <row r="55" spans="1:7" ht="15">
      <c r="B55" s="276" t="s">
        <v>66</v>
      </c>
      <c r="C55" s="277"/>
    </row>
    <row r="56" spans="1:7">
      <c r="B56" s="279" t="s">
        <v>67</v>
      </c>
      <c r="C56" s="280">
        <f ca="1">ROUND(C51/C52,3)</f>
        <v>0.44900000000000001</v>
      </c>
    </row>
    <row r="57" spans="1:7">
      <c r="B57" s="279" t="s">
        <v>68</v>
      </c>
      <c r="C57" s="281">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7" t="s">
        <v>839</v>
      </c>
      <c r="B1" s="33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44306</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8">
        <v>43941</v>
      </c>
      <c r="D13" s="3049">
        <v>3.85</v>
      </c>
      <c r="E13" s="3049">
        <v>3.85</v>
      </c>
      <c r="F13" s="3049">
        <v>3.85</v>
      </c>
      <c r="G13" s="3049">
        <v>3.85</v>
      </c>
      <c r="H13" s="3049">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4"/>
      <c r="C14" s="3045">
        <v>43881</v>
      </c>
      <c r="D14" s="3044">
        <v>4.05</v>
      </c>
      <c r="E14" s="3044">
        <v>4.05</v>
      </c>
      <c r="F14" s="3044">
        <v>4.05</v>
      </c>
      <c r="G14" s="3044">
        <v>4.05</v>
      </c>
      <c r="H14" s="3044">
        <v>4.75</v>
      </c>
      <c r="I14" s="3044"/>
      <c r="J14" s="3044"/>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4"/>
      <c r="C15" s="3045">
        <v>43789</v>
      </c>
      <c r="D15" s="3044">
        <v>4.1500000000000004</v>
      </c>
      <c r="E15" s="3044">
        <v>4.1500000000000004</v>
      </c>
      <c r="F15" s="3044">
        <v>4.1500000000000004</v>
      </c>
      <c r="G15" s="3044">
        <v>4.1500000000000004</v>
      </c>
      <c r="H15" s="3044">
        <v>4.8</v>
      </c>
      <c r="I15" s="3044"/>
      <c r="J15" s="3044"/>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4"/>
      <c r="C16" s="3045">
        <v>43728</v>
      </c>
      <c r="D16" s="3044">
        <v>4.2</v>
      </c>
      <c r="E16" s="3044">
        <v>4.2</v>
      </c>
      <c r="F16" s="3044">
        <v>4.2</v>
      </c>
      <c r="G16" s="3044">
        <v>4.2</v>
      </c>
      <c r="H16" s="3044">
        <v>4.8499999999999996</v>
      </c>
      <c r="I16" s="3044"/>
      <c r="J16" s="3044"/>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3" t="s">
        <v>3061</v>
      </c>
      <c r="C17" s="3046">
        <v>43697</v>
      </c>
      <c r="D17" s="3047">
        <v>4.25</v>
      </c>
      <c r="E17" s="3047">
        <v>4.25</v>
      </c>
      <c r="F17" s="3047">
        <v>4.25</v>
      </c>
      <c r="G17" s="3047">
        <v>4.25</v>
      </c>
      <c r="H17" s="3047">
        <v>4.8499999999999996</v>
      </c>
      <c r="I17" s="3047"/>
      <c r="J17" s="3047"/>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workbookViewId="0">
      <selection activeCell="H104" sqref="H104"/>
    </sheetView>
  </sheetViews>
  <sheetFormatPr defaultRowHeight="13.5"/>
  <cols>
    <col min="1" max="1" width="36.75" customWidth="1"/>
    <col min="8" max="8" width="16.625" customWidth="1"/>
    <col min="10" max="10" width="16.125" customWidth="1"/>
  </cols>
  <sheetData>
    <row r="1" spans="1:19" s="1407" customFormat="1">
      <c r="A1" s="1407" t="s">
        <v>3062</v>
      </c>
      <c r="B1" s="1407" t="s">
        <v>3063</v>
      </c>
      <c r="C1" s="1407" t="s">
        <v>3064</v>
      </c>
      <c r="D1" s="1407" t="s">
        <v>3065</v>
      </c>
      <c r="E1" s="1407" t="s">
        <v>3066</v>
      </c>
      <c r="F1" s="1407" t="s">
        <v>3067</v>
      </c>
      <c r="G1" s="1407" t="s">
        <v>3068</v>
      </c>
      <c r="H1" s="1407" t="s">
        <v>3069</v>
      </c>
      <c r="I1" s="1407" t="s">
        <v>3070</v>
      </c>
      <c r="J1" s="1407" t="s">
        <v>3071</v>
      </c>
      <c r="K1" s="1407" t="s">
        <v>3072</v>
      </c>
      <c r="L1" s="1407" t="s">
        <v>3073</v>
      </c>
      <c r="M1" s="1407" t="s">
        <v>3074</v>
      </c>
      <c r="O1" s="1407" t="s">
        <v>3075</v>
      </c>
      <c r="P1" s="1407" t="s">
        <v>3076</v>
      </c>
      <c r="Q1" s="1407" t="s">
        <v>3077</v>
      </c>
    </row>
    <row r="2" spans="1:19" s="1407" customFormat="1">
      <c r="A2" s="1407" t="s">
        <v>3078</v>
      </c>
      <c r="B2" s="1407" t="s">
        <v>3079</v>
      </c>
      <c r="C2" s="1407" t="s">
        <v>3080</v>
      </c>
      <c r="D2" s="1407">
        <v>34597</v>
      </c>
      <c r="E2" s="1407">
        <v>86492.5</v>
      </c>
      <c r="F2" s="1407" t="s">
        <v>3081</v>
      </c>
      <c r="G2" s="1407" t="s">
        <v>3082</v>
      </c>
      <c r="H2" s="1407" t="s">
        <v>6</v>
      </c>
      <c r="I2" s="1407" t="s">
        <v>3083</v>
      </c>
      <c r="J2" s="1407" t="s">
        <v>3083</v>
      </c>
      <c r="K2" s="1407">
        <v>4349</v>
      </c>
      <c r="L2" s="1407">
        <v>4349</v>
      </c>
      <c r="M2" s="1407">
        <v>502.81</v>
      </c>
      <c r="N2" s="1407">
        <f>ROUND(L2*10000/D2,0)</f>
        <v>1257</v>
      </c>
      <c r="O2" s="1407">
        <v>0</v>
      </c>
      <c r="P2" s="1407" t="s">
        <v>3084</v>
      </c>
      <c r="Q2" s="1407" t="s">
        <v>3085</v>
      </c>
    </row>
    <row r="3" spans="1:19" s="1407" customFormat="1">
      <c r="A3" s="1407" t="s">
        <v>3086</v>
      </c>
      <c r="B3" s="1407" t="s">
        <v>3079</v>
      </c>
      <c r="C3" s="1407" t="s">
        <v>3080</v>
      </c>
      <c r="D3" s="1407">
        <v>26905</v>
      </c>
      <c r="E3" s="1407">
        <v>75334</v>
      </c>
      <c r="F3" s="1407" t="s">
        <v>3087</v>
      </c>
      <c r="G3" s="1407" t="s">
        <v>3082</v>
      </c>
      <c r="H3" s="1407" t="s">
        <v>3088</v>
      </c>
      <c r="I3" s="1407" t="s">
        <v>3089</v>
      </c>
      <c r="J3" s="1407" t="s">
        <v>3089</v>
      </c>
      <c r="K3" s="1407">
        <v>2543</v>
      </c>
      <c r="L3" s="1407">
        <v>2543</v>
      </c>
      <c r="M3" s="1407">
        <v>337.56</v>
      </c>
      <c r="N3" s="1407">
        <f t="shared" ref="N3:N51" si="0">ROUND(L3*10000/D3,0)</f>
        <v>945</v>
      </c>
      <c r="O3" s="1407">
        <v>0</v>
      </c>
      <c r="P3" s="1407" t="s">
        <v>3090</v>
      </c>
      <c r="Q3" s="1407" t="s">
        <v>3085</v>
      </c>
    </row>
    <row r="4" spans="1:19" s="1407" customFormat="1">
      <c r="A4" s="1407" t="s">
        <v>3091</v>
      </c>
      <c r="B4" s="1407" t="s">
        <v>3079</v>
      </c>
      <c r="C4" s="1407" t="s">
        <v>3080</v>
      </c>
      <c r="D4" s="1407">
        <v>23326</v>
      </c>
      <c r="E4" s="1407">
        <v>69978</v>
      </c>
      <c r="F4" s="1407" t="s">
        <v>3092</v>
      </c>
      <c r="G4" s="1407" t="s">
        <v>3082</v>
      </c>
      <c r="H4" s="1407" t="s">
        <v>3088</v>
      </c>
      <c r="I4" s="1407" t="s">
        <v>3093</v>
      </c>
      <c r="J4" s="1407" t="s">
        <v>3093</v>
      </c>
      <c r="K4" s="1407">
        <v>2205</v>
      </c>
      <c r="L4" s="1407">
        <v>2205</v>
      </c>
      <c r="M4" s="1407">
        <v>315.10000000000002</v>
      </c>
      <c r="N4" s="1407">
        <f t="shared" si="0"/>
        <v>945</v>
      </c>
      <c r="O4" s="1407">
        <v>0</v>
      </c>
      <c r="P4" s="1407" t="s">
        <v>3094</v>
      </c>
      <c r="Q4" s="1407" t="s">
        <v>3085</v>
      </c>
    </row>
    <row r="5" spans="1:19" s="1407" customFormat="1">
      <c r="A5" s="1407" t="s">
        <v>3095</v>
      </c>
      <c r="B5" s="1407" t="s">
        <v>3079</v>
      </c>
      <c r="C5" s="1407" t="s">
        <v>3080</v>
      </c>
      <c r="D5" s="1407">
        <v>10666</v>
      </c>
      <c r="E5" s="1407">
        <v>31998</v>
      </c>
      <c r="F5" s="1407" t="s">
        <v>3092</v>
      </c>
      <c r="G5" s="1407" t="s">
        <v>3082</v>
      </c>
      <c r="H5" s="1407" t="s">
        <v>3088</v>
      </c>
      <c r="I5" s="1407" t="s">
        <v>3093</v>
      </c>
      <c r="J5" s="1407" t="s">
        <v>3093</v>
      </c>
      <c r="K5" s="1407">
        <v>1009</v>
      </c>
      <c r="L5" s="1407">
        <v>1009</v>
      </c>
      <c r="M5" s="1407">
        <v>315.32</v>
      </c>
      <c r="N5" s="1407">
        <f t="shared" si="0"/>
        <v>946</v>
      </c>
      <c r="O5" s="1407">
        <v>0</v>
      </c>
      <c r="P5" s="1407" t="s">
        <v>3096</v>
      </c>
      <c r="Q5" s="1407" t="s">
        <v>3085</v>
      </c>
    </row>
    <row r="6" spans="1:19" s="1407" customFormat="1">
      <c r="A6" s="1407" t="s">
        <v>3097</v>
      </c>
      <c r="B6" s="1407" t="s">
        <v>3079</v>
      </c>
      <c r="C6" s="1407" t="s">
        <v>3080</v>
      </c>
      <c r="D6" s="1407">
        <v>13430</v>
      </c>
      <c r="E6" s="1407">
        <v>40290</v>
      </c>
      <c r="F6" s="1407" t="s">
        <v>3092</v>
      </c>
      <c r="G6" s="1407" t="s">
        <v>3082</v>
      </c>
      <c r="H6" s="1407" t="s">
        <v>3088</v>
      </c>
      <c r="I6" s="1407" t="s">
        <v>3098</v>
      </c>
      <c r="J6" s="1407" t="s">
        <v>3098</v>
      </c>
      <c r="K6" s="1407">
        <v>1270</v>
      </c>
      <c r="L6" s="1407">
        <v>1270</v>
      </c>
      <c r="M6" s="1407">
        <v>315.2</v>
      </c>
      <c r="N6" s="1407">
        <f t="shared" si="0"/>
        <v>946</v>
      </c>
      <c r="O6" s="1407">
        <v>0</v>
      </c>
      <c r="P6" s="1407" t="s">
        <v>3099</v>
      </c>
      <c r="Q6" s="1407" t="s">
        <v>3085</v>
      </c>
    </row>
    <row r="7" spans="1:19" s="3050" customFormat="1">
      <c r="A7" s="3050" t="s">
        <v>3100</v>
      </c>
      <c r="B7" s="3050" t="s">
        <v>3079</v>
      </c>
      <c r="C7" s="3050" t="s">
        <v>3080</v>
      </c>
      <c r="D7" s="3050">
        <v>10045</v>
      </c>
      <c r="E7" s="3050">
        <v>30135</v>
      </c>
      <c r="F7" s="3050" t="s">
        <v>3092</v>
      </c>
      <c r="G7" s="3050" t="s">
        <v>3082</v>
      </c>
      <c r="H7" s="3050" t="s">
        <v>3088</v>
      </c>
      <c r="I7" s="3050" t="s">
        <v>3101</v>
      </c>
      <c r="J7" s="3050" t="s">
        <v>3101</v>
      </c>
      <c r="K7" s="3050">
        <v>950</v>
      </c>
      <c r="L7" s="3050">
        <v>1356</v>
      </c>
      <c r="M7" s="3050">
        <v>449.98</v>
      </c>
      <c r="N7" s="1407">
        <f t="shared" si="0"/>
        <v>1350</v>
      </c>
      <c r="O7" s="3050">
        <v>42.74</v>
      </c>
      <c r="P7" s="3050" t="s">
        <v>3102</v>
      </c>
      <c r="Q7" s="3050" t="s">
        <v>3085</v>
      </c>
      <c r="S7" s="3056">
        <f>ROUND(485*10000/'数据-汇总表'!D3,0)</f>
        <v>486</v>
      </c>
    </row>
    <row r="8" spans="1:19" s="1407" customFormat="1">
      <c r="A8" s="1407" t="s">
        <v>3103</v>
      </c>
      <c r="B8" s="1407" t="s">
        <v>3079</v>
      </c>
      <c r="C8" s="1407" t="s">
        <v>3080</v>
      </c>
      <c r="D8" s="1407">
        <v>13358</v>
      </c>
      <c r="E8" s="1407">
        <v>40074</v>
      </c>
      <c r="F8" s="1407" t="s">
        <v>3092</v>
      </c>
      <c r="G8" s="1407" t="s">
        <v>3082</v>
      </c>
      <c r="H8" s="1407" t="s">
        <v>3088</v>
      </c>
      <c r="I8" s="1407" t="s">
        <v>3104</v>
      </c>
      <c r="J8" s="1407" t="s">
        <v>3104</v>
      </c>
      <c r="K8" s="1407">
        <v>1263</v>
      </c>
      <c r="L8" s="1407">
        <v>1263</v>
      </c>
      <c r="M8" s="1407">
        <v>315.17</v>
      </c>
      <c r="N8" s="1407">
        <f t="shared" si="0"/>
        <v>946</v>
      </c>
      <c r="O8" s="1407">
        <v>0</v>
      </c>
      <c r="P8" s="1407" t="s">
        <v>3105</v>
      </c>
      <c r="Q8" s="1407" t="s">
        <v>3085</v>
      </c>
    </row>
    <row r="9" spans="1:19" s="1407" customFormat="1">
      <c r="A9" s="1407" t="s">
        <v>3106</v>
      </c>
      <c r="B9" s="1407" t="s">
        <v>3079</v>
      </c>
      <c r="C9" s="1407" t="s">
        <v>3080</v>
      </c>
      <c r="D9" s="1407">
        <v>6583</v>
      </c>
      <c r="E9" s="1407">
        <v>19749</v>
      </c>
      <c r="F9" s="1407" t="s">
        <v>3092</v>
      </c>
      <c r="G9" s="1407" t="s">
        <v>3082</v>
      </c>
      <c r="H9" s="1407" t="s">
        <v>3107</v>
      </c>
      <c r="I9" s="1407" t="s">
        <v>3104</v>
      </c>
      <c r="J9" s="1407" t="s">
        <v>3104</v>
      </c>
      <c r="K9" s="1407">
        <v>825</v>
      </c>
      <c r="L9" s="1407">
        <v>825</v>
      </c>
      <c r="M9" s="1407">
        <v>417.74</v>
      </c>
      <c r="N9" s="1407">
        <f t="shared" si="0"/>
        <v>1253</v>
      </c>
      <c r="O9" s="1407">
        <v>0</v>
      </c>
      <c r="P9" s="1407" t="s">
        <v>3108</v>
      </c>
      <c r="Q9" s="1407" t="s">
        <v>3085</v>
      </c>
    </row>
    <row r="10" spans="1:19" s="1407" customFormat="1">
      <c r="A10" s="1407" t="s">
        <v>3109</v>
      </c>
      <c r="B10" s="1407" t="s">
        <v>3079</v>
      </c>
      <c r="C10" s="1407" t="s">
        <v>3080</v>
      </c>
      <c r="D10" s="1407">
        <v>10008</v>
      </c>
      <c r="E10" s="1407">
        <v>30024</v>
      </c>
      <c r="F10" s="1407" t="s">
        <v>3092</v>
      </c>
      <c r="G10" s="1407" t="s">
        <v>3082</v>
      </c>
      <c r="H10" s="1407" t="s">
        <v>3088</v>
      </c>
      <c r="I10" s="1407" t="s">
        <v>3104</v>
      </c>
      <c r="J10" s="1407" t="s">
        <v>3104</v>
      </c>
      <c r="K10" s="1407">
        <v>946</v>
      </c>
      <c r="L10" s="1407">
        <v>946</v>
      </c>
      <c r="M10" s="1407">
        <v>315.07</v>
      </c>
      <c r="N10" s="1407">
        <f t="shared" si="0"/>
        <v>945</v>
      </c>
      <c r="O10" s="1407">
        <v>0</v>
      </c>
      <c r="P10" s="1407" t="s">
        <v>3110</v>
      </c>
      <c r="Q10" s="1407" t="s">
        <v>3085</v>
      </c>
    </row>
    <row r="11" spans="1:19" s="1407" customFormat="1">
      <c r="A11" s="1407" t="s">
        <v>3111</v>
      </c>
      <c r="B11" s="1407" t="s">
        <v>3079</v>
      </c>
      <c r="C11" s="1407" t="s">
        <v>3080</v>
      </c>
      <c r="D11" s="1407">
        <v>10026</v>
      </c>
      <c r="E11" s="1407">
        <v>30078</v>
      </c>
      <c r="F11" s="1407" t="s">
        <v>3092</v>
      </c>
      <c r="G11" s="1407" t="s">
        <v>3082</v>
      </c>
      <c r="H11" s="1407" t="s">
        <v>3088</v>
      </c>
      <c r="I11" s="1407" t="s">
        <v>3104</v>
      </c>
      <c r="J11" s="1407" t="s">
        <v>3104</v>
      </c>
      <c r="K11" s="1407">
        <v>948</v>
      </c>
      <c r="L11" s="1407">
        <v>948</v>
      </c>
      <c r="M11" s="1407">
        <v>315.18</v>
      </c>
      <c r="N11" s="1407">
        <f t="shared" si="0"/>
        <v>946</v>
      </c>
      <c r="O11" s="1407">
        <v>0</v>
      </c>
      <c r="P11" s="1407" t="s">
        <v>3112</v>
      </c>
      <c r="Q11" s="1407" t="s">
        <v>3085</v>
      </c>
    </row>
    <row r="12" spans="1:19" s="3050" customFormat="1">
      <c r="A12" s="3050" t="s">
        <v>3113</v>
      </c>
      <c r="B12" s="3050" t="s">
        <v>3079</v>
      </c>
      <c r="C12" s="3050" t="s">
        <v>3080</v>
      </c>
      <c r="D12" s="3050">
        <v>9790</v>
      </c>
      <c r="E12" s="3050">
        <v>29370</v>
      </c>
      <c r="F12" s="3050" t="s">
        <v>3092</v>
      </c>
      <c r="G12" s="3050" t="s">
        <v>3082</v>
      </c>
      <c r="H12" s="3050" t="s">
        <v>3088</v>
      </c>
      <c r="I12" s="3050" t="s">
        <v>3114</v>
      </c>
      <c r="J12" s="3050" t="s">
        <v>3114</v>
      </c>
      <c r="K12" s="3050">
        <v>925</v>
      </c>
      <c r="L12" s="3050">
        <v>1321</v>
      </c>
      <c r="M12" s="3050">
        <v>449.77</v>
      </c>
      <c r="N12" s="1407">
        <f t="shared" si="0"/>
        <v>1349</v>
      </c>
      <c r="O12" s="3050">
        <v>42.81</v>
      </c>
      <c r="P12" s="3050" t="s">
        <v>3115</v>
      </c>
      <c r="Q12" s="3050" t="s">
        <v>3116</v>
      </c>
    </row>
    <row r="13" spans="1:19" s="1407" customFormat="1">
      <c r="A13" s="1407" t="s">
        <v>3117</v>
      </c>
      <c r="B13" s="1407" t="s">
        <v>3079</v>
      </c>
      <c r="C13" s="1407" t="s">
        <v>3080</v>
      </c>
      <c r="D13" s="1407">
        <v>8015</v>
      </c>
      <c r="E13" s="1407">
        <v>36067.5</v>
      </c>
      <c r="F13" s="1407" t="s">
        <v>3118</v>
      </c>
      <c r="G13" s="1407" t="s">
        <v>3082</v>
      </c>
      <c r="H13" s="1407" t="s">
        <v>3119</v>
      </c>
      <c r="I13" s="1407" t="s">
        <v>3120</v>
      </c>
      <c r="J13" s="1407" t="s">
        <v>3120</v>
      </c>
      <c r="K13" s="1407">
        <v>1103</v>
      </c>
      <c r="L13" s="1407">
        <v>1103</v>
      </c>
      <c r="M13" s="1407">
        <v>305.81</v>
      </c>
      <c r="N13" s="1407">
        <f t="shared" si="0"/>
        <v>1376</v>
      </c>
      <c r="O13" s="1407">
        <v>0</v>
      </c>
      <c r="P13" s="1407" t="s">
        <v>3121</v>
      </c>
      <c r="Q13" s="1407" t="s">
        <v>3085</v>
      </c>
    </row>
    <row r="14" spans="1:19" s="1407" customFormat="1">
      <c r="A14" s="1407" t="s">
        <v>3122</v>
      </c>
      <c r="B14" s="1407" t="s">
        <v>3079</v>
      </c>
      <c r="C14" s="1407" t="s">
        <v>3080</v>
      </c>
      <c r="D14" s="1407">
        <v>7978</v>
      </c>
      <c r="E14" s="1407">
        <v>23934</v>
      </c>
      <c r="F14" s="1407" t="s">
        <v>3123</v>
      </c>
      <c r="G14" s="1407" t="s">
        <v>3082</v>
      </c>
      <c r="H14" s="1407" t="s">
        <v>3119</v>
      </c>
      <c r="I14" s="1407" t="s">
        <v>3124</v>
      </c>
      <c r="J14" s="1407" t="s">
        <v>3124</v>
      </c>
      <c r="K14" s="1407">
        <v>769</v>
      </c>
      <c r="L14" s="1407">
        <v>769</v>
      </c>
      <c r="M14" s="1407">
        <v>321.3</v>
      </c>
      <c r="N14" s="1407">
        <f t="shared" si="0"/>
        <v>964</v>
      </c>
      <c r="O14" s="1407">
        <v>0</v>
      </c>
      <c r="P14" s="1407" t="s">
        <v>3125</v>
      </c>
      <c r="Q14" s="1407" t="s">
        <v>3085</v>
      </c>
    </row>
    <row r="15" spans="1:19" s="1407" customFormat="1">
      <c r="A15" s="1407" t="s">
        <v>3126</v>
      </c>
      <c r="B15" s="1407" t="s">
        <v>3079</v>
      </c>
      <c r="C15" s="1407" t="s">
        <v>3080</v>
      </c>
      <c r="D15" s="1407">
        <v>50100</v>
      </c>
      <c r="E15" s="1407">
        <v>113226</v>
      </c>
      <c r="F15" s="1407" t="s">
        <v>3127</v>
      </c>
      <c r="G15" s="1407" t="s">
        <v>3082</v>
      </c>
      <c r="H15" s="1407" t="s">
        <v>3080</v>
      </c>
      <c r="I15" s="1407" t="s">
        <v>3128</v>
      </c>
      <c r="J15" s="1407" t="s">
        <v>3128</v>
      </c>
      <c r="K15" s="1407">
        <v>6864</v>
      </c>
      <c r="L15" s="1407">
        <v>6865</v>
      </c>
      <c r="M15" s="1407">
        <v>606.29999999999995</v>
      </c>
      <c r="N15" s="1407">
        <f t="shared" si="0"/>
        <v>1370</v>
      </c>
      <c r="O15" s="1407">
        <v>0.01</v>
      </c>
      <c r="P15" s="1407" t="s">
        <v>3129</v>
      </c>
      <c r="Q15" s="1407" t="s">
        <v>3085</v>
      </c>
    </row>
    <row r="16" spans="1:19" s="1407" customFormat="1">
      <c r="A16" s="1407" t="s">
        <v>3130</v>
      </c>
      <c r="B16" s="1407" t="s">
        <v>3079</v>
      </c>
      <c r="C16" s="1407" t="s">
        <v>3080</v>
      </c>
      <c r="D16" s="1407">
        <v>7040</v>
      </c>
      <c r="E16" s="1407">
        <v>19712</v>
      </c>
      <c r="F16" s="1407" t="s">
        <v>3131</v>
      </c>
      <c r="G16" s="1407" t="s">
        <v>3082</v>
      </c>
      <c r="H16" s="1407" t="s">
        <v>3080</v>
      </c>
      <c r="I16" s="1407" t="s">
        <v>3132</v>
      </c>
      <c r="J16" s="1407" t="s">
        <v>3132</v>
      </c>
      <c r="K16" s="1407">
        <v>678</v>
      </c>
      <c r="L16" s="1407">
        <v>678</v>
      </c>
      <c r="M16" s="1407">
        <v>343.94</v>
      </c>
      <c r="N16" s="1407">
        <f t="shared" si="0"/>
        <v>963</v>
      </c>
      <c r="O16" s="1407">
        <v>0</v>
      </c>
      <c r="P16" s="1407" t="s">
        <v>3133</v>
      </c>
      <c r="Q16" s="1407" t="s">
        <v>3085</v>
      </c>
    </row>
    <row r="17" spans="1:17" s="1407" customFormat="1">
      <c r="A17" s="1407" t="s">
        <v>3134</v>
      </c>
      <c r="B17" s="1407" t="s">
        <v>3079</v>
      </c>
      <c r="C17" s="1407" t="s">
        <v>3080</v>
      </c>
      <c r="D17" s="1407">
        <v>9333</v>
      </c>
      <c r="E17" s="1407">
        <v>26132.400000000001</v>
      </c>
      <c r="F17" s="1407" t="s">
        <v>3131</v>
      </c>
      <c r="G17" s="1407" t="s">
        <v>3082</v>
      </c>
      <c r="H17" s="1407" t="s">
        <v>3080</v>
      </c>
      <c r="I17" s="1407" t="s">
        <v>3132</v>
      </c>
      <c r="J17" s="1407" t="s">
        <v>3132</v>
      </c>
      <c r="K17" s="1407">
        <v>899</v>
      </c>
      <c r="L17" s="1407">
        <v>899</v>
      </c>
      <c r="M17" s="1407">
        <v>344.01</v>
      </c>
      <c r="N17" s="1407">
        <f t="shared" si="0"/>
        <v>963</v>
      </c>
      <c r="O17" s="1407">
        <v>0</v>
      </c>
      <c r="P17" s="1407" t="s">
        <v>3135</v>
      </c>
      <c r="Q17" s="1407" t="s">
        <v>3085</v>
      </c>
    </row>
    <row r="18" spans="1:17" s="1407" customFormat="1">
      <c r="A18" s="1407" t="s">
        <v>3136</v>
      </c>
      <c r="B18" s="1407" t="s">
        <v>3079</v>
      </c>
      <c r="C18" s="1407" t="s">
        <v>3080</v>
      </c>
      <c r="D18" s="1407">
        <v>11112</v>
      </c>
      <c r="E18" s="1407">
        <v>20001.599999999999</v>
      </c>
      <c r="F18" s="1407" t="s">
        <v>3137</v>
      </c>
      <c r="G18" s="1407" t="s">
        <v>3082</v>
      </c>
      <c r="H18" s="1407" t="s">
        <v>3080</v>
      </c>
      <c r="I18" s="1407" t="s">
        <v>3132</v>
      </c>
      <c r="J18" s="1407" t="s">
        <v>3132</v>
      </c>
      <c r="K18" s="1407">
        <v>1066</v>
      </c>
      <c r="L18" s="1407">
        <v>1066</v>
      </c>
      <c r="M18" s="1407">
        <v>532.96</v>
      </c>
      <c r="N18" s="1407">
        <f t="shared" si="0"/>
        <v>959</v>
      </c>
      <c r="O18" s="1407">
        <v>0</v>
      </c>
      <c r="P18" s="1407" t="s">
        <v>3138</v>
      </c>
      <c r="Q18" s="1407" t="s">
        <v>3085</v>
      </c>
    </row>
    <row r="19" spans="1:17" s="1407" customFormat="1">
      <c r="A19" s="1407" t="s">
        <v>3139</v>
      </c>
      <c r="B19" s="1407" t="s">
        <v>3079</v>
      </c>
      <c r="C19" s="1407" t="s">
        <v>3080</v>
      </c>
      <c r="D19" s="1407">
        <v>18658</v>
      </c>
      <c r="E19" s="1407">
        <v>37316</v>
      </c>
      <c r="F19" s="1407" t="s">
        <v>3140</v>
      </c>
      <c r="G19" s="1407" t="s">
        <v>3082</v>
      </c>
      <c r="H19" s="1407" t="s">
        <v>3080</v>
      </c>
      <c r="I19" s="1407" t="s">
        <v>3141</v>
      </c>
      <c r="J19" s="1407" t="s">
        <v>3141</v>
      </c>
      <c r="K19" s="1407">
        <v>2553</v>
      </c>
      <c r="L19" s="1407">
        <v>2553</v>
      </c>
      <c r="M19" s="1407">
        <v>684.15</v>
      </c>
      <c r="N19" s="1407">
        <f t="shared" si="0"/>
        <v>1368</v>
      </c>
      <c r="O19" s="1407">
        <v>0</v>
      </c>
      <c r="P19" s="1407" t="s">
        <v>3142</v>
      </c>
      <c r="Q19" s="1407" t="s">
        <v>3085</v>
      </c>
    </row>
    <row r="20" spans="1:17" s="1407" customFormat="1">
      <c r="A20" s="1407" t="s">
        <v>3143</v>
      </c>
      <c r="B20" s="1407" t="s">
        <v>3079</v>
      </c>
      <c r="C20" s="1407" t="s">
        <v>3080</v>
      </c>
      <c r="D20" s="1407">
        <v>10041</v>
      </c>
      <c r="E20" s="1407">
        <v>28114.799999999999</v>
      </c>
      <c r="F20" s="1407" t="s">
        <v>3131</v>
      </c>
      <c r="G20" s="1407" t="s">
        <v>3082</v>
      </c>
      <c r="H20" s="1407" t="s">
        <v>3080</v>
      </c>
      <c r="I20" s="1407" t="s">
        <v>3141</v>
      </c>
      <c r="J20" s="1407" t="s">
        <v>3141</v>
      </c>
      <c r="K20" s="1407">
        <v>967</v>
      </c>
      <c r="L20" s="1407">
        <v>967</v>
      </c>
      <c r="M20" s="1407">
        <v>343.94</v>
      </c>
      <c r="N20" s="1407">
        <f t="shared" si="0"/>
        <v>963</v>
      </c>
      <c r="O20" s="1407">
        <v>0</v>
      </c>
      <c r="P20" s="1407" t="s">
        <v>3144</v>
      </c>
      <c r="Q20" s="1407" t="s">
        <v>3085</v>
      </c>
    </row>
    <row r="21" spans="1:17" s="3050" customFormat="1">
      <c r="A21" s="3050" t="s">
        <v>3145</v>
      </c>
      <c r="B21" s="3050" t="s">
        <v>3079</v>
      </c>
      <c r="C21" s="3050" t="s">
        <v>3080</v>
      </c>
      <c r="D21" s="3050">
        <v>16667</v>
      </c>
      <c r="E21" s="3050">
        <v>46667.6</v>
      </c>
      <c r="F21" s="3050" t="s">
        <v>3131</v>
      </c>
      <c r="G21" s="3050" t="s">
        <v>3082</v>
      </c>
      <c r="H21" s="3050" t="s">
        <v>3080</v>
      </c>
      <c r="I21" s="3050" t="s">
        <v>3146</v>
      </c>
      <c r="J21" s="3050" t="s">
        <v>3146</v>
      </c>
      <c r="K21" s="3050">
        <v>2287</v>
      </c>
      <c r="L21" s="3050">
        <v>2287</v>
      </c>
      <c r="M21" s="3050">
        <v>490.06</v>
      </c>
      <c r="N21" s="1407">
        <f t="shared" si="0"/>
        <v>1372</v>
      </c>
      <c r="O21" s="3050">
        <v>0</v>
      </c>
      <c r="P21" s="3050" t="s">
        <v>3147</v>
      </c>
      <c r="Q21" s="3050" t="s">
        <v>3085</v>
      </c>
    </row>
    <row r="22" spans="1:17" s="1407" customFormat="1">
      <c r="A22" s="1407" t="s">
        <v>3148</v>
      </c>
      <c r="B22" s="1407" t="s">
        <v>3079</v>
      </c>
      <c r="C22" s="1407" t="s">
        <v>3080</v>
      </c>
      <c r="D22" s="1407">
        <v>16551</v>
      </c>
      <c r="E22" s="1407">
        <v>49653</v>
      </c>
      <c r="F22" s="1407" t="s">
        <v>3149</v>
      </c>
      <c r="G22" s="1407" t="s">
        <v>3082</v>
      </c>
      <c r="H22" s="1407" t="s">
        <v>6</v>
      </c>
      <c r="I22" s="1407" t="s">
        <v>3150</v>
      </c>
      <c r="J22" s="1407" t="s">
        <v>3150</v>
      </c>
      <c r="K22" s="1407">
        <v>1584</v>
      </c>
      <c r="L22" s="1407">
        <v>1584</v>
      </c>
      <c r="M22" s="1407">
        <v>319</v>
      </c>
      <c r="N22" s="1407">
        <f t="shared" si="0"/>
        <v>957</v>
      </c>
      <c r="O22" s="1407">
        <v>0</v>
      </c>
      <c r="P22" s="1407" t="s">
        <v>3151</v>
      </c>
      <c r="Q22" s="1407" t="s">
        <v>3085</v>
      </c>
    </row>
    <row r="23" spans="1:17" s="1407" customFormat="1">
      <c r="A23" s="1407" t="s">
        <v>3152</v>
      </c>
      <c r="B23" s="1407" t="s">
        <v>3079</v>
      </c>
      <c r="C23" s="1407" t="s">
        <v>3080</v>
      </c>
      <c r="D23" s="1407">
        <v>3302</v>
      </c>
      <c r="E23" s="1407">
        <v>6604</v>
      </c>
      <c r="F23" s="1407" t="s">
        <v>3153</v>
      </c>
      <c r="G23" s="1407" t="s">
        <v>3082</v>
      </c>
      <c r="H23" s="1407" t="s">
        <v>3080</v>
      </c>
      <c r="I23" s="1407" t="s">
        <v>3154</v>
      </c>
      <c r="J23" s="1407" t="s">
        <v>3154</v>
      </c>
      <c r="K23" s="1407">
        <v>451</v>
      </c>
      <c r="L23" s="1407">
        <v>451</v>
      </c>
      <c r="M23" s="1407">
        <v>682.91</v>
      </c>
      <c r="N23" s="1407">
        <f t="shared" si="0"/>
        <v>1366</v>
      </c>
      <c r="O23" s="1407">
        <v>0</v>
      </c>
      <c r="P23" s="1407" t="s">
        <v>3155</v>
      </c>
      <c r="Q23" s="1407" t="s">
        <v>3156</v>
      </c>
    </row>
    <row r="24" spans="1:17" s="1407" customFormat="1">
      <c r="A24" s="1407" t="s">
        <v>3157</v>
      </c>
      <c r="B24" s="1407" t="s">
        <v>3079</v>
      </c>
      <c r="C24" s="1407" t="s">
        <v>3080</v>
      </c>
      <c r="D24" s="1407">
        <v>17557</v>
      </c>
      <c r="E24" s="1407">
        <v>52671</v>
      </c>
      <c r="F24" s="1407" t="s">
        <v>3158</v>
      </c>
      <c r="G24" s="1407" t="s">
        <v>3082</v>
      </c>
      <c r="H24" s="1407" t="s">
        <v>3080</v>
      </c>
      <c r="I24" s="1407" t="s">
        <v>3159</v>
      </c>
      <c r="J24" s="1407" t="s">
        <v>3159</v>
      </c>
      <c r="K24" s="1407">
        <v>1686</v>
      </c>
      <c r="L24" s="1407">
        <v>1686</v>
      </c>
      <c r="M24" s="1407">
        <v>320.10000000000002</v>
      </c>
      <c r="N24" s="1407">
        <f t="shared" si="0"/>
        <v>960</v>
      </c>
      <c r="O24" s="1407">
        <v>0</v>
      </c>
      <c r="P24" s="1407" t="s">
        <v>3160</v>
      </c>
      <c r="Q24" s="1407" t="s">
        <v>3116</v>
      </c>
    </row>
    <row r="25" spans="1:17" s="1407" customFormat="1">
      <c r="A25" s="1407" t="s">
        <v>3161</v>
      </c>
      <c r="B25" s="1407" t="s">
        <v>3079</v>
      </c>
      <c r="C25" s="1407" t="s">
        <v>3080</v>
      </c>
      <c r="D25" s="1407">
        <v>13339</v>
      </c>
      <c r="E25" s="1407">
        <v>37349.199999999997</v>
      </c>
      <c r="F25" s="1407" t="s">
        <v>3162</v>
      </c>
      <c r="G25" s="1407" t="s">
        <v>3163</v>
      </c>
      <c r="H25" s="1407" t="s">
        <v>3080</v>
      </c>
      <c r="I25" s="1407" t="s">
        <v>3164</v>
      </c>
      <c r="J25" s="1407" t="s">
        <v>3164</v>
      </c>
      <c r="K25" s="1407">
        <v>1274</v>
      </c>
      <c r="L25" s="1407">
        <v>1274</v>
      </c>
      <c r="M25" s="1407">
        <v>341.11</v>
      </c>
      <c r="N25" s="1407">
        <f t="shared" si="0"/>
        <v>955</v>
      </c>
      <c r="O25" s="1407">
        <v>0</v>
      </c>
      <c r="P25" s="1407" t="s">
        <v>3165</v>
      </c>
      <c r="Q25" s="1407" t="s">
        <v>3085</v>
      </c>
    </row>
    <row r="26" spans="1:17" s="1407" customFormat="1">
      <c r="A26" s="1407" t="s">
        <v>3166</v>
      </c>
      <c r="B26" s="1407" t="s">
        <v>3079</v>
      </c>
      <c r="C26" s="1407" t="s">
        <v>3080</v>
      </c>
      <c r="D26" s="1407">
        <v>9992</v>
      </c>
      <c r="E26" s="1407">
        <v>27977.599999999999</v>
      </c>
      <c r="F26" s="1407" t="s">
        <v>3167</v>
      </c>
      <c r="G26" s="1407" t="s">
        <v>3082</v>
      </c>
      <c r="H26" s="1407" t="s">
        <v>3080</v>
      </c>
      <c r="I26" s="1407" t="s">
        <v>3168</v>
      </c>
      <c r="J26" s="1407" t="s">
        <v>3168</v>
      </c>
      <c r="K26" s="1407">
        <v>952</v>
      </c>
      <c r="L26" s="1407">
        <v>952</v>
      </c>
      <c r="M26" s="1407">
        <v>340.26</v>
      </c>
      <c r="N26" s="1407">
        <f t="shared" si="0"/>
        <v>953</v>
      </c>
      <c r="O26" s="1407">
        <v>0</v>
      </c>
      <c r="P26" s="1407" t="s">
        <v>3169</v>
      </c>
      <c r="Q26" s="1407" t="s">
        <v>3085</v>
      </c>
    </row>
    <row r="27" spans="1:17" s="1407" customFormat="1">
      <c r="A27" s="1407" t="s">
        <v>3170</v>
      </c>
      <c r="B27" s="1407" t="s">
        <v>3079</v>
      </c>
      <c r="C27" s="1407" t="s">
        <v>3080</v>
      </c>
      <c r="D27" s="1407">
        <v>22314</v>
      </c>
      <c r="E27" s="1407">
        <v>66942</v>
      </c>
      <c r="F27" s="1407" t="s">
        <v>3123</v>
      </c>
      <c r="G27" s="1407" t="s">
        <v>3082</v>
      </c>
      <c r="H27" s="1407" t="s">
        <v>3080</v>
      </c>
      <c r="I27" s="1407" t="s">
        <v>3168</v>
      </c>
      <c r="J27" s="1407" t="s">
        <v>3168</v>
      </c>
      <c r="K27" s="1407">
        <v>2125</v>
      </c>
      <c r="L27" s="1407">
        <v>2125</v>
      </c>
      <c r="M27" s="1407">
        <v>317.43</v>
      </c>
      <c r="N27" s="1407">
        <f t="shared" si="0"/>
        <v>952</v>
      </c>
      <c r="O27" s="1407">
        <v>0</v>
      </c>
      <c r="P27" s="1407" t="s">
        <v>3171</v>
      </c>
      <c r="Q27" s="1407" t="s">
        <v>3085</v>
      </c>
    </row>
    <row r="28" spans="1:17" s="1407" customFormat="1">
      <c r="A28" s="1407" t="s">
        <v>3172</v>
      </c>
      <c r="B28" s="1407" t="s">
        <v>3079</v>
      </c>
      <c r="C28" s="1407" t="s">
        <v>3080</v>
      </c>
      <c r="D28" s="1407">
        <v>13467</v>
      </c>
      <c r="E28" s="1407">
        <v>61948.2</v>
      </c>
      <c r="F28" s="1407" t="s">
        <v>3173</v>
      </c>
      <c r="G28" s="1407" t="s">
        <v>3082</v>
      </c>
      <c r="H28" s="1407" t="s">
        <v>3174</v>
      </c>
      <c r="I28" s="1407" t="s">
        <v>3168</v>
      </c>
      <c r="J28" s="1407" t="s">
        <v>3168</v>
      </c>
      <c r="K28" s="1407">
        <v>2728</v>
      </c>
      <c r="L28" s="1407">
        <v>2728</v>
      </c>
      <c r="M28" s="1407">
        <v>440.37</v>
      </c>
      <c r="N28" s="1407">
        <f t="shared" si="0"/>
        <v>2026</v>
      </c>
      <c r="O28" s="1407">
        <v>0</v>
      </c>
      <c r="P28" s="1407" t="s">
        <v>3175</v>
      </c>
      <c r="Q28" s="1407" t="s">
        <v>3085</v>
      </c>
    </row>
    <row r="29" spans="1:17" s="1407" customFormat="1">
      <c r="A29" s="1407" t="s">
        <v>3176</v>
      </c>
      <c r="B29" s="1407" t="s">
        <v>3079</v>
      </c>
      <c r="C29" s="1407" t="s">
        <v>3080</v>
      </c>
      <c r="D29" s="1407">
        <v>11793</v>
      </c>
      <c r="E29" s="1407">
        <v>33020.400000000001</v>
      </c>
      <c r="F29" s="1407" t="s">
        <v>3167</v>
      </c>
      <c r="G29" s="1407" t="s">
        <v>3082</v>
      </c>
      <c r="H29" s="1407" t="s">
        <v>3080</v>
      </c>
      <c r="I29" s="1407" t="s">
        <v>3177</v>
      </c>
      <c r="J29" s="1407" t="s">
        <v>3177</v>
      </c>
      <c r="K29" s="1407">
        <v>1597</v>
      </c>
      <c r="L29" s="1407">
        <v>1597</v>
      </c>
      <c r="M29" s="1407">
        <v>483.63</v>
      </c>
      <c r="N29" s="1407">
        <f t="shared" si="0"/>
        <v>1354</v>
      </c>
      <c r="O29" s="1407">
        <v>0</v>
      </c>
      <c r="P29" s="1407" t="s">
        <v>3178</v>
      </c>
      <c r="Q29" s="1407" t="s">
        <v>3085</v>
      </c>
    </row>
    <row r="30" spans="1:17" s="1407" customFormat="1">
      <c r="A30" s="1407" t="s">
        <v>3179</v>
      </c>
      <c r="B30" s="1407" t="s">
        <v>3079</v>
      </c>
      <c r="C30" s="1407" t="s">
        <v>3080</v>
      </c>
      <c r="D30" s="1407">
        <v>19981</v>
      </c>
      <c r="E30" s="1407">
        <v>55946.8</v>
      </c>
      <c r="F30" s="1407" t="s">
        <v>3167</v>
      </c>
      <c r="G30" s="1407" t="s">
        <v>3082</v>
      </c>
      <c r="H30" s="1407" t="s">
        <v>3080</v>
      </c>
      <c r="I30" s="1407" t="s">
        <v>3177</v>
      </c>
      <c r="J30" s="1407" t="s">
        <v>3177</v>
      </c>
      <c r="K30" s="1407">
        <v>2718</v>
      </c>
      <c r="L30" s="1407">
        <v>2718</v>
      </c>
      <c r="M30" s="1407">
        <v>485.81</v>
      </c>
      <c r="N30" s="1407">
        <f t="shared" si="0"/>
        <v>1360</v>
      </c>
      <c r="O30" s="1407">
        <v>0</v>
      </c>
      <c r="P30" s="1407" t="s">
        <v>3180</v>
      </c>
      <c r="Q30" s="1407" t="s">
        <v>3085</v>
      </c>
    </row>
    <row r="31" spans="1:17" s="1407" customFormat="1">
      <c r="A31" s="1407" t="s">
        <v>3181</v>
      </c>
      <c r="B31" s="1407" t="s">
        <v>3079</v>
      </c>
      <c r="C31" s="1407" t="s">
        <v>3080</v>
      </c>
      <c r="D31" s="1407">
        <v>38373</v>
      </c>
      <c r="E31" s="1407">
        <v>159248</v>
      </c>
      <c r="F31" s="1407" t="s">
        <v>3182</v>
      </c>
      <c r="G31" s="1407" t="s">
        <v>3082</v>
      </c>
      <c r="H31" s="1407" t="s">
        <v>3080</v>
      </c>
      <c r="I31" s="1407" t="s">
        <v>3183</v>
      </c>
      <c r="J31" s="1407" t="s">
        <v>3183</v>
      </c>
      <c r="K31" s="1407">
        <v>7771</v>
      </c>
      <c r="L31" s="1407">
        <v>7771</v>
      </c>
      <c r="M31" s="1407">
        <v>487.98</v>
      </c>
      <c r="N31" s="1407">
        <f t="shared" si="0"/>
        <v>2025</v>
      </c>
      <c r="O31" s="1407">
        <v>0</v>
      </c>
      <c r="P31" s="1407" t="s">
        <v>3184</v>
      </c>
      <c r="Q31" s="1407" t="s">
        <v>3085</v>
      </c>
    </row>
    <row r="32" spans="1:17" s="1407" customFormat="1">
      <c r="A32" s="1407" t="s">
        <v>3185</v>
      </c>
      <c r="B32" s="1407" t="s">
        <v>3079</v>
      </c>
      <c r="C32" s="1407" t="s">
        <v>3080</v>
      </c>
      <c r="D32" s="1407">
        <v>14394</v>
      </c>
      <c r="E32" s="1407">
        <v>25909.200000000001</v>
      </c>
      <c r="F32" s="1407" t="s">
        <v>3186</v>
      </c>
      <c r="G32" s="1407" t="s">
        <v>3082</v>
      </c>
      <c r="H32" s="1407" t="s">
        <v>3080</v>
      </c>
      <c r="I32" s="1407" t="s">
        <v>3187</v>
      </c>
      <c r="J32" s="1407" t="s">
        <v>3187</v>
      </c>
      <c r="K32" s="1407">
        <v>709</v>
      </c>
      <c r="L32" s="1407">
        <v>709</v>
      </c>
      <c r="M32" s="1407">
        <v>273.64</v>
      </c>
      <c r="N32" s="1407">
        <f t="shared" si="0"/>
        <v>493</v>
      </c>
      <c r="O32" s="1407">
        <v>0</v>
      </c>
      <c r="P32" s="1407" t="s">
        <v>3188</v>
      </c>
      <c r="Q32" s="1407" t="s">
        <v>3085</v>
      </c>
    </row>
    <row r="33" spans="1:17" s="1407" customFormat="1">
      <c r="A33" s="1407" t="s">
        <v>3189</v>
      </c>
      <c r="B33" s="1407" t="s">
        <v>3079</v>
      </c>
      <c r="C33" s="1407" t="s">
        <v>3080</v>
      </c>
      <c r="D33" s="1407">
        <v>13399</v>
      </c>
      <c r="E33" s="1407">
        <v>37517.199999999997</v>
      </c>
      <c r="F33" s="1407" t="s">
        <v>3167</v>
      </c>
      <c r="G33" s="1407" t="s">
        <v>3082</v>
      </c>
      <c r="H33" s="1407" t="s">
        <v>3080</v>
      </c>
      <c r="I33" s="1407" t="s">
        <v>3187</v>
      </c>
      <c r="J33" s="1407" t="s">
        <v>3187</v>
      </c>
      <c r="K33" s="1407">
        <v>680</v>
      </c>
      <c r="L33" s="1407">
        <v>680</v>
      </c>
      <c r="M33" s="1407">
        <v>181.25</v>
      </c>
      <c r="N33" s="1407">
        <f t="shared" si="0"/>
        <v>508</v>
      </c>
      <c r="O33" s="1407">
        <v>0</v>
      </c>
      <c r="P33" s="1407" t="s">
        <v>3190</v>
      </c>
      <c r="Q33" s="1407" t="s">
        <v>3085</v>
      </c>
    </row>
    <row r="34" spans="1:17" s="1407" customFormat="1">
      <c r="A34" s="1407" t="s">
        <v>3191</v>
      </c>
      <c r="B34" s="1407" t="s">
        <v>3079</v>
      </c>
      <c r="C34" s="1407" t="s">
        <v>3080</v>
      </c>
      <c r="D34" s="1407">
        <v>11659</v>
      </c>
      <c r="E34" s="1407">
        <v>32645.200000000001</v>
      </c>
      <c r="F34" s="1407" t="s">
        <v>3167</v>
      </c>
      <c r="G34" s="1407" t="s">
        <v>3082</v>
      </c>
      <c r="H34" s="1407" t="s">
        <v>3080</v>
      </c>
      <c r="I34" s="1407" t="s">
        <v>3192</v>
      </c>
      <c r="J34" s="1407" t="s">
        <v>3192</v>
      </c>
      <c r="K34" s="1407">
        <v>582</v>
      </c>
      <c r="L34" s="1407">
        <v>582</v>
      </c>
      <c r="M34" s="1407">
        <v>178.28</v>
      </c>
      <c r="N34" s="1407">
        <f t="shared" si="0"/>
        <v>499</v>
      </c>
      <c r="O34" s="1407">
        <v>0</v>
      </c>
      <c r="P34" s="1407" t="s">
        <v>3193</v>
      </c>
      <c r="Q34" s="1407" t="s">
        <v>3085</v>
      </c>
    </row>
    <row r="35" spans="1:17" s="1407" customFormat="1">
      <c r="A35" s="1407" t="s">
        <v>3194</v>
      </c>
      <c r="B35" s="1407" t="s">
        <v>3079</v>
      </c>
      <c r="C35" s="1407" t="s">
        <v>3080</v>
      </c>
      <c r="D35" s="1407">
        <v>7782</v>
      </c>
      <c r="E35" s="1407">
        <v>21789.599999999999</v>
      </c>
      <c r="F35" s="1407" t="s">
        <v>3167</v>
      </c>
      <c r="G35" s="1407" t="s">
        <v>3082</v>
      </c>
      <c r="H35" s="1407" t="s">
        <v>3080</v>
      </c>
      <c r="I35" s="1407" t="s">
        <v>3195</v>
      </c>
      <c r="J35" s="1407" t="s">
        <v>3195</v>
      </c>
      <c r="K35" s="1407">
        <v>738</v>
      </c>
      <c r="L35" s="1407">
        <v>738</v>
      </c>
      <c r="M35" s="1407">
        <v>338.68</v>
      </c>
      <c r="N35" s="1407">
        <f t="shared" si="0"/>
        <v>948</v>
      </c>
      <c r="O35" s="1407">
        <v>0</v>
      </c>
      <c r="P35" s="1407" t="s">
        <v>3196</v>
      </c>
      <c r="Q35" s="1407" t="s">
        <v>3085</v>
      </c>
    </row>
    <row r="36" spans="1:17" s="1407" customFormat="1">
      <c r="A36" s="1407" t="s">
        <v>3197</v>
      </c>
      <c r="B36" s="1407" t="s">
        <v>3079</v>
      </c>
      <c r="C36" s="1407" t="s">
        <v>3080</v>
      </c>
      <c r="D36" s="1407">
        <v>22662</v>
      </c>
      <c r="E36" s="1407">
        <v>67986</v>
      </c>
      <c r="F36" s="1407" t="s">
        <v>3198</v>
      </c>
      <c r="G36" s="1407" t="s">
        <v>3082</v>
      </c>
      <c r="H36" s="1407" t="s">
        <v>3080</v>
      </c>
      <c r="I36" s="1407" t="s">
        <v>3199</v>
      </c>
      <c r="J36" s="1407" t="s">
        <v>3199</v>
      </c>
      <c r="K36" s="1407">
        <v>3069</v>
      </c>
      <c r="L36" s="1407">
        <v>3069</v>
      </c>
      <c r="M36" s="1407">
        <v>451.42</v>
      </c>
      <c r="N36" s="1407">
        <f t="shared" si="0"/>
        <v>1354</v>
      </c>
      <c r="O36" s="1407">
        <v>0</v>
      </c>
      <c r="P36" s="1407" t="s">
        <v>3200</v>
      </c>
      <c r="Q36" s="1407" t="s">
        <v>3085</v>
      </c>
    </row>
    <row r="37" spans="1:17" s="1407" customFormat="1">
      <c r="A37" s="1407" t="s">
        <v>3201</v>
      </c>
      <c r="B37" s="1407" t="s">
        <v>3079</v>
      </c>
      <c r="C37" s="1407" t="s">
        <v>3080</v>
      </c>
      <c r="D37" s="1407">
        <v>9853</v>
      </c>
      <c r="E37" s="1407">
        <v>29559</v>
      </c>
      <c r="F37" s="1407" t="s">
        <v>3123</v>
      </c>
      <c r="G37" s="1407" t="s">
        <v>3082</v>
      </c>
      <c r="H37" s="1407" t="s">
        <v>3080</v>
      </c>
      <c r="I37" s="1407" t="s">
        <v>3202</v>
      </c>
      <c r="J37" s="1407" t="s">
        <v>3202</v>
      </c>
      <c r="K37" s="1407">
        <v>935</v>
      </c>
      <c r="L37" s="1407">
        <v>935</v>
      </c>
      <c r="M37" s="1407">
        <v>316.31</v>
      </c>
      <c r="N37" s="1407">
        <f t="shared" si="0"/>
        <v>949</v>
      </c>
      <c r="O37" s="1407">
        <v>0</v>
      </c>
      <c r="P37" s="1407" t="s">
        <v>3203</v>
      </c>
      <c r="Q37" s="1407" t="s">
        <v>3085</v>
      </c>
    </row>
    <row r="38" spans="1:17" s="1407" customFormat="1">
      <c r="A38" s="1407" t="s">
        <v>3204</v>
      </c>
      <c r="B38" s="1407" t="s">
        <v>3079</v>
      </c>
      <c r="C38" s="1407" t="s">
        <v>3080</v>
      </c>
      <c r="D38" s="1407">
        <v>19998</v>
      </c>
      <c r="E38" s="1407">
        <v>59994</v>
      </c>
      <c r="F38" s="1407" t="s">
        <v>3123</v>
      </c>
      <c r="G38" s="1407" t="s">
        <v>3082</v>
      </c>
      <c r="H38" s="1407" t="s">
        <v>3080</v>
      </c>
      <c r="I38" s="1407" t="s">
        <v>3205</v>
      </c>
      <c r="J38" s="1407" t="s">
        <v>3205</v>
      </c>
      <c r="K38" s="1407">
        <v>1014</v>
      </c>
      <c r="L38" s="1407">
        <v>1014</v>
      </c>
      <c r="M38" s="1407">
        <v>169.02</v>
      </c>
      <c r="N38" s="1407">
        <f t="shared" si="0"/>
        <v>507</v>
      </c>
      <c r="O38" s="1407">
        <v>0</v>
      </c>
      <c r="P38" s="1407" t="s">
        <v>3206</v>
      </c>
      <c r="Q38" s="1407" t="s">
        <v>3085</v>
      </c>
    </row>
    <row r="39" spans="1:17" s="1407" customFormat="1">
      <c r="A39" s="1407" t="s">
        <v>3207</v>
      </c>
      <c r="B39" s="1407" t="s">
        <v>3079</v>
      </c>
      <c r="C39" s="1407" t="s">
        <v>3080</v>
      </c>
      <c r="D39" s="1407">
        <v>10010</v>
      </c>
      <c r="E39" s="1407">
        <v>30030</v>
      </c>
      <c r="F39" s="1407" t="s">
        <v>3123</v>
      </c>
      <c r="G39" s="1407" t="s">
        <v>3082</v>
      </c>
      <c r="H39" s="1407" t="s">
        <v>3080</v>
      </c>
      <c r="I39" s="1407" t="s">
        <v>3205</v>
      </c>
      <c r="J39" s="1407" t="s">
        <v>3205</v>
      </c>
      <c r="K39" s="1407">
        <v>508</v>
      </c>
      <c r="L39" s="1407">
        <v>508</v>
      </c>
      <c r="M39" s="1407">
        <v>169.15</v>
      </c>
      <c r="N39" s="1407">
        <f t="shared" si="0"/>
        <v>507</v>
      </c>
      <c r="O39" s="1407">
        <v>0</v>
      </c>
      <c r="P39" s="1407" t="s">
        <v>3208</v>
      </c>
      <c r="Q39" s="1407" t="s">
        <v>3085</v>
      </c>
    </row>
    <row r="40" spans="1:17" s="1407" customFormat="1">
      <c r="A40" s="1407" t="s">
        <v>3209</v>
      </c>
      <c r="B40" s="1407" t="s">
        <v>3079</v>
      </c>
      <c r="C40" s="1407" t="s">
        <v>3080</v>
      </c>
      <c r="D40" s="1407">
        <v>4018</v>
      </c>
      <c r="E40" s="1407">
        <v>12054</v>
      </c>
      <c r="F40" s="1407" t="s">
        <v>3123</v>
      </c>
      <c r="G40" s="1407" t="s">
        <v>3082</v>
      </c>
      <c r="H40" s="1407" t="s">
        <v>3080</v>
      </c>
      <c r="I40" s="1407" t="s">
        <v>3205</v>
      </c>
      <c r="J40" s="1407" t="s">
        <v>3205</v>
      </c>
      <c r="K40" s="1407">
        <v>204</v>
      </c>
      <c r="L40" s="1407">
        <v>204</v>
      </c>
      <c r="M40" s="1407">
        <v>169.24</v>
      </c>
      <c r="N40" s="1407">
        <f t="shared" si="0"/>
        <v>508</v>
      </c>
      <c r="O40" s="1407">
        <v>0</v>
      </c>
      <c r="P40" s="1407" t="s">
        <v>3210</v>
      </c>
      <c r="Q40" s="1407" t="s">
        <v>3085</v>
      </c>
    </row>
    <row r="41" spans="1:17" s="1407" customFormat="1">
      <c r="A41" s="1407" t="s">
        <v>3211</v>
      </c>
      <c r="B41" s="1407" t="s">
        <v>3079</v>
      </c>
      <c r="C41" s="1407" t="s">
        <v>3080</v>
      </c>
      <c r="D41" s="1407">
        <v>29994</v>
      </c>
      <c r="E41" s="1407">
        <v>89982</v>
      </c>
      <c r="F41" s="1407" t="s">
        <v>3123</v>
      </c>
      <c r="G41" s="1407" t="s">
        <v>3082</v>
      </c>
      <c r="H41" s="1407" t="s">
        <v>3080</v>
      </c>
      <c r="I41" s="1407" t="s">
        <v>3205</v>
      </c>
      <c r="J41" s="1407" t="s">
        <v>3205</v>
      </c>
      <c r="K41" s="1407">
        <v>1521</v>
      </c>
      <c r="L41" s="1407">
        <v>1521</v>
      </c>
      <c r="M41" s="1407">
        <v>169.03</v>
      </c>
      <c r="N41" s="1407">
        <f t="shared" si="0"/>
        <v>507</v>
      </c>
      <c r="O41" s="1407">
        <v>0</v>
      </c>
      <c r="P41" s="1407" t="s">
        <v>3212</v>
      </c>
      <c r="Q41" s="1407" t="s">
        <v>3085</v>
      </c>
    </row>
    <row r="42" spans="1:17" s="1407" customFormat="1">
      <c r="A42" s="1407" t="s">
        <v>3213</v>
      </c>
      <c r="B42" s="1407" t="s">
        <v>3079</v>
      </c>
      <c r="C42" s="1407" t="s">
        <v>3080</v>
      </c>
      <c r="D42" s="1407">
        <v>9998</v>
      </c>
      <c r="E42" s="1407">
        <v>29994</v>
      </c>
      <c r="F42" s="1407" t="s">
        <v>3123</v>
      </c>
      <c r="G42" s="1407" t="s">
        <v>3082</v>
      </c>
      <c r="H42" s="1407" t="s">
        <v>3080</v>
      </c>
      <c r="I42" s="1407" t="s">
        <v>3205</v>
      </c>
      <c r="J42" s="1407" t="s">
        <v>3205</v>
      </c>
      <c r="K42" s="1407">
        <v>507</v>
      </c>
      <c r="L42" s="1407">
        <v>507</v>
      </c>
      <c r="M42" s="1407">
        <v>169.03</v>
      </c>
      <c r="N42" s="1407">
        <f t="shared" si="0"/>
        <v>507</v>
      </c>
      <c r="O42" s="1407">
        <v>0</v>
      </c>
      <c r="P42" s="1407" t="s">
        <v>3214</v>
      </c>
      <c r="Q42" s="1407" t="s">
        <v>3085</v>
      </c>
    </row>
    <row r="43" spans="1:17" s="1407" customFormat="1">
      <c r="A43" s="1407" t="s">
        <v>3215</v>
      </c>
      <c r="B43" s="1407" t="s">
        <v>3079</v>
      </c>
      <c r="C43" s="1407" t="s">
        <v>3080</v>
      </c>
      <c r="D43" s="1407">
        <v>17197</v>
      </c>
      <c r="E43" s="1407">
        <v>51591</v>
      </c>
      <c r="F43" s="1407" t="s">
        <v>3123</v>
      </c>
      <c r="G43" s="1407" t="s">
        <v>3082</v>
      </c>
      <c r="H43" s="1407" t="s">
        <v>3080</v>
      </c>
      <c r="I43" s="1407" t="s">
        <v>3205</v>
      </c>
      <c r="J43" s="1407" t="s">
        <v>3205</v>
      </c>
      <c r="K43" s="1407">
        <v>872</v>
      </c>
      <c r="L43" s="1407">
        <v>872</v>
      </c>
      <c r="M43" s="1407">
        <v>169.02</v>
      </c>
      <c r="N43" s="1407">
        <f t="shared" si="0"/>
        <v>507</v>
      </c>
      <c r="O43" s="1407">
        <v>0</v>
      </c>
      <c r="P43" s="1407" t="s">
        <v>3216</v>
      </c>
      <c r="Q43" s="1407" t="s">
        <v>3085</v>
      </c>
    </row>
    <row r="44" spans="1:17" s="1407" customFormat="1">
      <c r="A44" s="1407" t="s">
        <v>3217</v>
      </c>
      <c r="B44" s="1407" t="s">
        <v>3079</v>
      </c>
      <c r="C44" s="1407" t="s">
        <v>3080</v>
      </c>
      <c r="D44" s="1407">
        <v>6439</v>
      </c>
      <c r="E44" s="1407">
        <v>19317</v>
      </c>
      <c r="F44" s="1407" t="s">
        <v>3123</v>
      </c>
      <c r="G44" s="1407" t="s">
        <v>3082</v>
      </c>
      <c r="H44" s="1407" t="s">
        <v>3080</v>
      </c>
      <c r="I44" s="1407" t="s">
        <v>3205</v>
      </c>
      <c r="J44" s="1407" t="s">
        <v>3205</v>
      </c>
      <c r="K44" s="1407">
        <v>327</v>
      </c>
      <c r="L44" s="1407">
        <v>327</v>
      </c>
      <c r="M44" s="1407">
        <v>169.28</v>
      </c>
      <c r="N44" s="1407">
        <f t="shared" si="0"/>
        <v>508</v>
      </c>
      <c r="O44" s="1407">
        <v>0</v>
      </c>
      <c r="P44" s="1407" t="s">
        <v>3218</v>
      </c>
      <c r="Q44" s="1407" t="s">
        <v>3085</v>
      </c>
    </row>
    <row r="45" spans="1:17" s="1407" customFormat="1">
      <c r="A45" s="1407" t="s">
        <v>3219</v>
      </c>
      <c r="B45" s="1407" t="s">
        <v>3079</v>
      </c>
      <c r="C45" s="1407" t="s">
        <v>3080</v>
      </c>
      <c r="D45" s="1407">
        <v>76361</v>
      </c>
      <c r="E45" s="1407">
        <v>213810.8</v>
      </c>
      <c r="F45" s="1407" t="s">
        <v>3220</v>
      </c>
      <c r="G45" s="1407" t="s">
        <v>3082</v>
      </c>
      <c r="H45" s="1407" t="s">
        <v>3221</v>
      </c>
      <c r="I45" s="1407" t="s">
        <v>3222</v>
      </c>
      <c r="J45" s="1407" t="s">
        <v>3222</v>
      </c>
      <c r="K45" s="1407">
        <v>3757</v>
      </c>
      <c r="L45" s="1407">
        <v>3757</v>
      </c>
      <c r="M45" s="1407">
        <v>175.71</v>
      </c>
      <c r="N45" s="1407">
        <f t="shared" si="0"/>
        <v>492</v>
      </c>
      <c r="O45" s="1407">
        <v>0</v>
      </c>
      <c r="P45" s="1407" t="s">
        <v>3223</v>
      </c>
      <c r="Q45" s="1407" t="s">
        <v>3085</v>
      </c>
    </row>
    <row r="46" spans="1:17" s="1407" customFormat="1">
      <c r="A46" s="1407" t="s">
        <v>3224</v>
      </c>
      <c r="B46" s="1407" t="s">
        <v>3079</v>
      </c>
      <c r="C46" s="1407" t="s">
        <v>3080</v>
      </c>
      <c r="D46" s="1407">
        <v>8686</v>
      </c>
      <c r="E46" s="1407">
        <v>15634.8</v>
      </c>
      <c r="F46" s="1407" t="s">
        <v>3186</v>
      </c>
      <c r="G46" s="1407" t="s">
        <v>3082</v>
      </c>
      <c r="H46" s="1407" t="s">
        <v>3225</v>
      </c>
      <c r="I46" s="1407" t="s">
        <v>3226</v>
      </c>
      <c r="J46" s="1407" t="s">
        <v>3226</v>
      </c>
      <c r="K46" s="1407">
        <v>419</v>
      </c>
      <c r="L46" s="1407">
        <v>419</v>
      </c>
      <c r="M46" s="1407">
        <v>267.99</v>
      </c>
      <c r="N46" s="1407">
        <f t="shared" si="0"/>
        <v>482</v>
      </c>
      <c r="O46" s="1407">
        <v>0</v>
      </c>
      <c r="P46" s="1407" t="s">
        <v>3227</v>
      </c>
      <c r="Q46" s="1407" t="s">
        <v>3085</v>
      </c>
    </row>
    <row r="47" spans="1:17" s="1407" customFormat="1">
      <c r="A47" s="1407" t="s">
        <v>3228</v>
      </c>
      <c r="B47" s="1407" t="s">
        <v>3079</v>
      </c>
      <c r="C47" s="1407" t="s">
        <v>3080</v>
      </c>
      <c r="D47" s="1407">
        <v>55481</v>
      </c>
      <c r="E47" s="1407">
        <v>155346.79999999999</v>
      </c>
      <c r="F47" s="1407" t="s">
        <v>3220</v>
      </c>
      <c r="G47" s="1407" t="s">
        <v>3082</v>
      </c>
      <c r="H47" s="1407" t="s">
        <v>3229</v>
      </c>
      <c r="I47" s="1407" t="s">
        <v>3226</v>
      </c>
      <c r="J47" s="1407" t="s">
        <v>3226</v>
      </c>
      <c r="K47" s="1407">
        <v>2697</v>
      </c>
      <c r="L47" s="1407">
        <v>2697</v>
      </c>
      <c r="M47" s="1407">
        <v>173.61</v>
      </c>
      <c r="N47" s="1407">
        <f t="shared" si="0"/>
        <v>486</v>
      </c>
      <c r="O47" s="1407">
        <v>0</v>
      </c>
      <c r="P47" s="1407" t="s">
        <v>3230</v>
      </c>
      <c r="Q47" s="1407" t="s">
        <v>3085</v>
      </c>
    </row>
    <row r="48" spans="1:17" s="1407" customFormat="1">
      <c r="A48" s="1407" t="s">
        <v>3231</v>
      </c>
      <c r="B48" s="1407" t="s">
        <v>3079</v>
      </c>
      <c r="C48" s="1407" t="s">
        <v>3080</v>
      </c>
      <c r="D48" s="1407">
        <v>10006</v>
      </c>
      <c r="E48" s="1407">
        <v>28016.799999999999</v>
      </c>
      <c r="F48" s="1407" t="s">
        <v>3220</v>
      </c>
      <c r="G48" s="1407" t="s">
        <v>3082</v>
      </c>
      <c r="H48" s="1407" t="s">
        <v>3232</v>
      </c>
      <c r="I48" s="1407" t="s">
        <v>3226</v>
      </c>
      <c r="J48" s="1407" t="s">
        <v>3226</v>
      </c>
      <c r="K48" s="1407">
        <v>484</v>
      </c>
      <c r="L48" s="1407">
        <v>484</v>
      </c>
      <c r="M48" s="1407">
        <v>172.75</v>
      </c>
      <c r="N48" s="1407">
        <f t="shared" si="0"/>
        <v>484</v>
      </c>
      <c r="O48" s="1407">
        <v>0</v>
      </c>
      <c r="P48" s="1407" t="s">
        <v>3233</v>
      </c>
      <c r="Q48" s="1407" t="s">
        <v>3085</v>
      </c>
    </row>
    <row r="49" spans="1:17" s="1407" customFormat="1">
      <c r="A49" s="1407" t="s">
        <v>3234</v>
      </c>
      <c r="B49" s="1407" t="s">
        <v>3079</v>
      </c>
      <c r="C49" s="1407" t="s">
        <v>3080</v>
      </c>
      <c r="D49" s="1407">
        <v>4574</v>
      </c>
      <c r="E49" s="1407">
        <v>8233.2000000000007</v>
      </c>
      <c r="F49" s="1407" t="s">
        <v>3186</v>
      </c>
      <c r="G49" s="1407" t="s">
        <v>3082</v>
      </c>
      <c r="H49" s="1407" t="s">
        <v>3235</v>
      </c>
      <c r="I49" s="1407" t="s">
        <v>3226</v>
      </c>
      <c r="J49" s="1407" t="s">
        <v>3226</v>
      </c>
      <c r="K49" s="1407">
        <v>221</v>
      </c>
      <c r="L49" s="1407">
        <v>222</v>
      </c>
      <c r="M49" s="1407">
        <v>269.63</v>
      </c>
      <c r="N49" s="1407">
        <f t="shared" si="0"/>
        <v>485</v>
      </c>
      <c r="O49" s="1407">
        <v>0.45</v>
      </c>
      <c r="P49" s="1407" t="s">
        <v>3236</v>
      </c>
      <c r="Q49" s="1407" t="s">
        <v>3085</v>
      </c>
    </row>
    <row r="50" spans="1:17" s="1407" customFormat="1">
      <c r="A50" s="1407" t="s">
        <v>3237</v>
      </c>
      <c r="B50" s="1407" t="s">
        <v>3079</v>
      </c>
      <c r="C50" s="1407" t="s">
        <v>3080</v>
      </c>
      <c r="D50" s="1407">
        <v>9861</v>
      </c>
      <c r="E50" s="1407">
        <v>27610.799999999999</v>
      </c>
      <c r="F50" s="1407" t="s">
        <v>3220</v>
      </c>
      <c r="G50" s="1407" t="s">
        <v>3082</v>
      </c>
      <c r="H50" s="1407" t="s">
        <v>3238</v>
      </c>
      <c r="I50" s="1407" t="s">
        <v>3239</v>
      </c>
      <c r="J50" s="1407" t="s">
        <v>3239</v>
      </c>
      <c r="K50" s="1407">
        <v>479</v>
      </c>
      <c r="L50" s="1407">
        <v>479</v>
      </c>
      <c r="M50" s="1407">
        <v>173.47</v>
      </c>
      <c r="N50" s="1407">
        <f t="shared" si="0"/>
        <v>486</v>
      </c>
      <c r="O50" s="1407">
        <v>0</v>
      </c>
      <c r="P50" s="1407" t="s">
        <v>3240</v>
      </c>
      <c r="Q50" s="1407" t="s">
        <v>3085</v>
      </c>
    </row>
    <row r="51" spans="1:17" s="1407" customFormat="1">
      <c r="A51" s="1407" t="s">
        <v>3241</v>
      </c>
      <c r="B51" s="1407" t="s">
        <v>3079</v>
      </c>
      <c r="C51" s="1407" t="s">
        <v>3080</v>
      </c>
      <c r="D51" s="1407">
        <v>9989</v>
      </c>
      <c r="E51" s="1407">
        <v>27969.200000000001</v>
      </c>
      <c r="F51" s="1407" t="s">
        <v>3220</v>
      </c>
      <c r="G51" s="1407" t="s">
        <v>3082</v>
      </c>
      <c r="H51" s="1407" t="s">
        <v>3221</v>
      </c>
      <c r="I51" s="1407" t="s">
        <v>3239</v>
      </c>
      <c r="J51" s="1407" t="s">
        <v>3239</v>
      </c>
      <c r="K51" s="1407">
        <v>485</v>
      </c>
      <c r="L51" s="1407">
        <v>485</v>
      </c>
      <c r="M51" s="1407">
        <v>173.4</v>
      </c>
      <c r="N51" s="1407">
        <f t="shared" si="0"/>
        <v>486</v>
      </c>
      <c r="O51" s="1407">
        <v>0</v>
      </c>
      <c r="P51" s="1407" t="s">
        <v>3242</v>
      </c>
      <c r="Q51" s="1407" t="s">
        <v>3085</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
      <c r="A3" s="3077"/>
      <c r="B3" s="3077"/>
      <c r="C3" s="3077"/>
      <c r="D3" s="963" t="s">
        <v>1603</v>
      </c>
      <c r="E3" s="963" t="s">
        <v>1609</v>
      </c>
      <c r="F3" s="963" t="s">
        <v>1603</v>
      </c>
      <c r="G3" s="963" t="s">
        <v>1604</v>
      </c>
      <c r="H3" s="963" t="s">
        <v>1603</v>
      </c>
      <c r="I3" s="963" t="s">
        <v>1604</v>
      </c>
    </row>
    <row r="4" spans="1:9" ht="30">
      <c r="A4" s="1691" t="str">
        <f>项目基本情况!S2</f>
        <v>杭州市滨江区长河街道越达巷82号工业用房房地产</v>
      </c>
      <c r="B4" s="963">
        <f>项目基本情况!C17</f>
        <v>27421.7</v>
      </c>
      <c r="C4" s="963">
        <f>项目基本情况!C18</f>
        <v>9989</v>
      </c>
      <c r="D4" s="963">
        <f ca="1">结果表!D118</f>
        <v>2650</v>
      </c>
      <c r="E4" s="963">
        <f ca="1">结果表!E118</f>
        <v>967</v>
      </c>
      <c r="F4" s="963">
        <f ca="1">结果表!F118</f>
        <v>23855</v>
      </c>
      <c r="G4" s="963">
        <f ca="1">结果表!G118</f>
        <v>8699</v>
      </c>
      <c r="H4" s="963">
        <f ca="1">结果表!H118</f>
        <v>26505</v>
      </c>
      <c r="I4" s="963">
        <f ca="1">结果表!I118</f>
        <v>9666</v>
      </c>
    </row>
    <row r="5" spans="1:9" ht="30" customHeight="1">
      <c r="A5" s="3077" t="s">
        <v>1605</v>
      </c>
      <c r="B5" s="3077"/>
      <c r="C5" s="3077"/>
      <c r="D5" s="3078" t="str">
        <f ca="1">结果表!D119</f>
        <v>贰仟陆佰伍拾万元整</v>
      </c>
      <c r="E5" s="3078"/>
      <c r="F5" s="3078" t="str">
        <f ca="1">结果表!F119</f>
        <v>贰亿叁仟捌佰伍拾伍万元整</v>
      </c>
      <c r="G5" s="3078"/>
      <c r="H5" s="3078" t="str">
        <f ca="1">结果表!H119</f>
        <v>贰亿陆仟伍佰零伍万元整</v>
      </c>
      <c r="I5" s="3078"/>
    </row>
    <row r="6" spans="1:9" ht="15.75">
      <c r="A6" s="3076" t="str">
        <f>结果表!A120</f>
        <v>估价师知悉的法定优先受偿款</v>
      </c>
      <c r="B6" s="3076"/>
      <c r="C6" s="3076"/>
      <c r="D6" s="3076">
        <f>结果表!D120</f>
        <v>0</v>
      </c>
      <c r="E6" s="3076"/>
      <c r="F6" s="3076"/>
      <c r="G6" s="3076"/>
      <c r="H6" s="3076"/>
      <c r="I6" s="3076"/>
    </row>
    <row r="7" spans="1:9" ht="15">
      <c r="A7" s="3077" t="s">
        <v>1605</v>
      </c>
      <c r="B7" s="3077"/>
      <c r="C7" s="3077"/>
      <c r="D7" s="3079" t="str">
        <f>结果表!D121</f>
        <v>零元整</v>
      </c>
      <c r="E7" s="3080"/>
      <c r="F7" s="3080"/>
      <c r="G7" s="3080"/>
      <c r="H7" s="3080"/>
      <c r="I7" s="3081"/>
    </row>
    <row r="8" spans="1:9" ht="15.75">
      <c r="A8" s="3076" t="str">
        <f>结果表!A122</f>
        <v>房地产抵押价值</v>
      </c>
      <c r="B8" s="3076"/>
      <c r="C8" s="3076"/>
      <c r="D8" s="3076">
        <f ca="1">结果表!D122</f>
        <v>26505</v>
      </c>
      <c r="E8" s="3076"/>
      <c r="F8" s="3076"/>
      <c r="G8" s="3076"/>
      <c r="H8" s="3076"/>
      <c r="I8" s="3076"/>
    </row>
    <row r="9" spans="1:9" ht="15">
      <c r="A9" s="3077" t="s">
        <v>1605</v>
      </c>
      <c r="B9" s="3077"/>
      <c r="C9" s="3077"/>
      <c r="D9" s="3078" t="str">
        <f ca="1">结果表!D123</f>
        <v>贰亿陆仟伍佰零伍万元整</v>
      </c>
      <c r="E9" s="3078"/>
      <c r="F9" s="3078"/>
      <c r="G9" s="3078"/>
      <c r="H9" s="3078"/>
      <c r="I9" s="3078"/>
    </row>
    <row r="10" spans="1:9" ht="15.75">
      <c r="A10" s="3076" t="str">
        <f>结果表!A124</f>
        <v/>
      </c>
      <c r="B10" s="3076"/>
      <c r="C10" s="3076"/>
      <c r="D10" s="3076" t="str">
        <f>结果表!D124</f>
        <v>——</v>
      </c>
      <c r="E10" s="3076"/>
      <c r="F10" s="3076"/>
      <c r="G10" s="3076"/>
      <c r="H10" s="3076"/>
      <c r="I10" s="3076"/>
    </row>
    <row r="11" spans="1:9" ht="15">
      <c r="A11" s="3077" t="s">
        <v>1605</v>
      </c>
      <c r="B11" s="3077"/>
      <c r="C11" s="3077"/>
      <c r="D11" s="3078" t="e">
        <f>结果表!D125</f>
        <v>#VALUE!</v>
      </c>
      <c r="E11" s="3078"/>
      <c r="F11" s="3078"/>
      <c r="G11" s="3078"/>
      <c r="H11" s="3078"/>
      <c r="I11" s="3078"/>
    </row>
    <row r="12" spans="1:9" ht="15.75">
      <c r="A12" s="3076" t="str">
        <f>结果表!A126</f>
        <v>抵押净值</v>
      </c>
      <c r="B12" s="3076"/>
      <c r="C12" s="3076"/>
      <c r="D12" s="3076">
        <f ca="1">结果表!D126</f>
        <v>24946</v>
      </c>
      <c r="E12" s="3076"/>
      <c r="F12" s="3076"/>
      <c r="G12" s="3076"/>
      <c r="H12" s="3076"/>
      <c r="I12" s="3076"/>
    </row>
    <row r="13" spans="1:9" ht="15.75" thickBot="1">
      <c r="A13" s="3073" t="s">
        <v>1605</v>
      </c>
      <c r="B13" s="3073"/>
      <c r="C13" s="3073"/>
      <c r="D13" s="3074" t="str">
        <f ca="1">结果表!D127</f>
        <v>贰亿肆仟玖佰肆拾陆万元整</v>
      </c>
      <c r="E13" s="3074"/>
      <c r="F13" s="3074"/>
      <c r="G13" s="3074"/>
      <c r="H13" s="3074"/>
      <c r="I13" s="3074"/>
    </row>
    <row r="14" spans="1:9" ht="15" thickTop="1">
      <c r="A14" s="3075" t="s">
        <v>1610</v>
      </c>
      <c r="B14" s="3075"/>
      <c r="C14" s="3075"/>
      <c r="D14" s="3075"/>
      <c r="E14" s="3075"/>
      <c r="F14" s="3075"/>
      <c r="G14" s="3075"/>
      <c r="H14" s="3075"/>
      <c r="I14" s="3075"/>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90" t="s">
        <v>1627</v>
      </c>
      <c r="B1" s="3090"/>
      <c r="C1" s="3090"/>
      <c r="D1" s="3090"/>
    </row>
    <row r="2" spans="1:4" ht="18">
      <c r="A2" s="3091" t="s">
        <v>1611</v>
      </c>
      <c r="B2" s="3091"/>
      <c r="C2" s="3091"/>
      <c r="D2" s="3091"/>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91" t="s">
        <v>1617</v>
      </c>
      <c r="B6" s="3091"/>
      <c r="C6" s="3091"/>
      <c r="D6" s="3091"/>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92" t="s">
        <v>1620</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4" t="str">
        <f>IF(项目基本情况!B8="抵押","4.本次评估估价师所知悉的法定优先受偿款情况说明如下：","——")</f>
        <v>4.本次评估估价师所知悉的法定优先受偿款情况说明如下：</v>
      </c>
      <c r="B14" s="3089"/>
      <c r="C14" s="3089"/>
      <c r="D14" s="3089"/>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v>
      </c>
      <c r="B15" s="3084"/>
      <c r="C15" s="3084"/>
      <c r="D15" s="3084"/>
    </row>
    <row r="16" spans="1:4" ht="30" customHeight="1">
      <c r="A16" s="3086" t="s">
        <v>1621</v>
      </c>
      <c r="B16" s="3086"/>
      <c r="C16" s="3086"/>
      <c r="D16" s="3086"/>
    </row>
    <row r="17" spans="1:4" ht="144" customHeight="1">
      <c r="A17" s="3086" t="s">
        <v>1622</v>
      </c>
      <c r="B17" s="3086"/>
      <c r="C17" s="3086"/>
      <c r="D17" s="3086"/>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7"/>
      <c r="C21" s="3087"/>
      <c r="D21" s="3087"/>
    </row>
    <row r="22" spans="1:4" ht="18.75" customHeight="1">
      <c r="A22" s="3088" t="s">
        <v>1623</v>
      </c>
      <c r="B22" s="3088"/>
      <c r="C22" s="3088"/>
      <c r="D22" s="3088"/>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098" t="s">
        <v>1634</v>
      </c>
      <c r="B15" s="3093" t="s">
        <v>136</v>
      </c>
      <c r="C15" s="3094"/>
    </row>
    <row r="16" spans="1:7" ht="13.5">
      <c r="A16" s="3099"/>
      <c r="B16" s="3093" t="s">
        <v>69</v>
      </c>
      <c r="C16" s="3094"/>
    </row>
    <row r="17" spans="1:3" ht="13.5">
      <c r="A17" s="3099"/>
      <c r="B17" s="3096" t="s">
        <v>1635</v>
      </c>
      <c r="C17" s="1718" t="s">
        <v>1634</v>
      </c>
    </row>
    <row r="18" spans="1:3" ht="13.5">
      <c r="A18" s="3099"/>
      <c r="B18" s="3096"/>
      <c r="C18" s="1718" t="s">
        <v>1636</v>
      </c>
    </row>
    <row r="19" spans="1:3" ht="13.5">
      <c r="A19" s="3099"/>
      <c r="B19" s="3096"/>
      <c r="C19" s="1718" t="s">
        <v>1637</v>
      </c>
    </row>
    <row r="20" spans="1:3" ht="13.5">
      <c r="A20" s="3100"/>
      <c r="B20" s="3095" t="s">
        <v>1638</v>
      </c>
      <c r="C20" s="3094"/>
    </row>
    <row r="21" spans="1:3" ht="13.5">
      <c r="A21" s="1719" t="s">
        <v>1639</v>
      </c>
      <c r="B21" s="1720"/>
      <c r="C21" s="1721"/>
    </row>
    <row r="22" spans="1:3" ht="13.5">
      <c r="A22" s="3097" t="s">
        <v>1640</v>
      </c>
      <c r="B22" s="3095" t="s">
        <v>1641</v>
      </c>
      <c r="C22" s="3094"/>
    </row>
    <row r="23" spans="1:3" ht="13.5">
      <c r="A23" s="3097"/>
      <c r="B23" s="3095" t="s">
        <v>1642</v>
      </c>
      <c r="C23" s="3094"/>
    </row>
    <row r="24" spans="1:3" ht="13.5">
      <c r="A24" s="3097"/>
      <c r="B24" s="3095" t="s">
        <v>1643</v>
      </c>
      <c r="C24" s="3094"/>
    </row>
    <row r="25" spans="1:3" ht="13.5">
      <c r="A25" s="3097"/>
      <c r="B25" s="3096" t="s">
        <v>1644</v>
      </c>
      <c r="C25" s="1718" t="s">
        <v>1645</v>
      </c>
    </row>
    <row r="26" spans="1:3" ht="13.5">
      <c r="A26" s="3097"/>
      <c r="B26" s="3096"/>
      <c r="C26" s="1718" t="s">
        <v>1646</v>
      </c>
    </row>
    <row r="27" spans="1:3" ht="13.5">
      <c r="A27" s="3097"/>
      <c r="B27" s="3096"/>
      <c r="C27" s="1718" t="s">
        <v>1647</v>
      </c>
    </row>
    <row r="28" spans="1:3" ht="13.5">
      <c r="A28" s="3097"/>
      <c r="B28" s="3096"/>
      <c r="C28" s="1718" t="s">
        <v>1648</v>
      </c>
    </row>
    <row r="29" spans="1:3" ht="13.5">
      <c r="A29" s="3097"/>
      <c r="B29" s="3096"/>
      <c r="C29" s="1718" t="s">
        <v>1649</v>
      </c>
    </row>
    <row r="30" spans="1:3" ht="13.5">
      <c r="A30" s="3097"/>
      <c r="B30" s="3096"/>
      <c r="C30" s="1718" t="s">
        <v>1650</v>
      </c>
    </row>
    <row r="31" spans="1:3" ht="13.5">
      <c r="A31" s="3097"/>
      <c r="B31" s="3096"/>
      <c r="C31" s="1718" t="s">
        <v>1651</v>
      </c>
    </row>
    <row r="32" spans="1:3" ht="13.5">
      <c r="A32" s="3097"/>
      <c r="B32" s="3096"/>
      <c r="C32" s="1718" t="s">
        <v>1652</v>
      </c>
    </row>
    <row r="33" spans="1:3" ht="13.5">
      <c r="A33" s="3097"/>
      <c r="B33" s="3096"/>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44315</v>
      </c>
      <c r="C2" s="2564" t="s">
        <v>2882</v>
      </c>
      <c r="D2" s="2564"/>
      <c r="E2" s="2564"/>
      <c r="F2" s="2560"/>
      <c r="G2" s="2560"/>
      <c r="H2" s="2560"/>
    </row>
    <row r="3" spans="1:8" ht="24" customHeight="1">
      <c r="A3" s="2565" t="s">
        <v>2883</v>
      </c>
      <c r="B3" s="2566" t="s">
        <v>2884</v>
      </c>
      <c r="C3" s="2566" t="s">
        <v>2885</v>
      </c>
      <c r="D3" s="2567" t="s">
        <v>2886</v>
      </c>
      <c r="E3" s="2568" t="s">
        <v>2887</v>
      </c>
      <c r="F3" s="1473" t="s">
        <v>2888</v>
      </c>
      <c r="G3" s="2566" t="s">
        <v>2885</v>
      </c>
      <c r="H3" s="2567" t="s">
        <v>2889</v>
      </c>
    </row>
    <row r="4" spans="1:8" ht="24" customHeight="1">
      <c r="A4" s="1473" t="s">
        <v>2890</v>
      </c>
      <c r="B4" s="1473">
        <f ca="1">IF(C4&lt;B2,"已过期",1119970066)</f>
        <v>1119970066</v>
      </c>
      <c r="C4" s="2569">
        <v>44876</v>
      </c>
      <c r="D4" s="2570" t="str">
        <f ca="1">A4&amp;"（注册号："&amp;B4&amp;"）"</f>
        <v>梁津（注册号：1119970066）</v>
      </c>
      <c r="E4" s="2571" t="s">
        <v>2890</v>
      </c>
      <c r="F4" s="1473">
        <f ca="1">IF(G4&lt;B2,"已过期",96010014)</f>
        <v>96010014</v>
      </c>
      <c r="G4" s="2572">
        <v>47118</v>
      </c>
      <c r="H4" s="2573" t="str">
        <f ca="1">E4&amp;"（注册号："&amp;F4&amp;"）"</f>
        <v>梁津（注册号：96010014）</v>
      </c>
    </row>
    <row r="5" spans="1:8" ht="24" customHeight="1">
      <c r="A5" s="1473" t="s">
        <v>2891</v>
      </c>
      <c r="B5" s="1473">
        <f ca="1">IF(C5&lt;B2,"已过期",1119970111)</f>
        <v>1119970111</v>
      </c>
      <c r="C5" s="2569">
        <v>44876</v>
      </c>
      <c r="D5" s="2570" t="str">
        <f t="shared" ref="D5:D15" ca="1" si="0">A5&amp;"（注册号："&amp;B5&amp;"）"</f>
        <v>叶凌（注册号：1119970111）</v>
      </c>
      <c r="E5" s="2571" t="s">
        <v>2891</v>
      </c>
      <c r="F5" s="1473">
        <f ca="1">IF(G5&lt;B2,"已过期",94010078)</f>
        <v>94010078</v>
      </c>
      <c r="G5" s="2572">
        <v>46387</v>
      </c>
      <c r="H5" s="2573" t="str">
        <f t="shared" ref="H5:H16" ca="1" si="1">E5&amp;"（注册号："&amp;F5&amp;"）"</f>
        <v>叶凌（注册号：94010078）</v>
      </c>
    </row>
    <row r="6" spans="1:8" ht="24" customHeight="1">
      <c r="A6" s="1473" t="s">
        <v>2892</v>
      </c>
      <c r="B6" s="1473">
        <f ca="1">IF(C6&lt;B2,"已过期",1120050019)</f>
        <v>1120050019</v>
      </c>
      <c r="C6" s="2569">
        <v>44395</v>
      </c>
      <c r="D6" s="2570" t="str">
        <f t="shared" ca="1" si="0"/>
        <v>王鹏（注册号：1120050019）</v>
      </c>
      <c r="E6" s="2571" t="s">
        <v>2892</v>
      </c>
      <c r="F6" s="1473">
        <f ca="1">IF(G6&lt;B2,"已过期",2002110030)</f>
        <v>2002110030</v>
      </c>
      <c r="G6" s="2572">
        <v>46387</v>
      </c>
      <c r="H6" s="2573" t="str">
        <f t="shared" ca="1" si="1"/>
        <v>王鹏（注册号：2002110030）</v>
      </c>
    </row>
    <row r="7" spans="1:8" ht="24" customHeight="1">
      <c r="A7" s="1473" t="s">
        <v>2893</v>
      </c>
      <c r="B7" s="1473">
        <f ca="1">IF(C7&lt;B2,"已过期",1120000080)</f>
        <v>1120000080</v>
      </c>
      <c r="C7" s="2569">
        <v>44876</v>
      </c>
      <c r="D7" s="2570" t="str">
        <f t="shared" ca="1" si="0"/>
        <v>欧红伟（注册号：1120000080）</v>
      </c>
      <c r="E7" s="2571" t="s">
        <v>2893</v>
      </c>
      <c r="F7" s="1473">
        <f ca="1">IF(G7&lt;B2,"已过期",2000110082)</f>
        <v>2000110082</v>
      </c>
      <c r="G7" s="2572">
        <v>46387</v>
      </c>
      <c r="H7" s="2573" t="str">
        <f t="shared" ca="1" si="1"/>
        <v>欧红伟（注册号：2000110082）</v>
      </c>
    </row>
    <row r="8" spans="1:8" ht="24" customHeight="1">
      <c r="A8" s="1473" t="s">
        <v>2894</v>
      </c>
      <c r="B8" s="1473">
        <f ca="1">IF(C8&lt;B2,"已过期",1419970001)</f>
        <v>1419970001</v>
      </c>
      <c r="C8" s="2569">
        <v>44899</v>
      </c>
      <c r="D8" s="2570" t="str">
        <f t="shared" ca="1" si="0"/>
        <v>吴薇（注册号：1419970001）</v>
      </c>
      <c r="E8" s="2571" t="s">
        <v>2894</v>
      </c>
      <c r="F8" s="1473">
        <f ca="1">IF(G8&lt;B2,"已过期",2002110125)</f>
        <v>2002110125</v>
      </c>
      <c r="G8" s="2572">
        <v>47118</v>
      </c>
      <c r="H8" s="2573" t="str">
        <f t="shared" ca="1" si="1"/>
        <v>吴薇（注册号：2002110125）</v>
      </c>
    </row>
    <row r="9" spans="1:8" ht="24" customHeight="1">
      <c r="A9" s="1473" t="s">
        <v>2895</v>
      </c>
      <c r="B9" s="1473">
        <f ca="1">IF(C9&lt;B2,"已过期",1120060040)</f>
        <v>1120060040</v>
      </c>
      <c r="C9" s="2574">
        <v>44554</v>
      </c>
      <c r="D9" s="2570" t="str">
        <f t="shared" ca="1" si="0"/>
        <v>陈颖（注册号：1120060040）</v>
      </c>
      <c r="E9" s="2571" t="s">
        <v>2895</v>
      </c>
      <c r="F9" s="1473">
        <f ca="1">IF(G9&lt;B2,"已过期",2004110096)</f>
        <v>2004110096</v>
      </c>
      <c r="G9" s="2572">
        <v>47118</v>
      </c>
      <c r="H9" s="2573" t="str">
        <f t="shared" ca="1" si="1"/>
        <v>陈颖（注册号：2004110096）</v>
      </c>
    </row>
    <row r="10" spans="1:8" ht="24" customHeight="1">
      <c r="A10" s="1473" t="s">
        <v>2896</v>
      </c>
      <c r="B10" s="1473">
        <f ca="1">IF(C10&lt;B2,"已过期",1120100036)</f>
        <v>1120100036</v>
      </c>
      <c r="C10" s="2574">
        <v>44675</v>
      </c>
      <c r="D10" s="2570" t="str">
        <f t="shared" ca="1" si="0"/>
        <v>崔锴（注册号：1120100036）</v>
      </c>
      <c r="E10" s="2571" t="s">
        <v>2896</v>
      </c>
      <c r="F10" s="1473">
        <f ca="1">IF(G10&lt;B2,"已过期",2010110070)</f>
        <v>2010110070</v>
      </c>
      <c r="G10" s="2572">
        <v>47907</v>
      </c>
      <c r="H10" s="2573" t="str">
        <f t="shared" ca="1" si="1"/>
        <v>崔锴（注册号：2010110070）</v>
      </c>
    </row>
    <row r="11" spans="1:8" ht="24" customHeight="1">
      <c r="A11" s="1473" t="s">
        <v>2897</v>
      </c>
      <c r="B11" s="1473">
        <f ca="1">IF(C11&lt;B2,"已过期",1120070131)</f>
        <v>1120070131</v>
      </c>
      <c r="C11" s="2569">
        <v>44849</v>
      </c>
      <c r="D11" s="2570" t="str">
        <f t="shared" ca="1" si="0"/>
        <v>郑燚（注册号：1120070131）</v>
      </c>
      <c r="E11" s="2571" t="s">
        <v>2897</v>
      </c>
      <c r="F11" s="1473">
        <f ca="1">IF(G11&lt;B2,"已过期",2014110011)</f>
        <v>2014110011</v>
      </c>
      <c r="G11" s="2572">
        <v>49302</v>
      </c>
      <c r="H11" s="2573" t="str">
        <f t="shared" ca="1" si="1"/>
        <v>郑燚（注册号：2014110011）</v>
      </c>
    </row>
    <row r="12" spans="1:8" ht="24" customHeight="1">
      <c r="A12" s="1473" t="s">
        <v>2898</v>
      </c>
      <c r="B12" s="1473">
        <f ca="1">IF(C12&lt;B2,"已过期",1120040230)</f>
        <v>1120040230</v>
      </c>
      <c r="C12" s="2574">
        <v>44864</v>
      </c>
      <c r="D12" s="2570" t="str">
        <f t="shared" ca="1" si="0"/>
        <v>苏海（注册号：1120040230）</v>
      </c>
      <c r="E12" s="2571" t="s">
        <v>2898</v>
      </c>
      <c r="F12" s="1473">
        <f ca="1">IF(G12&lt;B2,"已过期",98030020)</f>
        <v>98030020</v>
      </c>
      <c r="G12" s="2572">
        <v>47118</v>
      </c>
      <c r="H12" s="2573" t="str">
        <f t="shared" ca="1" si="1"/>
        <v>苏海（注册号：98030020）</v>
      </c>
    </row>
    <row r="13" spans="1:8" ht="24" customHeight="1">
      <c r="A13" s="1473" t="s">
        <v>2899</v>
      </c>
      <c r="B13" s="1473">
        <f ca="1">IF(C13&lt;B2,"已过期",1120020033)</f>
        <v>1120020033</v>
      </c>
      <c r="C13" s="2569">
        <v>44339</v>
      </c>
      <c r="D13" s="2570" t="str">
        <f t="shared" ca="1" si="0"/>
        <v>刘敬东（注册号：1120020033）</v>
      </c>
      <c r="E13" s="2571" t="s">
        <v>2899</v>
      </c>
      <c r="F13" s="1473">
        <f ca="1">IF(G13&lt;B2,"已过期",2000110137)</f>
        <v>2000110137</v>
      </c>
      <c r="G13" s="2572">
        <v>46387</v>
      </c>
      <c r="H13" s="2573" t="str">
        <f t="shared" ca="1" si="1"/>
        <v>刘敬东（注册号：2000110137）</v>
      </c>
    </row>
    <row r="14" spans="1:8" ht="24" customHeight="1">
      <c r="A14" s="1473" t="s">
        <v>2900</v>
      </c>
      <c r="B14" s="1473">
        <f ca="1">IF(C14&lt;B2,"已过期",1119980106)</f>
        <v>1119980106</v>
      </c>
      <c r="C14" s="2574">
        <v>44969</v>
      </c>
      <c r="D14" s="2570" t="str">
        <f t="shared" ca="1" si="0"/>
        <v>刘俊财（注册号：1119980106）</v>
      </c>
      <c r="E14" s="2571" t="s">
        <v>2900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01" t="s">
        <v>2902</v>
      </c>
      <c r="B17" s="3101"/>
      <c r="C17" s="3101"/>
      <c r="D17" s="3101"/>
      <c r="E17" s="3101"/>
      <c r="F17" s="3101"/>
      <c r="G17" s="3101"/>
      <c r="H17" s="3101"/>
    </row>
    <row r="18" spans="1:8" ht="24" customHeight="1">
      <c r="A18" s="3102" t="s">
        <v>2903</v>
      </c>
      <c r="B18" s="3102"/>
      <c r="C18" s="3102"/>
      <c r="D18" s="2567"/>
      <c r="E18" s="3103" t="s">
        <v>2904</v>
      </c>
      <c r="F18" s="3102"/>
      <c r="G18" s="3102"/>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2021-04-29T07:12:08Z</dcterms:modified>
</cp:coreProperties>
</file>